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375" activeTab="0"/>
  </bookViews>
  <sheets>
    <sheet name=" " sheetId="1" r:id="rId1"/>
  </sheets>
  <definedNames>
    <definedName name="_Regression_Int" localSheetId="0" hidden="1">1</definedName>
    <definedName name="_xlnm.Print_Area" localSheetId="0">' '!$A$1:$G$234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<sst xmlns="http://schemas.openxmlformats.org/spreadsheetml/2006/main" count="138" uniqueCount="124">
  <si>
    <t xml:space="preserve"> </t>
  </si>
  <si>
    <t>(ha)</t>
  </si>
  <si>
    <t>IPC</t>
  </si>
  <si>
    <t>(1998=1)</t>
  </si>
  <si>
    <t>nominal</t>
  </si>
  <si>
    <t>Total</t>
  </si>
  <si>
    <t>Augmentation proportionnelle de la production [j]</t>
  </si>
  <si>
    <t>DONNEES AGRONOMIQUES (continuation)</t>
  </si>
  <si>
    <t>nominaux</t>
  </si>
  <si>
    <t>(FCFA/ha)</t>
  </si>
  <si>
    <t>DONNEES AGRONOMIQUES SUR L'ADOPTION DES NOUVELLES VARIETES DE RIZ</t>
  </si>
  <si>
    <t>BG 90-2</t>
  </si>
  <si>
    <t>Kogoni 91-1</t>
  </si>
  <si>
    <t xml:space="preserve">Coût d'adoption </t>
  </si>
  <si>
    <t xml:space="preserve">Coûts d'adoption (dC) en termes réels </t>
  </si>
  <si>
    <t>DONNEES ECONOMIQUES</t>
  </si>
  <si>
    <t>dQ</t>
  </si>
  <si>
    <t>"k"</t>
  </si>
  <si>
    <t>Paramètre</t>
  </si>
  <si>
    <t>réels</t>
  </si>
  <si>
    <t>Sociaux Nets</t>
  </si>
  <si>
    <t>TRI</t>
  </si>
  <si>
    <t>(kg/ha)</t>
  </si>
  <si>
    <t xml:space="preserve">Gains Sociaux </t>
  </si>
  <si>
    <t>Bruts (FCFA)</t>
  </si>
  <si>
    <t>(St)</t>
  </si>
  <si>
    <t>(t)</t>
  </si>
  <si>
    <t xml:space="preserve">Prod </t>
  </si>
  <si>
    <t xml:space="preserve">Sup </t>
  </si>
  <si>
    <t>Kogoni91-1</t>
  </si>
  <si>
    <t xml:space="preserve">de 1989 par rapport aux variétés existantes ont été estimés en  </t>
  </si>
  <si>
    <t>(FCFA98/t)</t>
  </si>
  <si>
    <t>(t/ha)</t>
  </si>
  <si>
    <t>l'impact économique de l'introduction de deux nouvelles variétés de</t>
  </si>
  <si>
    <t xml:space="preserve">1990. Ceci amène à considérer l'effet cumulatif de l'augmentation  </t>
  </si>
  <si>
    <t>du rendement par rapport aux variétés témoin de riz (Gambiaka et</t>
  </si>
  <si>
    <t xml:space="preserve">autres). Les données de base, les calculs et les transformations </t>
  </si>
  <si>
    <t xml:space="preserve">pour chaque année de la période couverte par l'évaluation. Ils est </t>
  </si>
  <si>
    <t>nécessaire d'obtenir aussi l'indice des des prix à la consommation</t>
  </si>
  <si>
    <t xml:space="preserve">(IPC) pour la conversion de ces prix en termes réels, en divisant </t>
  </si>
  <si>
    <t xml:space="preserve">et de la demande pour le reste de l'analyse. L'élasticité de   </t>
  </si>
  <si>
    <t xml:space="preserve">l'offre de riz au Mali a été estimée à E=0,4. L'élasticité de la </t>
  </si>
  <si>
    <t xml:space="preserve">k=(j/E)-c.L'augmentation de la quantité produite (dQ) s'obtient    </t>
  </si>
  <si>
    <t>le prixnominal par l'IPC. Notez bien que l'IPC doit être exprimé</t>
  </si>
  <si>
    <t>par rapport à l'année base 1998=1.</t>
  </si>
  <si>
    <t xml:space="preserve">aboutissant aux calculs du gain social net et du taux de </t>
  </si>
  <si>
    <t>rentabilité interne sont décrits dans les étapes suivantes :</t>
  </si>
  <si>
    <t xml:space="preserve">de recherche,  de recherche en milieu paysan et de vulgarisation en  </t>
  </si>
  <si>
    <t xml:space="preserve">termes réels, en divisant les coûts, en termes nominaux par  </t>
  </si>
  <si>
    <t xml:space="preserve">l'indice des prix à la consommation. Le gain social net, en termes  </t>
  </si>
  <si>
    <t xml:space="preserve">réels, s'obtient en soustrayant les coûts des programmes des gains </t>
  </si>
  <si>
    <t xml:space="preserve">Coûts </t>
  </si>
  <si>
    <t>recherc.</t>
  </si>
  <si>
    <t>Coûts</t>
  </si>
  <si>
    <t>Vulgar.</t>
  </si>
  <si>
    <t>COUTS DE LA RECHERCHE ET DE LA VULGARISATION</t>
  </si>
  <si>
    <t>Années</t>
  </si>
  <si>
    <t>Coûts tot.</t>
  </si>
  <si>
    <t>Bruts (000FCFA)</t>
  </si>
  <si>
    <t>(000FCFA 98)</t>
  </si>
  <si>
    <t>Bénéfices</t>
  </si>
  <si>
    <t>VAN 10%</t>
  </si>
  <si>
    <t>VAN 15%</t>
  </si>
  <si>
    <t>Prix réel</t>
  </si>
  <si>
    <r>
      <t>(</t>
    </r>
    <r>
      <rPr>
        <b/>
        <sz val="10"/>
        <rFont val="Courier"/>
        <family val="3"/>
      </rPr>
      <t>Q</t>
    </r>
    <r>
      <rPr>
        <sz val="10"/>
        <rFont val="Courier"/>
        <family val="3"/>
      </rPr>
      <t>)</t>
    </r>
  </si>
  <si>
    <r>
      <t>(</t>
    </r>
    <r>
      <rPr>
        <b/>
        <sz val="10"/>
        <rFont val="Courier"/>
        <family val="3"/>
      </rPr>
      <t>P</t>
    </r>
    <r>
      <rPr>
        <sz val="10"/>
        <rFont val="Courier"/>
        <family val="3"/>
      </rPr>
      <t>)</t>
    </r>
  </si>
  <si>
    <t xml:space="preserve">Ce deuxième exemple, tiré d'une étude réelle, permet de calculer </t>
  </si>
  <si>
    <t>(millions de FCFA)</t>
  </si>
  <si>
    <t>moyens</t>
  </si>
  <si>
    <t>Rdts.</t>
  </si>
  <si>
    <t xml:space="preserve">Prix </t>
  </si>
  <si>
    <t xml:space="preserve">moyen. </t>
  </si>
  <si>
    <t>Gains de rendements (dR) (kg/ha)</t>
  </si>
  <si>
    <t>appliquant la formule suivante: j=dR*t/Rm, Rm étant le rendement</t>
  </si>
  <si>
    <t xml:space="preserve">riz, BG 90-2 et Kogoni 91-1, introduites respectivement en 1989 et en   </t>
  </si>
  <si>
    <t xml:space="preserve">superficie totale (St en hectares), la quantité totale de riz (Q, </t>
  </si>
  <si>
    <t>(FCFA/t)</t>
  </si>
  <si>
    <t>en tonnes) et le prix nominal au producteur (P, en FCFA par tonne),</t>
  </si>
  <si>
    <t xml:space="preserve">La première étape de l'évaluation d'impact consiste à estimer la </t>
  </si>
  <si>
    <t xml:space="preserve">DONNEES DU MARCHE SUR LES QUANTITES ET LES PRIX </t>
  </si>
  <si>
    <t xml:space="preserve">Les données d'enquete commencent dans ce cas avec des taux d'adoption </t>
  </si>
  <si>
    <t xml:space="preserve">estimés, a partir de l'observation des dates de départ (1989 et 1990), </t>
  </si>
  <si>
    <t>le taux maximal atteint par la BG-90 en 1994, et le taux maximal atteint</t>
  </si>
  <si>
    <t>par la Kogoni91-1 en 1997 et 1998.</t>
  </si>
  <si>
    <t>DONNEES AGRONOMIQUES SUR LE GAIN DE RENDEMENT</t>
  </si>
  <si>
    <t>aux anciennes variétés doit etre estimé a partir des données disponsibles.</t>
  </si>
  <si>
    <t xml:space="preserve">Avant leur adoption, le rendement moyen atteints durant les années 1979-88 </t>
  </si>
  <si>
    <t xml:space="preserve">En supposant que leurs rendements sur terrain seraient 66% de leurs </t>
  </si>
  <si>
    <t xml:space="preserve">rendements sur station, on obtient des rendements de 2,24 et 2,83.  </t>
  </si>
  <si>
    <t>etait de 1,08.  Donc les dR pour sont de 2,24-1,08=1,16 et 2,83-1,08=1,75.</t>
  </si>
  <si>
    <t xml:space="preserve">L'augmentation proportionnelle de la production (j) s'obtient en </t>
  </si>
  <si>
    <t xml:space="preserve">moyenne à 44.225 FCFA/ha en termes réels. Ces coûts d'adoption </t>
  </si>
  <si>
    <t xml:space="preserve">sont maintenus identiques pour toute la période étudiée. </t>
  </si>
  <si>
    <t>Les coûts d'adoption à l'hectare nous permettent de calculer</t>
  </si>
  <si>
    <t xml:space="preserve">Il est maintenant nécessaire d'inclure les élasticités de l'offre </t>
  </si>
  <si>
    <t>demande doit etre a l'ordre de e=10, puis-que le riz malien doit</t>
  </si>
  <si>
    <t xml:space="preserve">faire concurrence au riz importé. Le paramètre k s'obtient par la formule :  </t>
  </si>
  <si>
    <t xml:space="preserve">par la formule : dQ=(Q*e*E*k)/(E+e), et les gains sociaux  </t>
  </si>
  <si>
    <t>sont calculés en appliquant la formule : GS=(k*P*Q)-(0,5*k*P*dQ).</t>
  </si>
  <si>
    <t xml:space="preserve">Le gain de rendement (dR) d'une nouvelle variété par rapport </t>
  </si>
  <si>
    <t>Dans ce cas, nous connaissons les rendements moyens des anciennes variétés,</t>
  </si>
  <si>
    <t>et nous avons des essais pour estimer les rendements des nouvelles.  Sur</t>
  </si>
  <si>
    <t xml:space="preserve">station, la BG donnait 3,36 t/ha et la Kogoni donnait 4,25.  </t>
  </si>
  <si>
    <t xml:space="preserve">Les coûts d'adoption des nouvelles variétés introduites à partir  </t>
  </si>
  <si>
    <t>EXEMPLE DU RIZ AU MALI</t>
  </si>
  <si>
    <t>Taux d'adoption estimés, en proportion de la superficie totale</t>
  </si>
  <si>
    <t>Augmentation proportionelle des coûts (c)</t>
  </si>
  <si>
    <t>Déplacement de la courbe d'offre et gains sociaux bruts</t>
  </si>
  <si>
    <t>l'augmentation proportionelle des coûts selon la formule c=(dC*t)/(Rm* P).</t>
  </si>
  <si>
    <t>élasticité offre: E=</t>
  </si>
  <si>
    <t>élasticité demande: e=</t>
  </si>
  <si>
    <t xml:space="preserve">Ensuite, il est nécessaire de calculer les coûts des programmes </t>
  </si>
  <si>
    <t>sociaux bruts. Le taux de rentabilité interne (TRI) est calculé</t>
  </si>
  <si>
    <t xml:space="preserve">à partir des données du gain social net de 1979 à 1998, en </t>
  </si>
  <si>
    <t>utilisant la formule =IRR des logiciels Excel ou QuattroPro.</t>
  </si>
  <si>
    <t>Couts réels de la recherche et de la vulgarisaton</t>
  </si>
  <si>
    <t>('000 FCFA'98)</t>
  </si>
  <si>
    <t xml:space="preserve">(000 FCFA) </t>
  </si>
  <si>
    <t xml:space="preserve">(000 FCFA '98) </t>
  </si>
  <si>
    <t>EXEMPLE 2 - PAGE 3 DE 4</t>
  </si>
  <si>
    <t>EXEMPLE 2 - PAGE 2 DE 4</t>
  </si>
  <si>
    <t>EXEMPLE 2 - PAGE 1 DE 4</t>
  </si>
  <si>
    <t>EXEMPLE 2 - PAGE 4 DE 4</t>
  </si>
  <si>
    <t>Benefices sociaux nets et taux de rentabilité interne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</si>
</sst>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_)"/>
    <numFmt numFmtId="173" formatCode="0_)"/>
    <numFmt numFmtId="174" formatCode="0.00_)"/>
    <numFmt numFmtId="175" formatCode="0.000_)"/>
    <numFmt numFmtId="176" formatCode="0.0000_)"/>
    <numFmt numFmtId="177" formatCode="0.0%"/>
    <numFmt numFmtId="178" formatCode="0.00000_)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#,##0.0\ &quot;F&quot;;[Red]\-#,##0.0\ &quot;F&quot;"/>
    <numFmt numFmtId="186" formatCode="0.0000000000"/>
    <numFmt numFmtId="187" formatCode="0.000000000"/>
    <numFmt numFmtId="188" formatCode="0.00000000"/>
    <numFmt numFmtId="189" formatCode="0000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3" fontId="0" fillId="0" borderId="0" xfId="0" applyNumberFormat="1" applyAlignment="1" applyProtection="1">
      <alignment horizontal="right"/>
      <protection/>
    </xf>
    <xf numFmtId="173" fontId="0" fillId="0" borderId="0" xfId="0" applyNumberFormat="1" applyFont="1" applyAlignment="1" applyProtection="1">
      <alignment horizontal="right"/>
      <protection/>
    </xf>
    <xf numFmtId="175" fontId="0" fillId="0" borderId="0" xfId="0" applyNumberFormat="1" applyFont="1" applyAlignment="1" applyProtection="1">
      <alignment horizontal="right"/>
      <protection/>
    </xf>
    <xf numFmtId="175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74" fontId="0" fillId="0" borderId="0" xfId="0" applyNumberFormat="1" applyAlignment="1" applyProtection="1">
      <alignment horizontal="right"/>
      <protection/>
    </xf>
    <xf numFmtId="180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177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>
      <alignment horizontal="right"/>
    </xf>
    <xf numFmtId="17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Alignment="1" applyProtection="1">
      <alignment horizontal="right"/>
      <protection/>
    </xf>
    <xf numFmtId="175" fontId="0" fillId="2" borderId="0" xfId="0" applyNumberFormat="1" applyFill="1" applyAlignment="1" applyProtection="1">
      <alignment horizontal="right"/>
      <protection/>
    </xf>
    <xf numFmtId="176" fontId="0" fillId="2" borderId="0" xfId="0" applyNumberFormat="1" applyFill="1" applyAlignment="1" applyProtection="1">
      <alignment horizontal="right"/>
      <protection/>
    </xf>
    <xf numFmtId="173" fontId="0" fillId="2" borderId="0" xfId="0" applyNumberFormat="1" applyFill="1" applyAlignment="1" applyProtection="1">
      <alignment horizontal="right"/>
      <protection/>
    </xf>
    <xf numFmtId="9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0"/>
  <sheetViews>
    <sheetView showGridLines="0" tabSelected="1" view="pageBreakPreview" zoomScaleSheetLayoutView="100" workbookViewId="0" topLeftCell="A1">
      <selection activeCell="A1" sqref="A1"/>
    </sheetView>
  </sheetViews>
  <sheetFormatPr defaultColWidth="9.625" defaultRowHeight="12.75"/>
  <cols>
    <col min="1" max="1" width="7.00390625" style="0" customWidth="1"/>
    <col min="2" max="2" width="11.625" style="0" customWidth="1"/>
    <col min="3" max="3" width="8.75390625" style="0" customWidth="1"/>
    <col min="4" max="4" width="9.875" style="0" customWidth="1"/>
    <col min="5" max="5" width="14.875" style="0" customWidth="1"/>
    <col min="6" max="6" width="12.875" style="0" customWidth="1"/>
    <col min="7" max="7" width="12.25390625" style="0" customWidth="1"/>
    <col min="8" max="16384" width="11.00390625" style="0" customWidth="1"/>
  </cols>
  <sheetData>
    <row r="1" spans="1:7" ht="12">
      <c r="A1" s="12" t="s">
        <v>121</v>
      </c>
      <c r="B1" s="13"/>
      <c r="C1" s="13"/>
      <c r="D1" s="13"/>
      <c r="E1" s="13"/>
      <c r="F1" s="13"/>
      <c r="G1" s="13"/>
    </row>
    <row r="2" spans="1:7" ht="12">
      <c r="A2" s="12"/>
      <c r="B2" s="13"/>
      <c r="C2" s="13"/>
      <c r="D2" s="13"/>
      <c r="E2" s="13"/>
      <c r="F2" s="13"/>
      <c r="G2" s="13"/>
    </row>
    <row r="3" spans="1:7" ht="12">
      <c r="A3" s="12"/>
      <c r="B3" s="13"/>
      <c r="C3" s="13"/>
      <c r="D3" s="13"/>
      <c r="E3" s="13"/>
      <c r="F3" s="13"/>
      <c r="G3" s="13"/>
    </row>
    <row r="4" spans="1:7" ht="12">
      <c r="A4" s="10" t="s">
        <v>104</v>
      </c>
      <c r="B4" s="11"/>
      <c r="C4" s="11"/>
      <c r="D4" s="13"/>
      <c r="E4" s="13"/>
      <c r="F4" s="13"/>
      <c r="G4" s="13"/>
    </row>
    <row r="5" spans="1:7" ht="12">
      <c r="A5" s="12" t="s">
        <v>66</v>
      </c>
      <c r="B5" s="13"/>
      <c r="C5" s="13"/>
      <c r="D5" s="13"/>
      <c r="E5" s="13"/>
      <c r="F5" s="13"/>
      <c r="G5" s="13"/>
    </row>
    <row r="6" spans="1:7" ht="12">
      <c r="A6" s="12" t="s">
        <v>33</v>
      </c>
      <c r="B6" s="13"/>
      <c r="C6" s="13"/>
      <c r="D6" s="13"/>
      <c r="E6" s="13"/>
      <c r="F6" s="13"/>
      <c r="G6" s="13"/>
    </row>
    <row r="7" spans="1:7" ht="12">
      <c r="A7" s="12" t="s">
        <v>74</v>
      </c>
      <c r="B7" s="13"/>
      <c r="C7" s="13"/>
      <c r="D7" s="13"/>
      <c r="E7" s="13"/>
      <c r="F7" s="13"/>
      <c r="G7" s="13"/>
    </row>
    <row r="8" spans="1:7" ht="12">
      <c r="A8" s="12" t="s">
        <v>34</v>
      </c>
      <c r="B8" s="13"/>
      <c r="C8" s="13"/>
      <c r="D8" s="13"/>
      <c r="E8" s="13"/>
      <c r="F8" s="13"/>
      <c r="G8" s="13"/>
    </row>
    <row r="9" spans="1:7" ht="12">
      <c r="A9" s="12" t="s">
        <v>35</v>
      </c>
      <c r="B9" s="13"/>
      <c r="C9" s="13"/>
      <c r="D9" s="13"/>
      <c r="E9" s="13"/>
      <c r="F9" s="13"/>
      <c r="G9" s="13"/>
    </row>
    <row r="10" spans="1:7" ht="12">
      <c r="A10" s="12" t="s">
        <v>36</v>
      </c>
      <c r="B10" s="13"/>
      <c r="C10" s="13"/>
      <c r="D10" s="13"/>
      <c r="E10" s="13"/>
      <c r="F10" s="13"/>
      <c r="G10" s="13"/>
    </row>
    <row r="11" spans="1:7" ht="12">
      <c r="A11" s="12" t="s">
        <v>45</v>
      </c>
      <c r="B11" s="13"/>
      <c r="C11" s="13"/>
      <c r="D11" s="13"/>
      <c r="E11" s="13"/>
      <c r="F11" s="13"/>
      <c r="G11" s="13"/>
    </row>
    <row r="12" spans="1:8" ht="12">
      <c r="A12" s="14" t="s">
        <v>46</v>
      </c>
      <c r="B12" s="14"/>
      <c r="C12" s="14"/>
      <c r="D12" s="14"/>
      <c r="E12" s="14"/>
      <c r="F12" s="14"/>
      <c r="G12" s="14"/>
      <c r="H12" s="6"/>
    </row>
    <row r="13" spans="1:8" ht="12">
      <c r="A13" s="14"/>
      <c r="B13" s="14"/>
      <c r="C13" s="14"/>
      <c r="D13" s="14"/>
      <c r="E13" s="14"/>
      <c r="F13" s="14"/>
      <c r="G13" s="14"/>
      <c r="H13" s="6"/>
    </row>
    <row r="14" spans="1:8" ht="12">
      <c r="A14" s="14" t="s">
        <v>78</v>
      </c>
      <c r="B14" s="14"/>
      <c r="C14" s="14"/>
      <c r="D14" s="14"/>
      <c r="E14" s="14"/>
      <c r="F14" s="14"/>
      <c r="G14" s="14"/>
      <c r="H14" s="6"/>
    </row>
    <row r="15" spans="1:8" ht="12">
      <c r="A15" s="14" t="s">
        <v>75</v>
      </c>
      <c r="B15" s="14"/>
      <c r="C15" s="14"/>
      <c r="D15" s="14"/>
      <c r="E15" s="14"/>
      <c r="F15" s="14"/>
      <c r="G15" s="14"/>
      <c r="H15" s="6"/>
    </row>
    <row r="16" spans="1:8" ht="12">
      <c r="A16" s="14" t="s">
        <v>77</v>
      </c>
      <c r="B16" s="14"/>
      <c r="C16" s="14"/>
      <c r="D16" s="14"/>
      <c r="E16" s="14"/>
      <c r="F16" s="14"/>
      <c r="G16" s="14"/>
      <c r="H16" s="6"/>
    </row>
    <row r="17" spans="1:8" ht="12">
      <c r="A17" s="14" t="s">
        <v>37</v>
      </c>
      <c r="B17" s="14"/>
      <c r="C17" s="14"/>
      <c r="D17" s="14"/>
      <c r="E17" s="14"/>
      <c r="F17" s="14"/>
      <c r="G17" s="14"/>
      <c r="H17" s="6"/>
    </row>
    <row r="18" spans="1:8" ht="12">
      <c r="A18" s="14" t="s">
        <v>38</v>
      </c>
      <c r="B18" s="14"/>
      <c r="C18" s="14"/>
      <c r="D18" s="14"/>
      <c r="E18" s="14"/>
      <c r="F18" s="14"/>
      <c r="G18" s="14"/>
      <c r="H18" s="6"/>
    </row>
    <row r="19" spans="1:8" ht="12">
      <c r="A19" s="14" t="s">
        <v>39</v>
      </c>
      <c r="B19" s="14"/>
      <c r="C19" s="14"/>
      <c r="D19" s="14"/>
      <c r="E19" s="14"/>
      <c r="F19" s="14"/>
      <c r="G19" s="14"/>
      <c r="H19" s="6"/>
    </row>
    <row r="20" spans="1:8" ht="12">
      <c r="A20" s="14" t="s">
        <v>43</v>
      </c>
      <c r="B20" s="14"/>
      <c r="C20" s="14"/>
      <c r="D20" s="14"/>
      <c r="E20" s="14"/>
      <c r="F20" s="14"/>
      <c r="G20" s="14"/>
      <c r="H20" s="6"/>
    </row>
    <row r="21" spans="1:8" ht="12">
      <c r="A21" s="14" t="s">
        <v>44</v>
      </c>
      <c r="B21" s="14"/>
      <c r="C21" s="14"/>
      <c r="D21" s="14"/>
      <c r="E21" s="14"/>
      <c r="F21" s="14"/>
      <c r="G21" s="14"/>
      <c r="H21" s="6"/>
    </row>
    <row r="22" spans="1:8" ht="12">
      <c r="A22" s="14"/>
      <c r="B22" s="14"/>
      <c r="C22" s="14"/>
      <c r="D22" s="14"/>
      <c r="E22" s="14"/>
      <c r="F22" s="14"/>
      <c r="G22" s="14"/>
      <c r="H22" s="6"/>
    </row>
    <row r="23" spans="1:7" ht="12">
      <c r="A23" s="10" t="s">
        <v>79</v>
      </c>
      <c r="B23" s="13"/>
      <c r="C23" s="13"/>
      <c r="D23" s="13"/>
      <c r="E23" s="13"/>
      <c r="F23" s="13"/>
      <c r="G23" s="13"/>
    </row>
    <row r="24" spans="1:7" ht="12">
      <c r="A24" s="12"/>
      <c r="B24" s="13"/>
      <c r="C24" s="13"/>
      <c r="D24" s="13"/>
      <c r="E24" s="13"/>
      <c r="F24" s="13"/>
      <c r="G24" s="13"/>
    </row>
    <row r="25" spans="1:7" ht="12">
      <c r="A25" s="13"/>
      <c r="B25" s="15" t="s">
        <v>28</v>
      </c>
      <c r="C25" s="15" t="s">
        <v>27</v>
      </c>
      <c r="D25" s="15" t="s">
        <v>69</v>
      </c>
      <c r="E25" s="15" t="s">
        <v>70</v>
      </c>
      <c r="F25" s="15" t="s">
        <v>2</v>
      </c>
      <c r="G25" s="15" t="s">
        <v>63</v>
      </c>
    </row>
    <row r="26" spans="1:7" ht="12">
      <c r="A26" s="13"/>
      <c r="B26" s="16" t="s">
        <v>25</v>
      </c>
      <c r="C26" s="15" t="s">
        <v>64</v>
      </c>
      <c r="D26" s="15" t="s">
        <v>68</v>
      </c>
      <c r="E26" s="16" t="s">
        <v>4</v>
      </c>
      <c r="F26" s="15" t="s">
        <v>3</v>
      </c>
      <c r="G26" s="15" t="s">
        <v>65</v>
      </c>
    </row>
    <row r="27" spans="1:7" ht="12">
      <c r="A27" s="13"/>
      <c r="B27" s="15" t="s">
        <v>1</v>
      </c>
      <c r="C27" s="16" t="s">
        <v>26</v>
      </c>
      <c r="D27" s="15" t="s">
        <v>32</v>
      </c>
      <c r="E27" s="15" t="s">
        <v>76</v>
      </c>
      <c r="F27" s="15"/>
      <c r="G27" s="15" t="s">
        <v>31</v>
      </c>
    </row>
    <row r="28" spans="1:7" ht="12">
      <c r="A28" s="12">
        <v>1979</v>
      </c>
      <c r="B28" s="20">
        <v>242534</v>
      </c>
      <c r="C28" s="20">
        <v>240117</v>
      </c>
      <c r="D28" s="21">
        <f>(C28)/B28</f>
        <v>0.9900343869313168</v>
      </c>
      <c r="E28" s="20">
        <v>31000</v>
      </c>
      <c r="F28" s="21">
        <v>0.46061</v>
      </c>
      <c r="G28" s="31">
        <f>(E28)/F28</f>
        <v>67302.05596925816</v>
      </c>
    </row>
    <row r="29" spans="1:7" ht="12">
      <c r="A29" s="12">
        <v>1980</v>
      </c>
      <c r="B29" s="20">
        <v>142823</v>
      </c>
      <c r="C29" s="20">
        <v>121553</v>
      </c>
      <c r="D29" s="21">
        <f aca="true" t="shared" si="0" ref="D29:D47">(C29)/B29</f>
        <v>0.8510744067832212</v>
      </c>
      <c r="E29" s="20">
        <v>31000</v>
      </c>
      <c r="F29" s="21">
        <v>0.46734</v>
      </c>
      <c r="G29" s="31">
        <f aca="true" t="shared" si="1" ref="G29:G47">(E29)/F29</f>
        <v>66332.86258398596</v>
      </c>
    </row>
    <row r="30" spans="1:7" ht="12">
      <c r="A30" s="12">
        <v>1981</v>
      </c>
      <c r="B30" s="20">
        <v>115593</v>
      </c>
      <c r="C30" s="20">
        <v>134756</v>
      </c>
      <c r="D30" s="21">
        <f t="shared" si="0"/>
        <v>1.1657799347711366</v>
      </c>
      <c r="E30" s="20">
        <v>38000</v>
      </c>
      <c r="F30" s="21">
        <v>0.52929</v>
      </c>
      <c r="G30" s="31">
        <f t="shared" si="1"/>
        <v>71794.29046458463</v>
      </c>
    </row>
    <row r="31" spans="1:7" ht="12">
      <c r="A31" s="12">
        <v>1982</v>
      </c>
      <c r="B31" s="20">
        <v>181624</v>
      </c>
      <c r="C31" s="20">
        <v>162633</v>
      </c>
      <c r="D31" s="21">
        <f t="shared" si="0"/>
        <v>0.8954378275998767</v>
      </c>
      <c r="E31" s="20">
        <v>50000</v>
      </c>
      <c r="F31" s="21">
        <v>0.54209</v>
      </c>
      <c r="G31" s="31">
        <f t="shared" si="1"/>
        <v>92235.60663358483</v>
      </c>
    </row>
    <row r="32" spans="1:9" ht="12">
      <c r="A32" s="12">
        <v>1983</v>
      </c>
      <c r="B32" s="20">
        <v>187781</v>
      </c>
      <c r="C32" s="20">
        <v>215986</v>
      </c>
      <c r="D32" s="21">
        <f t="shared" si="0"/>
        <v>1.1502015645885366</v>
      </c>
      <c r="E32" s="20">
        <v>55000</v>
      </c>
      <c r="F32" s="21">
        <v>0.56768</v>
      </c>
      <c r="G32" s="31">
        <f t="shared" si="1"/>
        <v>96885.56933483653</v>
      </c>
      <c r="I32" s="29"/>
    </row>
    <row r="33" spans="1:9" ht="12">
      <c r="A33" s="12">
        <v>1984</v>
      </c>
      <c r="B33" s="20">
        <v>165176</v>
      </c>
      <c r="C33" s="20">
        <v>109364</v>
      </c>
      <c r="D33" s="21">
        <f t="shared" si="0"/>
        <v>0.6621058749455127</v>
      </c>
      <c r="E33" s="20">
        <v>60000</v>
      </c>
      <c r="F33" s="21">
        <v>0.65263</v>
      </c>
      <c r="G33" s="31">
        <f t="shared" si="1"/>
        <v>91935.70629606361</v>
      </c>
      <c r="I33" s="29"/>
    </row>
    <row r="34" spans="1:7" ht="12">
      <c r="A34" s="12">
        <v>1985</v>
      </c>
      <c r="B34" s="20">
        <v>184833</v>
      </c>
      <c r="C34" s="20">
        <v>213841</v>
      </c>
      <c r="D34" s="21">
        <f t="shared" si="0"/>
        <v>1.1569416716711842</v>
      </c>
      <c r="E34" s="20">
        <v>65000</v>
      </c>
      <c r="F34" s="21">
        <v>0.64983</v>
      </c>
      <c r="G34" s="31">
        <f t="shared" si="1"/>
        <v>100026.16068817998</v>
      </c>
    </row>
    <row r="35" spans="1:7" ht="12">
      <c r="A35" s="12">
        <v>1986</v>
      </c>
      <c r="B35" s="20">
        <v>190597</v>
      </c>
      <c r="C35" s="20">
        <v>225138</v>
      </c>
      <c r="D35" s="21">
        <f t="shared" si="0"/>
        <v>1.181225307848497</v>
      </c>
      <c r="E35" s="20">
        <v>70000</v>
      </c>
      <c r="F35" s="21">
        <v>0.64848</v>
      </c>
      <c r="G35" s="31">
        <f t="shared" si="1"/>
        <v>107944.7322970639</v>
      </c>
    </row>
    <row r="36" spans="1:7" ht="12">
      <c r="A36" s="12">
        <v>1987</v>
      </c>
      <c r="B36" s="20">
        <v>163079</v>
      </c>
      <c r="C36" s="20">
        <v>236568</v>
      </c>
      <c r="D36" s="21">
        <f t="shared" si="0"/>
        <v>1.450634355128496</v>
      </c>
      <c r="E36" s="20">
        <v>89000</v>
      </c>
      <c r="F36" s="21">
        <v>0.59596</v>
      </c>
      <c r="G36" s="31">
        <f t="shared" si="1"/>
        <v>149338.8818041479</v>
      </c>
    </row>
    <row r="37" spans="1:7" ht="12">
      <c r="A37" s="12">
        <v>1988</v>
      </c>
      <c r="B37" s="20">
        <v>231262</v>
      </c>
      <c r="C37" s="20">
        <v>287797</v>
      </c>
      <c r="D37" s="21">
        <f t="shared" si="0"/>
        <v>1.2444629900286255</v>
      </c>
      <c r="E37" s="20">
        <v>81000</v>
      </c>
      <c r="F37" s="21">
        <v>0.62424</v>
      </c>
      <c r="G37" s="31">
        <f t="shared" si="1"/>
        <v>129757.78546712802</v>
      </c>
    </row>
    <row r="38" spans="1:7" ht="12">
      <c r="A38" s="12">
        <v>1989</v>
      </c>
      <c r="B38" s="20">
        <v>230919</v>
      </c>
      <c r="C38" s="20">
        <v>337749</v>
      </c>
      <c r="D38" s="21">
        <f t="shared" si="0"/>
        <v>1.4626297532901147</v>
      </c>
      <c r="E38" s="20">
        <v>73000</v>
      </c>
      <c r="F38" s="21">
        <v>0.63098</v>
      </c>
      <c r="G38" s="31">
        <f t="shared" si="1"/>
        <v>115693.0489080478</v>
      </c>
    </row>
    <row r="39" spans="1:7" ht="12">
      <c r="A39" s="12">
        <v>1990</v>
      </c>
      <c r="B39" s="20">
        <v>196631</v>
      </c>
      <c r="C39" s="20">
        <v>282366</v>
      </c>
      <c r="D39" s="21">
        <f t="shared" si="0"/>
        <v>1.436019752734818</v>
      </c>
      <c r="E39" s="20">
        <v>84000</v>
      </c>
      <c r="F39" s="21">
        <v>0.63704</v>
      </c>
      <c r="G39" s="31">
        <f t="shared" si="1"/>
        <v>131859.85181464272</v>
      </c>
    </row>
    <row r="40" spans="1:7" ht="12">
      <c r="A40" s="12">
        <v>1991</v>
      </c>
      <c r="B40" s="20">
        <v>262019</v>
      </c>
      <c r="C40" s="20">
        <v>454349</v>
      </c>
      <c r="D40" s="21">
        <f t="shared" si="0"/>
        <v>1.734030738228907</v>
      </c>
      <c r="E40" s="20">
        <v>87000</v>
      </c>
      <c r="F40" s="21">
        <v>0.65522</v>
      </c>
      <c r="G40" s="31">
        <f t="shared" si="1"/>
        <v>132779.82967552883</v>
      </c>
    </row>
    <row r="41" spans="1:7" ht="12">
      <c r="A41" s="12">
        <v>1992</v>
      </c>
      <c r="B41" s="20">
        <v>233094</v>
      </c>
      <c r="C41" s="20">
        <v>410018</v>
      </c>
      <c r="D41" s="21">
        <f t="shared" si="0"/>
        <v>1.7590242563086136</v>
      </c>
      <c r="E41" s="20">
        <v>56000</v>
      </c>
      <c r="F41" s="21">
        <v>0.6431</v>
      </c>
      <c r="G41" s="31">
        <f t="shared" si="1"/>
        <v>87078.21489659463</v>
      </c>
    </row>
    <row r="42" spans="1:7" ht="12">
      <c r="A42" s="12">
        <v>1993</v>
      </c>
      <c r="B42" s="20">
        <v>246465</v>
      </c>
      <c r="C42" s="20">
        <v>427609</v>
      </c>
      <c r="D42" s="21">
        <f t="shared" si="0"/>
        <v>1.7349684539386931</v>
      </c>
      <c r="E42" s="20">
        <v>61000</v>
      </c>
      <c r="F42" s="21">
        <v>0.63838</v>
      </c>
      <c r="G42" s="31">
        <f t="shared" si="1"/>
        <v>95554.37200413548</v>
      </c>
    </row>
    <row r="43" spans="1:7" ht="12">
      <c r="A43" s="12">
        <v>1994</v>
      </c>
      <c r="B43" s="20">
        <v>284003</v>
      </c>
      <c r="C43" s="20">
        <v>469126</v>
      </c>
      <c r="D43" s="21">
        <f t="shared" si="0"/>
        <v>1.651834663718341</v>
      </c>
      <c r="E43" s="20">
        <v>79000</v>
      </c>
      <c r="F43" s="21">
        <v>0.79663</v>
      </c>
      <c r="G43" s="31">
        <f t="shared" si="1"/>
        <v>99167.74412211441</v>
      </c>
    </row>
    <row r="44" spans="1:7" ht="12">
      <c r="A44" s="12">
        <v>1995</v>
      </c>
      <c r="B44" s="20">
        <v>302669</v>
      </c>
      <c r="C44" s="20">
        <v>458428</v>
      </c>
      <c r="D44" s="21">
        <f t="shared" si="0"/>
        <v>1.5146182793744982</v>
      </c>
      <c r="E44" s="20">
        <v>94000</v>
      </c>
      <c r="F44" s="21">
        <v>0.89562</v>
      </c>
      <c r="G44" s="31">
        <f t="shared" si="1"/>
        <v>104955.22654697305</v>
      </c>
    </row>
    <row r="45" spans="1:7" ht="12">
      <c r="A45" s="12">
        <v>1996</v>
      </c>
      <c r="B45" s="20">
        <v>324152</v>
      </c>
      <c r="C45" s="20">
        <v>613965</v>
      </c>
      <c r="D45" s="21">
        <f t="shared" si="0"/>
        <v>1.894065129939041</v>
      </c>
      <c r="E45" s="20">
        <v>117000</v>
      </c>
      <c r="F45" s="21">
        <v>0.95286</v>
      </c>
      <c r="G45" s="31">
        <f t="shared" si="1"/>
        <v>122788.23751652917</v>
      </c>
    </row>
    <row r="46" spans="1:7" ht="12">
      <c r="A46" s="12">
        <v>1997</v>
      </c>
      <c r="B46" s="20">
        <v>327991</v>
      </c>
      <c r="C46" s="20">
        <v>575745</v>
      </c>
      <c r="D46" s="21">
        <f t="shared" si="0"/>
        <v>1.7553682875444754</v>
      </c>
      <c r="E46" s="20">
        <v>126000</v>
      </c>
      <c r="F46" s="21">
        <v>0.9468</v>
      </c>
      <c r="G46" s="31">
        <f t="shared" si="1"/>
        <v>133079.84790874526</v>
      </c>
    </row>
    <row r="47" spans="1:7" ht="12">
      <c r="A47" s="12">
        <v>1998</v>
      </c>
      <c r="B47" s="20">
        <v>326433</v>
      </c>
      <c r="C47" s="20">
        <v>717856</v>
      </c>
      <c r="D47" s="21">
        <f t="shared" si="0"/>
        <v>2.199091390882662</v>
      </c>
      <c r="E47" s="20">
        <v>135000</v>
      </c>
      <c r="F47" s="20">
        <v>1</v>
      </c>
      <c r="G47" s="31">
        <f t="shared" si="1"/>
        <v>135000</v>
      </c>
    </row>
    <row r="48" spans="1:7" ht="12">
      <c r="A48" s="1"/>
      <c r="B48" s="19"/>
      <c r="C48" s="19"/>
      <c r="D48" s="22"/>
      <c r="E48" s="19"/>
      <c r="F48" s="19"/>
      <c r="G48" s="23"/>
    </row>
    <row r="49" spans="1:7" ht="12">
      <c r="A49" s="1" t="s">
        <v>120</v>
      </c>
      <c r="B49" s="24"/>
      <c r="C49" s="24"/>
      <c r="D49" s="24"/>
      <c r="E49" s="24"/>
      <c r="F49" s="24"/>
      <c r="G49" s="24"/>
    </row>
    <row r="50" spans="1:7" ht="12">
      <c r="A50" s="1"/>
      <c r="B50" s="24"/>
      <c r="C50" s="24"/>
      <c r="D50" s="24"/>
      <c r="E50" s="24"/>
      <c r="F50" s="24"/>
      <c r="G50" s="24"/>
    </row>
    <row r="51" spans="1:7" ht="12">
      <c r="A51" s="10" t="s">
        <v>10</v>
      </c>
      <c r="B51" s="4"/>
      <c r="C51" s="4"/>
      <c r="D51" s="4"/>
      <c r="E51" s="4"/>
      <c r="F51" s="4"/>
      <c r="G51" s="4"/>
    </row>
    <row r="52" spans="1:7" ht="12">
      <c r="A52" s="1" t="s">
        <v>80</v>
      </c>
      <c r="B52" s="17"/>
      <c r="C52" s="17"/>
      <c r="D52" s="17"/>
      <c r="E52" s="17"/>
      <c r="F52" s="17"/>
      <c r="G52" s="17"/>
    </row>
    <row r="53" spans="1:7" ht="12">
      <c r="A53" s="1" t="s">
        <v>81</v>
      </c>
      <c r="B53" s="17"/>
      <c r="C53" s="17"/>
      <c r="D53" s="17"/>
      <c r="E53" s="17"/>
      <c r="F53" s="17"/>
      <c r="G53" s="17"/>
    </row>
    <row r="54" spans="1:7" ht="12">
      <c r="A54" s="1" t="s">
        <v>82</v>
      </c>
      <c r="B54" s="17"/>
      <c r="C54" s="17"/>
      <c r="D54" s="17"/>
      <c r="E54" s="17"/>
      <c r="F54" s="17"/>
      <c r="G54" s="17"/>
    </row>
    <row r="55" spans="1:7" ht="12">
      <c r="A55" s="1" t="s">
        <v>83</v>
      </c>
      <c r="B55" s="17"/>
      <c r="C55" s="17"/>
      <c r="D55" s="17"/>
      <c r="E55" s="17"/>
      <c r="F55" s="17"/>
      <c r="G55" s="17"/>
    </row>
    <row r="56" spans="3:7" ht="12">
      <c r="C56" s="17"/>
      <c r="D56" s="17"/>
      <c r="E56" s="17"/>
      <c r="F56" s="17"/>
      <c r="G56" s="17"/>
    </row>
    <row r="57" spans="1:7" ht="12">
      <c r="A57" s="10" t="s">
        <v>105</v>
      </c>
      <c r="B57" s="17"/>
      <c r="C57" s="17"/>
      <c r="D57" s="4"/>
      <c r="E57" s="4"/>
      <c r="F57" s="4"/>
      <c r="G57" s="4"/>
    </row>
    <row r="58" spans="2:7" ht="12">
      <c r="B58" s="17"/>
      <c r="C58" s="17"/>
      <c r="D58" s="17" t="s">
        <v>11</v>
      </c>
      <c r="E58" s="4" t="s">
        <v>29</v>
      </c>
      <c r="F58" s="4"/>
      <c r="G58" s="17"/>
    </row>
    <row r="59" spans="1:7" ht="12">
      <c r="A59" s="5">
        <v>1989</v>
      </c>
      <c r="B59" s="24"/>
      <c r="C59" s="17"/>
      <c r="D59" s="24">
        <v>0.0500002165261412</v>
      </c>
      <c r="E59" s="24">
        <v>0</v>
      </c>
      <c r="F59" s="24"/>
      <c r="G59" s="17"/>
    </row>
    <row r="60" spans="1:7" ht="12">
      <c r="A60" s="5">
        <v>1990</v>
      </c>
      <c r="B60" s="24"/>
      <c r="C60" s="17"/>
      <c r="D60" s="24">
        <v>0.06999913543642661</v>
      </c>
      <c r="E60" s="24">
        <v>0.05000228855063545</v>
      </c>
      <c r="F60" s="24"/>
      <c r="G60" s="17"/>
    </row>
    <row r="61" spans="1:7" ht="12">
      <c r="A61" s="5">
        <v>1991</v>
      </c>
      <c r="B61" s="24"/>
      <c r="C61" s="17"/>
      <c r="D61" s="24">
        <v>0.10000038020066991</v>
      </c>
      <c r="E61" s="24">
        <v>0.08000182496321559</v>
      </c>
      <c r="F61" s="24"/>
      <c r="G61" s="17"/>
    </row>
    <row r="62" spans="1:7" ht="12">
      <c r="A62" s="5">
        <v>1992</v>
      </c>
      <c r="B62" s="24"/>
      <c r="C62" s="17"/>
      <c r="D62" s="24">
        <v>0.20000085802294354</v>
      </c>
      <c r="E62" s="24">
        <v>0.09999828395411293</v>
      </c>
      <c r="F62" s="24"/>
      <c r="G62" s="17"/>
    </row>
    <row r="63" spans="1:7" ht="12">
      <c r="A63" s="5">
        <v>1993</v>
      </c>
      <c r="B63" s="24"/>
      <c r="C63" s="17"/>
      <c r="D63" s="24">
        <v>0.2499989856571927</v>
      </c>
      <c r="E63" s="24">
        <v>0.1500010143428073</v>
      </c>
      <c r="F63" s="24"/>
      <c r="G63" s="17"/>
    </row>
    <row r="64" spans="1:7" ht="12">
      <c r="A64" s="5">
        <v>1994</v>
      </c>
      <c r="B64" s="24"/>
      <c r="C64" s="17"/>
      <c r="D64" s="24">
        <v>0.44999876761865193</v>
      </c>
      <c r="E64" s="24">
        <v>0.23000109153776543</v>
      </c>
      <c r="F64" s="24"/>
      <c r="G64" s="17"/>
    </row>
    <row r="65" spans="1:7" ht="12">
      <c r="A65" s="5">
        <v>1995</v>
      </c>
      <c r="B65" s="24"/>
      <c r="C65" s="17"/>
      <c r="D65" s="24">
        <v>0.4000013215757147</v>
      </c>
      <c r="E65" s="24">
        <v>0.349999504409107</v>
      </c>
      <c r="F65" s="24"/>
      <c r="G65" s="17"/>
    </row>
    <row r="66" spans="1:7" ht="12">
      <c r="A66" s="5">
        <v>1996</v>
      </c>
      <c r="B66" s="24"/>
      <c r="C66" s="17"/>
      <c r="D66" s="24">
        <v>0.3000012339889928</v>
      </c>
      <c r="E66" s="24">
        <v>0.4800001233988993</v>
      </c>
      <c r="F66" s="24"/>
      <c r="G66" s="17"/>
    </row>
    <row r="67" spans="1:7" ht="12">
      <c r="A67" s="5">
        <v>1997</v>
      </c>
      <c r="B67" s="24"/>
      <c r="C67" s="17"/>
      <c r="D67" s="24">
        <v>0.2500007622160364</v>
      </c>
      <c r="E67" s="24">
        <v>0.5499998475567928</v>
      </c>
      <c r="F67" s="24"/>
      <c r="G67" s="17"/>
    </row>
    <row r="68" spans="1:7" ht="12">
      <c r="A68" s="5">
        <v>1998</v>
      </c>
      <c r="B68" s="24"/>
      <c r="C68" s="17"/>
      <c r="D68" s="24">
        <v>0.24999923414605754</v>
      </c>
      <c r="E68" s="24">
        <v>0.5499995404876346</v>
      </c>
      <c r="F68" s="24"/>
      <c r="G68" s="17"/>
    </row>
    <row r="69" spans="1:7" ht="12">
      <c r="A69" s="5"/>
      <c r="B69" s="24"/>
      <c r="C69" s="17"/>
      <c r="D69" s="24"/>
      <c r="E69" s="24"/>
      <c r="F69" s="24"/>
      <c r="G69" s="17"/>
    </row>
    <row r="70" spans="1:7" ht="12">
      <c r="A70" s="10" t="s">
        <v>84</v>
      </c>
      <c r="B70" s="24"/>
      <c r="C70" s="24"/>
      <c r="D70" s="24"/>
      <c r="E70" s="24"/>
      <c r="F70" s="24"/>
      <c r="G70" s="24"/>
    </row>
    <row r="71" spans="1:7" ht="12">
      <c r="A71" s="1" t="s">
        <v>99</v>
      </c>
      <c r="B71" s="17"/>
      <c r="C71" s="17"/>
      <c r="D71" s="17"/>
      <c r="E71" s="17"/>
      <c r="F71" s="17"/>
      <c r="G71" s="17"/>
    </row>
    <row r="72" spans="1:7" ht="12">
      <c r="A72" s="1" t="s">
        <v>85</v>
      </c>
      <c r="B72" s="17"/>
      <c r="C72" s="17"/>
      <c r="D72" s="17"/>
      <c r="E72" s="17"/>
      <c r="F72" s="17"/>
      <c r="G72" s="17"/>
    </row>
    <row r="73" spans="1:7" ht="12">
      <c r="A73" s="1" t="s">
        <v>100</v>
      </c>
      <c r="B73" s="17"/>
      <c r="C73" s="17"/>
      <c r="D73" s="17"/>
      <c r="E73" s="17"/>
      <c r="F73" s="17"/>
      <c r="G73" s="17"/>
    </row>
    <row r="74" spans="1:7" ht="12">
      <c r="A74" s="1" t="s">
        <v>101</v>
      </c>
      <c r="B74" s="17"/>
      <c r="C74" s="17"/>
      <c r="D74" s="17"/>
      <c r="E74" s="17"/>
      <c r="F74" s="17"/>
      <c r="G74" s="17"/>
    </row>
    <row r="75" spans="1:7" ht="12">
      <c r="A75" s="1" t="s">
        <v>102</v>
      </c>
      <c r="B75" s="17"/>
      <c r="C75" s="17"/>
      <c r="D75" s="17"/>
      <c r="E75" s="17"/>
      <c r="F75" s="17"/>
      <c r="G75" s="17"/>
    </row>
    <row r="76" spans="1:7" ht="12">
      <c r="A76" s="1" t="s">
        <v>87</v>
      </c>
      <c r="B76" s="17"/>
      <c r="C76" s="17"/>
      <c r="D76" s="17"/>
      <c r="E76" s="17"/>
      <c r="F76" s="17"/>
      <c r="G76" s="17"/>
    </row>
    <row r="77" spans="1:7" ht="12">
      <c r="A77" s="1" t="s">
        <v>88</v>
      </c>
      <c r="B77" s="17"/>
      <c r="C77" s="17"/>
      <c r="D77" s="17"/>
      <c r="E77" s="17"/>
      <c r="F77" s="17"/>
      <c r="G77" s="17"/>
    </row>
    <row r="78" spans="1:7" ht="12">
      <c r="A78" s="1" t="s">
        <v>86</v>
      </c>
      <c r="B78" s="17"/>
      <c r="C78" s="17"/>
      <c r="D78" s="17"/>
      <c r="E78" s="17"/>
      <c r="F78" s="17"/>
      <c r="G78" s="17"/>
    </row>
    <row r="79" ht="12">
      <c r="A79" s="1" t="s">
        <v>89</v>
      </c>
    </row>
    <row r="80" spans="1:9" ht="12">
      <c r="A80" s="1"/>
      <c r="B80" s="17"/>
      <c r="C80" s="17"/>
      <c r="D80" s="17"/>
      <c r="E80" s="17"/>
      <c r="F80" s="17"/>
      <c r="G80" s="17"/>
      <c r="I80" s="29"/>
    </row>
    <row r="81" spans="1:7" ht="12">
      <c r="A81" s="10" t="s">
        <v>72</v>
      </c>
      <c r="B81" s="22"/>
      <c r="C81" s="22"/>
      <c r="D81" s="22"/>
      <c r="E81" s="22"/>
      <c r="F81" s="22"/>
      <c r="G81" s="25"/>
    </row>
    <row r="82" spans="1:7" ht="12">
      <c r="A82" s="5"/>
      <c r="C82" s="17"/>
      <c r="D82" s="17" t="s">
        <v>11</v>
      </c>
      <c r="E82" s="4" t="s">
        <v>12</v>
      </c>
      <c r="F82" s="17"/>
      <c r="G82" s="25"/>
    </row>
    <row r="83" spans="1:7" ht="12">
      <c r="A83" s="5"/>
      <c r="C83" s="17"/>
      <c r="D83" s="4" t="s">
        <v>22</v>
      </c>
      <c r="E83" s="4" t="s">
        <v>22</v>
      </c>
      <c r="F83" s="17"/>
      <c r="G83" s="25"/>
    </row>
    <row r="84" spans="1:7" ht="12">
      <c r="A84" s="5">
        <v>1989</v>
      </c>
      <c r="C84" s="26"/>
      <c r="D84" s="22">
        <v>1.16</v>
      </c>
      <c r="E84" s="22"/>
      <c r="F84" s="22"/>
      <c r="G84" s="25"/>
    </row>
    <row r="85" spans="1:7" ht="12">
      <c r="A85" s="5">
        <v>1990</v>
      </c>
      <c r="C85" s="26"/>
      <c r="D85" s="22">
        <v>1.16</v>
      </c>
      <c r="E85" s="22">
        <v>1.75</v>
      </c>
      <c r="F85" s="22"/>
      <c r="G85" s="25"/>
    </row>
    <row r="86" spans="1:7" ht="12">
      <c r="A86" s="5">
        <v>1991</v>
      </c>
      <c r="C86" s="26"/>
      <c r="D86" s="22">
        <v>1.16</v>
      </c>
      <c r="E86" s="22">
        <v>1.75</v>
      </c>
      <c r="F86" s="22"/>
      <c r="G86" s="25"/>
    </row>
    <row r="87" spans="1:7" ht="12">
      <c r="A87" s="5">
        <v>1992</v>
      </c>
      <c r="C87" s="26"/>
      <c r="D87" s="22">
        <v>1.16</v>
      </c>
      <c r="E87" s="22">
        <v>1.75</v>
      </c>
      <c r="F87" s="22"/>
      <c r="G87" s="25"/>
    </row>
    <row r="88" spans="1:7" ht="12">
      <c r="A88" s="5">
        <v>1993</v>
      </c>
      <c r="C88" s="26"/>
      <c r="D88" s="22">
        <v>1.16</v>
      </c>
      <c r="E88" s="22">
        <v>1.75</v>
      </c>
      <c r="F88" s="22"/>
      <c r="G88" s="25"/>
    </row>
    <row r="89" spans="1:7" ht="12">
      <c r="A89" s="5">
        <v>1994</v>
      </c>
      <c r="C89" s="26"/>
      <c r="D89" s="22">
        <v>1.16</v>
      </c>
      <c r="E89" s="22">
        <v>1.75</v>
      </c>
      <c r="F89" s="22"/>
      <c r="G89" s="25"/>
    </row>
    <row r="90" spans="1:7" ht="12">
      <c r="A90" s="5">
        <v>1995</v>
      </c>
      <c r="C90" s="26"/>
      <c r="D90" s="22">
        <v>1.16</v>
      </c>
      <c r="E90" s="22">
        <v>1.75</v>
      </c>
      <c r="F90" s="22"/>
      <c r="G90" s="25"/>
    </row>
    <row r="91" spans="1:7" ht="12">
      <c r="A91" s="5">
        <v>1996</v>
      </c>
      <c r="C91" s="26"/>
      <c r="D91" s="22">
        <v>1.16</v>
      </c>
      <c r="E91" s="22">
        <v>1.75</v>
      </c>
      <c r="F91" s="22"/>
      <c r="G91" s="25"/>
    </row>
    <row r="92" spans="1:7" ht="12">
      <c r="A92" s="5">
        <v>1997</v>
      </c>
      <c r="C92" s="26"/>
      <c r="D92" s="22">
        <v>1.16</v>
      </c>
      <c r="E92" s="22">
        <v>1.75</v>
      </c>
      <c r="F92" s="22"/>
      <c r="G92" s="25"/>
    </row>
    <row r="93" spans="1:7" ht="12">
      <c r="A93" s="5">
        <v>1998</v>
      </c>
      <c r="C93" s="26"/>
      <c r="D93" s="22">
        <v>1.16</v>
      </c>
      <c r="E93" s="22">
        <v>1.75</v>
      </c>
      <c r="F93" s="22"/>
      <c r="G93" s="25"/>
    </row>
    <row r="94" spans="1:7" ht="12">
      <c r="A94" s="1"/>
      <c r="B94" s="17"/>
      <c r="C94" s="17"/>
      <c r="D94" s="17"/>
      <c r="E94" s="17"/>
      <c r="F94" s="17"/>
      <c r="G94" s="17"/>
    </row>
    <row r="95" spans="1:7" ht="12">
      <c r="A95" s="1" t="s">
        <v>90</v>
      </c>
      <c r="B95" s="17"/>
      <c r="C95" s="17"/>
      <c r="D95" s="17"/>
      <c r="E95" s="17"/>
      <c r="F95" s="17"/>
      <c r="G95" s="17"/>
    </row>
    <row r="96" spans="1:7" ht="12">
      <c r="A96" s="1" t="s">
        <v>73</v>
      </c>
      <c r="B96" s="17"/>
      <c r="C96" s="17"/>
      <c r="D96" s="17"/>
      <c r="E96" s="17"/>
      <c r="F96" s="17"/>
      <c r="G96" s="17"/>
    </row>
    <row r="97" spans="1:7" ht="12">
      <c r="A97" t="s">
        <v>71</v>
      </c>
      <c r="B97" s="17"/>
      <c r="C97" s="17"/>
      <c r="D97" s="17"/>
      <c r="E97" s="17"/>
      <c r="F97" s="17"/>
      <c r="G97" s="17"/>
    </row>
    <row r="98" spans="2:7" ht="12">
      <c r="B98" s="1"/>
      <c r="C98" s="17"/>
      <c r="D98" s="17"/>
      <c r="E98" s="17"/>
      <c r="F98" s="17"/>
      <c r="G98" s="17"/>
    </row>
    <row r="99" spans="1:7" ht="12">
      <c r="A99" s="11" t="s">
        <v>6</v>
      </c>
      <c r="B99" s="4"/>
      <c r="C99" s="17"/>
      <c r="D99" s="17"/>
      <c r="E99" s="17"/>
      <c r="F99" s="17"/>
      <c r="G99" s="17"/>
    </row>
    <row r="100" spans="3:7" ht="12">
      <c r="C100" s="17"/>
      <c r="D100" s="17" t="s">
        <v>11</v>
      </c>
      <c r="E100" s="4" t="s">
        <v>12</v>
      </c>
      <c r="F100" s="4" t="s">
        <v>5</v>
      </c>
      <c r="G100" s="17"/>
    </row>
    <row r="101" spans="1:7" ht="12">
      <c r="A101" s="5">
        <v>1989</v>
      </c>
      <c r="C101" s="17"/>
      <c r="D101" s="32">
        <f aca="true" t="shared" si="2" ref="D101:E110">(D84*D59)/($D38)</f>
        <v>0.03965477321916571</v>
      </c>
      <c r="E101" s="32">
        <f t="shared" si="2"/>
        <v>0</v>
      </c>
      <c r="F101" s="32">
        <f aca="true" t="shared" si="3" ref="F101:F110">D101+E101</f>
        <v>0.03965477321916571</v>
      </c>
      <c r="G101" s="17"/>
    </row>
    <row r="102" spans="1:7" ht="12">
      <c r="A102" s="5">
        <v>1990</v>
      </c>
      <c r="C102" s="17"/>
      <c r="D102" s="32">
        <f t="shared" si="2"/>
        <v>0.056544484817577186</v>
      </c>
      <c r="E102" s="32">
        <f t="shared" si="2"/>
        <v>0.06093509841836482</v>
      </c>
      <c r="F102" s="32">
        <f t="shared" si="3"/>
        <v>0.11747958323594201</v>
      </c>
      <c r="G102" s="17"/>
    </row>
    <row r="103" spans="1:7" ht="12">
      <c r="A103" s="5">
        <v>1991</v>
      </c>
      <c r="C103" s="17"/>
      <c r="D103" s="32">
        <f t="shared" si="2"/>
        <v>0.06689641566057639</v>
      </c>
      <c r="E103" s="32">
        <f t="shared" si="2"/>
        <v>0.08073858819170808</v>
      </c>
      <c r="F103" s="32">
        <f t="shared" si="3"/>
        <v>0.14763500385228445</v>
      </c>
      <c r="G103" s="17"/>
    </row>
    <row r="104" spans="1:7" ht="12">
      <c r="A104" s="5">
        <v>1992</v>
      </c>
      <c r="C104" s="17"/>
      <c r="D104" s="32">
        <f t="shared" si="2"/>
        <v>0.13189186816188558</v>
      </c>
      <c r="E104" s="32">
        <f t="shared" si="2"/>
        <v>0.0994852665004951</v>
      </c>
      <c r="F104" s="32">
        <f t="shared" si="3"/>
        <v>0.2313771346623807</v>
      </c>
      <c r="G104" s="17"/>
    </row>
    <row r="105" spans="1:7" ht="12">
      <c r="A105" s="5">
        <v>1993</v>
      </c>
      <c r="C105" s="17"/>
      <c r="D105" s="32">
        <f t="shared" si="2"/>
        <v>0.16714933502335075</v>
      </c>
      <c r="E105" s="32">
        <f t="shared" si="2"/>
        <v>0.15130060405650958</v>
      </c>
      <c r="F105" s="32">
        <f t="shared" si="3"/>
        <v>0.3184499390798603</v>
      </c>
      <c r="G105" s="17"/>
    </row>
    <row r="106" spans="1:7" ht="12">
      <c r="A106" s="5">
        <v>1994</v>
      </c>
      <c r="C106" s="17"/>
      <c r="D106" s="32">
        <f t="shared" si="2"/>
        <v>0.31601139139591494</v>
      </c>
      <c r="E106" s="32">
        <f t="shared" si="2"/>
        <v>0.24366961114924346</v>
      </c>
      <c r="F106" s="32">
        <f t="shared" si="3"/>
        <v>0.5596810025451584</v>
      </c>
      <c r="G106" s="17"/>
    </row>
    <row r="107" spans="1:7" ht="12">
      <c r="A107" s="5">
        <v>1995</v>
      </c>
      <c r="C107" s="17"/>
      <c r="D107" s="32">
        <f t="shared" si="2"/>
        <v>0.3063488268604884</v>
      </c>
      <c r="E107" s="32">
        <f t="shared" si="2"/>
        <v>0.40439174744998124</v>
      </c>
      <c r="F107" s="32">
        <f t="shared" si="3"/>
        <v>0.7107405743104697</v>
      </c>
      <c r="G107" s="17"/>
    </row>
    <row r="108" spans="1:7" ht="12">
      <c r="A108" s="5">
        <v>1996</v>
      </c>
      <c r="C108" s="17"/>
      <c r="D108" s="32">
        <f t="shared" si="2"/>
        <v>0.18373255804483965</v>
      </c>
      <c r="E108" s="32">
        <f t="shared" si="2"/>
        <v>0.4434906712923375</v>
      </c>
      <c r="F108" s="32">
        <f t="shared" si="3"/>
        <v>0.6272232293371771</v>
      </c>
      <c r="G108" s="17"/>
    </row>
    <row r="109" spans="1:7" ht="12">
      <c r="A109" s="5">
        <v>1997</v>
      </c>
      <c r="C109" s="17"/>
      <c r="D109" s="32">
        <f t="shared" si="2"/>
        <v>0.16520800006947517</v>
      </c>
      <c r="E109" s="32">
        <f t="shared" si="2"/>
        <v>0.5483178316789551</v>
      </c>
      <c r="F109" s="32">
        <f t="shared" si="3"/>
        <v>0.7135258317484303</v>
      </c>
      <c r="G109" s="17"/>
    </row>
    <row r="110" spans="1:7" ht="12">
      <c r="A110" s="5">
        <v>1998</v>
      </c>
      <c r="C110" s="17"/>
      <c r="D110" s="32">
        <f t="shared" si="2"/>
        <v>0.13187224178665358</v>
      </c>
      <c r="E110" s="32">
        <f t="shared" si="2"/>
        <v>0.43768039829715155</v>
      </c>
      <c r="F110" s="32">
        <f t="shared" si="3"/>
        <v>0.5695526400838051</v>
      </c>
      <c r="G110" s="17"/>
    </row>
    <row r="111" spans="1:7" ht="12">
      <c r="A111" s="5"/>
      <c r="B111" s="17"/>
      <c r="C111" s="17"/>
      <c r="D111" s="17"/>
      <c r="E111" s="17"/>
      <c r="F111" s="17"/>
      <c r="G111" s="17"/>
    </row>
    <row r="112" spans="1:7" ht="12">
      <c r="A112" s="1" t="s">
        <v>119</v>
      </c>
      <c r="B112" s="17"/>
      <c r="C112" s="17"/>
      <c r="D112" s="17"/>
      <c r="E112" s="17"/>
      <c r="F112" s="17"/>
      <c r="G112" s="17"/>
    </row>
    <row r="113" spans="1:7" ht="12">
      <c r="A113" s="2"/>
      <c r="B113" s="4"/>
      <c r="C113" s="4"/>
      <c r="D113" s="4"/>
      <c r="E113" s="4"/>
      <c r="F113" s="4"/>
      <c r="G113" s="4"/>
    </row>
    <row r="114" spans="1:7" ht="12">
      <c r="A114" s="1" t="s">
        <v>103</v>
      </c>
      <c r="B114" s="17"/>
      <c r="C114" s="17"/>
      <c r="D114" s="17"/>
      <c r="E114" s="17"/>
      <c r="F114" s="17"/>
      <c r="G114" s="17"/>
    </row>
    <row r="115" spans="1:7" ht="12">
      <c r="A115" s="1" t="s">
        <v>30</v>
      </c>
      <c r="B115" s="17"/>
      <c r="C115" s="17"/>
      <c r="D115" s="17"/>
      <c r="E115" s="17"/>
      <c r="F115" s="17"/>
      <c r="G115" s="17"/>
    </row>
    <row r="116" spans="1:7" ht="12">
      <c r="A116" s="1" t="s">
        <v>91</v>
      </c>
      <c r="B116" s="17"/>
      <c r="C116" s="17"/>
      <c r="D116" s="17"/>
      <c r="E116" s="17"/>
      <c r="F116" s="17"/>
      <c r="G116" s="17"/>
    </row>
    <row r="117" spans="1:7" ht="12">
      <c r="A117" s="1" t="s">
        <v>92</v>
      </c>
      <c r="B117" s="17"/>
      <c r="C117" s="17"/>
      <c r="D117" s="17"/>
      <c r="E117" s="17"/>
      <c r="F117" s="17"/>
      <c r="G117" s="17"/>
    </row>
    <row r="118" spans="2:7" ht="12">
      <c r="B118" s="17"/>
      <c r="C118" s="17"/>
      <c r="D118" s="17"/>
      <c r="E118" s="17"/>
      <c r="F118" s="17"/>
      <c r="G118" s="17"/>
    </row>
    <row r="119" spans="1:7" ht="12">
      <c r="A119" s="10" t="s">
        <v>7</v>
      </c>
      <c r="B119" s="17"/>
      <c r="C119" s="17"/>
      <c r="D119" s="17"/>
      <c r="E119" s="17"/>
      <c r="F119" s="17"/>
      <c r="G119" s="17"/>
    </row>
    <row r="120" spans="1:7" ht="12">
      <c r="A120" s="10" t="s">
        <v>14</v>
      </c>
      <c r="C120" s="17"/>
      <c r="D120" s="17"/>
      <c r="E120" s="17"/>
      <c r="F120" s="17"/>
      <c r="G120" s="17"/>
    </row>
    <row r="121" spans="2:7" ht="12">
      <c r="B121" s="4"/>
      <c r="C121" s="17"/>
      <c r="D121" s="17"/>
      <c r="E121" s="4" t="s">
        <v>13</v>
      </c>
      <c r="F121" s="4"/>
      <c r="G121" s="17"/>
    </row>
    <row r="122" spans="1:7" ht="12">
      <c r="A122" s="1" t="s">
        <v>0</v>
      </c>
      <c r="B122" s="4"/>
      <c r="C122" s="17"/>
      <c r="D122" s="17"/>
      <c r="E122" s="4" t="s">
        <v>9</v>
      </c>
      <c r="F122" s="4"/>
      <c r="G122" s="17"/>
    </row>
    <row r="123" spans="1:7" ht="12">
      <c r="A123" s="5">
        <v>1989</v>
      </c>
      <c r="B123" s="19"/>
      <c r="C123" s="17"/>
      <c r="D123" s="17"/>
      <c r="E123" s="19">
        <v>44225</v>
      </c>
      <c r="F123" s="19"/>
      <c r="G123" s="24"/>
    </row>
    <row r="124" spans="1:7" ht="12">
      <c r="A124" s="5">
        <v>1990</v>
      </c>
      <c r="B124" s="19"/>
      <c r="C124" s="17"/>
      <c r="D124" s="17"/>
      <c r="E124" s="19">
        <v>44225</v>
      </c>
      <c r="F124" s="19"/>
      <c r="G124" s="24"/>
    </row>
    <row r="125" spans="1:7" ht="12">
      <c r="A125" s="5">
        <v>1991</v>
      </c>
      <c r="B125" s="19"/>
      <c r="C125" s="17"/>
      <c r="D125" s="17"/>
      <c r="E125" s="19">
        <v>44225</v>
      </c>
      <c r="F125" s="19"/>
      <c r="G125" s="24"/>
    </row>
    <row r="126" spans="1:7" ht="12">
      <c r="A126" s="5">
        <v>1992</v>
      </c>
      <c r="B126" s="19"/>
      <c r="C126" s="17"/>
      <c r="D126" s="17"/>
      <c r="E126" s="19">
        <v>44225</v>
      </c>
      <c r="F126" s="19"/>
      <c r="G126" s="24"/>
    </row>
    <row r="127" spans="1:7" ht="12">
      <c r="A127" s="5">
        <v>1993</v>
      </c>
      <c r="B127" s="19"/>
      <c r="C127" s="17"/>
      <c r="D127" s="17"/>
      <c r="E127" s="19">
        <v>44225</v>
      </c>
      <c r="F127" s="19"/>
      <c r="G127" s="24"/>
    </row>
    <row r="128" spans="1:7" ht="12">
      <c r="A128" s="5">
        <v>1994</v>
      </c>
      <c r="B128" s="19"/>
      <c r="C128" s="17"/>
      <c r="D128" s="17"/>
      <c r="E128" s="19">
        <v>44225</v>
      </c>
      <c r="F128" s="19"/>
      <c r="G128" s="24"/>
    </row>
    <row r="129" spans="1:7" ht="12">
      <c r="A129" s="5">
        <v>1995</v>
      </c>
      <c r="B129" s="19"/>
      <c r="C129" s="17"/>
      <c r="D129" s="17"/>
      <c r="E129" s="19">
        <v>44225</v>
      </c>
      <c r="F129" s="19"/>
      <c r="G129" s="24"/>
    </row>
    <row r="130" spans="1:7" ht="12">
      <c r="A130" s="5">
        <v>1996</v>
      </c>
      <c r="B130" s="19"/>
      <c r="C130" s="17"/>
      <c r="D130" s="17"/>
      <c r="E130" s="19">
        <v>44225</v>
      </c>
      <c r="F130" s="19"/>
      <c r="G130" s="24"/>
    </row>
    <row r="131" spans="1:7" ht="12">
      <c r="A131" s="5">
        <v>1997</v>
      </c>
      <c r="B131" s="19"/>
      <c r="C131" s="17"/>
      <c r="D131" s="17"/>
      <c r="E131" s="19">
        <v>44225</v>
      </c>
      <c r="F131" s="19"/>
      <c r="G131" s="24"/>
    </row>
    <row r="132" spans="1:7" ht="12">
      <c r="A132" s="5">
        <v>1998</v>
      </c>
      <c r="B132" s="19"/>
      <c r="C132" s="17"/>
      <c r="D132" s="17"/>
      <c r="E132" s="19">
        <v>44225</v>
      </c>
      <c r="F132" s="19"/>
      <c r="G132" s="24"/>
    </row>
    <row r="133" spans="2:7" ht="12">
      <c r="B133" s="17"/>
      <c r="C133" s="17"/>
      <c r="D133" s="17"/>
      <c r="E133" s="17"/>
      <c r="F133" s="17"/>
      <c r="G133" s="17"/>
    </row>
    <row r="134" spans="1:7" ht="12">
      <c r="A134" s="1" t="s">
        <v>93</v>
      </c>
      <c r="B134" s="17"/>
      <c r="C134" s="17"/>
      <c r="D134" s="17"/>
      <c r="E134" s="17"/>
      <c r="F134" s="17"/>
      <c r="G134" s="17"/>
    </row>
    <row r="135" spans="1:7" ht="12">
      <c r="A135" s="1" t="s">
        <v>108</v>
      </c>
      <c r="B135" s="17"/>
      <c r="C135" s="17"/>
      <c r="D135" s="17"/>
      <c r="E135" s="17"/>
      <c r="F135" s="17"/>
      <c r="G135" s="17"/>
    </row>
    <row r="136" spans="2:7" ht="12">
      <c r="B136" s="17"/>
      <c r="C136" s="17"/>
      <c r="D136" s="17"/>
      <c r="E136" s="17"/>
      <c r="F136" s="17"/>
      <c r="G136" s="17"/>
    </row>
    <row r="137" spans="1:7" ht="12">
      <c r="A137" s="10" t="s">
        <v>106</v>
      </c>
      <c r="C137" s="17"/>
      <c r="D137" s="17"/>
      <c r="E137" s="17"/>
      <c r="F137" s="17"/>
      <c r="G137" s="17"/>
    </row>
    <row r="138" spans="3:7" ht="12">
      <c r="C138" s="17"/>
      <c r="D138" s="17" t="s">
        <v>11</v>
      </c>
      <c r="E138" s="4" t="s">
        <v>12</v>
      </c>
      <c r="F138" s="4" t="s">
        <v>5</v>
      </c>
      <c r="G138" s="24"/>
    </row>
    <row r="139" spans="1:7" ht="12">
      <c r="A139" s="5">
        <v>1989</v>
      </c>
      <c r="C139" s="17"/>
      <c r="D139" s="33">
        <f aca="true" t="shared" si="4" ref="D139:E148">($E123*D59)/($D38*$G38)</f>
        <v>0.013067666927701886</v>
      </c>
      <c r="E139" s="33">
        <f t="shared" si="4"/>
        <v>0</v>
      </c>
      <c r="F139" s="33">
        <f aca="true" t="shared" si="5" ref="F139:F148">D139+E139</f>
        <v>0.013067666927701886</v>
      </c>
      <c r="G139" s="24"/>
    </row>
    <row r="140" spans="1:7" ht="12">
      <c r="A140" s="5">
        <v>1990</v>
      </c>
      <c r="C140" s="17"/>
      <c r="D140" s="33">
        <f t="shared" si="4"/>
        <v>0.016348861719490713</v>
      </c>
      <c r="E140" s="33">
        <f t="shared" si="4"/>
        <v>0.011678437113196214</v>
      </c>
      <c r="F140" s="33">
        <f t="shared" si="5"/>
        <v>0.028027298832686925</v>
      </c>
      <c r="G140" s="24"/>
    </row>
    <row r="141" spans="1:7" ht="12">
      <c r="A141" s="5">
        <v>1991</v>
      </c>
      <c r="C141" s="17"/>
      <c r="D141" s="33">
        <f t="shared" si="4"/>
        <v>0.019207931304716198</v>
      </c>
      <c r="E141" s="33">
        <f t="shared" si="4"/>
        <v>0.01536663715739633</v>
      </c>
      <c r="F141" s="33">
        <f t="shared" si="5"/>
        <v>0.03457456846211253</v>
      </c>
      <c r="G141" s="24"/>
    </row>
    <row r="142" spans="1:7" ht="12">
      <c r="A142" s="5">
        <v>1992</v>
      </c>
      <c r="C142" s="17"/>
      <c r="D142" s="33">
        <f t="shared" si="4"/>
        <v>0.05774552773782841</v>
      </c>
      <c r="E142" s="33">
        <f t="shared" si="4"/>
        <v>0.02887214453422515</v>
      </c>
      <c r="F142" s="33">
        <f t="shared" si="5"/>
        <v>0.08661767227205355</v>
      </c>
      <c r="G142" s="24"/>
    </row>
    <row r="143" spans="1:7" ht="12">
      <c r="A143" s="5">
        <v>1993</v>
      </c>
      <c r="C143" s="17"/>
      <c r="D143" s="33">
        <f t="shared" si="4"/>
        <v>0.06669049530762915</v>
      </c>
      <c r="E143" s="33">
        <f t="shared" si="4"/>
        <v>0.04001473012728918</v>
      </c>
      <c r="F143" s="33">
        <f t="shared" si="5"/>
        <v>0.10670522543491832</v>
      </c>
      <c r="G143" s="24"/>
    </row>
    <row r="144" spans="1:7" ht="12">
      <c r="A144" s="5">
        <v>1994</v>
      </c>
      <c r="C144" s="17"/>
      <c r="D144" s="33">
        <f t="shared" si="4"/>
        <v>0.12149045441765341</v>
      </c>
      <c r="E144" s="33">
        <f t="shared" si="4"/>
        <v>0.06209558589538062</v>
      </c>
      <c r="F144" s="33">
        <f t="shared" si="5"/>
        <v>0.18358604031303402</v>
      </c>
      <c r="G144" s="24"/>
    </row>
    <row r="145" spans="1:7" ht="12">
      <c r="A145" s="5">
        <v>1995</v>
      </c>
      <c r="C145" s="17"/>
      <c r="D145" s="33">
        <f t="shared" si="4"/>
        <v>0.11128125209494835</v>
      </c>
      <c r="E145" s="33">
        <f t="shared" si="4"/>
        <v>0.09737063600147239</v>
      </c>
      <c r="F145" s="33">
        <f t="shared" si="5"/>
        <v>0.20865188809642074</v>
      </c>
      <c r="G145" s="24"/>
    </row>
    <row r="146" spans="1:7" ht="12">
      <c r="A146" s="5">
        <v>1996</v>
      </c>
      <c r="C146" s="17"/>
      <c r="D146" s="33">
        <f t="shared" si="4"/>
        <v>0.05704784038875515</v>
      </c>
      <c r="E146" s="33">
        <f t="shared" si="4"/>
        <v>0.09127619264142052</v>
      </c>
      <c r="F146" s="33">
        <f t="shared" si="5"/>
        <v>0.14832403303017566</v>
      </c>
      <c r="G146" s="24"/>
    </row>
    <row r="147" spans="1:7" ht="12">
      <c r="A147" s="5">
        <v>1997</v>
      </c>
      <c r="C147" s="17"/>
      <c r="D147" s="33">
        <f t="shared" si="4"/>
        <v>0.04732914187704625</v>
      </c>
      <c r="E147" s="33">
        <f t="shared" si="4"/>
        <v>0.10412376581026073</v>
      </c>
      <c r="F147" s="33">
        <f t="shared" si="5"/>
        <v>0.151452907687307</v>
      </c>
      <c r="G147" s="24"/>
    </row>
    <row r="148" spans="1:7" ht="12">
      <c r="A148" s="5">
        <v>1998</v>
      </c>
      <c r="C148" s="17"/>
      <c r="D148" s="33">
        <f t="shared" si="4"/>
        <v>0.03724169791197162</v>
      </c>
      <c r="E148" s="33">
        <f t="shared" si="4"/>
        <v>0.08193191794578425</v>
      </c>
      <c r="F148" s="33">
        <f t="shared" si="5"/>
        <v>0.11917361585775588</v>
      </c>
      <c r="G148" s="17"/>
    </row>
    <row r="149" spans="2:7" ht="12.75" customHeight="1">
      <c r="B149" s="17"/>
      <c r="C149" s="17"/>
      <c r="D149" s="17"/>
      <c r="E149" s="17"/>
      <c r="F149" s="17"/>
      <c r="G149" s="17"/>
    </row>
    <row r="150" spans="1:7" ht="12">
      <c r="A150" s="10" t="s">
        <v>15</v>
      </c>
      <c r="B150" s="17"/>
      <c r="C150" s="17"/>
      <c r="D150" s="17"/>
      <c r="E150" s="17"/>
      <c r="F150" s="17"/>
      <c r="G150" s="17"/>
    </row>
    <row r="151" spans="1:7" ht="12">
      <c r="A151" s="1" t="s">
        <v>94</v>
      </c>
      <c r="B151" s="17"/>
      <c r="C151" s="17"/>
      <c r="D151" s="17"/>
      <c r="E151" s="17"/>
      <c r="F151" s="17"/>
      <c r="G151" s="17"/>
    </row>
    <row r="152" spans="1:7" ht="12">
      <c r="A152" s="1" t="s">
        <v>40</v>
      </c>
      <c r="B152" s="17"/>
      <c r="C152" s="17"/>
      <c r="D152" s="17"/>
      <c r="E152" s="17"/>
      <c r="F152" s="17"/>
      <c r="G152" s="17"/>
    </row>
    <row r="153" spans="1:7" ht="12">
      <c r="A153" s="1" t="s">
        <v>41</v>
      </c>
      <c r="B153" s="17"/>
      <c r="C153" s="17"/>
      <c r="D153" s="17"/>
      <c r="E153" s="17"/>
      <c r="F153" s="17"/>
      <c r="G153" s="17"/>
    </row>
    <row r="154" spans="1:7" ht="12">
      <c r="A154" s="1" t="s">
        <v>95</v>
      </c>
      <c r="B154" s="17"/>
      <c r="C154" s="17"/>
      <c r="D154" s="17"/>
      <c r="E154" s="17"/>
      <c r="F154" s="17"/>
      <c r="G154" s="17"/>
    </row>
    <row r="155" spans="1:7" ht="12">
      <c r="A155" s="1" t="s">
        <v>96</v>
      </c>
      <c r="B155" s="17"/>
      <c r="C155" s="17"/>
      <c r="D155" s="17"/>
      <c r="E155" s="17"/>
      <c r="F155" s="17"/>
      <c r="G155" s="17"/>
    </row>
    <row r="156" spans="1:7" ht="12">
      <c r="A156" s="1" t="s">
        <v>42</v>
      </c>
      <c r="B156" s="17"/>
      <c r="C156" s="17"/>
      <c r="D156" s="17"/>
      <c r="E156" s="17"/>
      <c r="F156" s="17"/>
      <c r="G156" s="17"/>
    </row>
    <row r="157" spans="1:7" ht="12">
      <c r="A157" s="1" t="s">
        <v>97</v>
      </c>
      <c r="B157" s="17"/>
      <c r="C157" s="17"/>
      <c r="D157" s="17"/>
      <c r="E157" s="17"/>
      <c r="F157" s="17"/>
      <c r="G157" s="17"/>
    </row>
    <row r="158" spans="1:7" ht="12">
      <c r="A158" s="1" t="s">
        <v>98</v>
      </c>
      <c r="B158" s="17"/>
      <c r="C158" s="17"/>
      <c r="D158" s="17"/>
      <c r="E158" s="17"/>
      <c r="F158" s="17"/>
      <c r="G158" s="17"/>
    </row>
    <row r="159" spans="4:7" ht="12">
      <c r="D159" s="17"/>
      <c r="E159" s="17"/>
      <c r="F159" s="17"/>
      <c r="G159" s="17"/>
    </row>
    <row r="160" spans="1:7" ht="12">
      <c r="A160" s="10" t="s">
        <v>107</v>
      </c>
      <c r="B160" s="17"/>
      <c r="C160" s="17"/>
      <c r="D160" s="17"/>
      <c r="E160" s="17"/>
      <c r="F160" s="17"/>
      <c r="G160" s="17"/>
    </row>
    <row r="161" spans="2:7" ht="12">
      <c r="B161" s="3" t="s">
        <v>18</v>
      </c>
      <c r="C161" s="3" t="s">
        <v>16</v>
      </c>
      <c r="D161" s="1" t="s">
        <v>23</v>
      </c>
      <c r="F161" s="17"/>
      <c r="G161" s="17"/>
    </row>
    <row r="162" spans="2:7" ht="12">
      <c r="B162" s="3" t="s">
        <v>17</v>
      </c>
      <c r="C162" s="3" t="s">
        <v>26</v>
      </c>
      <c r="D162" s="1" t="s">
        <v>58</v>
      </c>
      <c r="F162" s="17"/>
      <c r="G162" s="17"/>
    </row>
    <row r="163" spans="2:7" ht="12">
      <c r="B163" s="32">
        <f aca="true" t="shared" si="6" ref="B163:B172">(F101/G$164)-F139</f>
        <v>0.08606926612021237</v>
      </c>
      <c r="C163" s="34">
        <f aca="true" t="shared" si="7" ref="C163:C172">(C38*G$164*G$165*B163)/(G$164+G$165)</f>
        <v>11180.695601090618</v>
      </c>
      <c r="D163" s="34">
        <f aca="true" t="shared" si="8" ref="D163:D172">((B163*$G38*$C38)-(0.5*B163*$G38*C163))/1000</f>
        <v>3307508.2481392007</v>
      </c>
      <c r="F163" s="17"/>
      <c r="G163" s="17"/>
    </row>
    <row r="164" spans="1:9" ht="12">
      <c r="A164" s="9">
        <v>1989</v>
      </c>
      <c r="B164" s="32">
        <f t="shared" si="6"/>
        <v>0.26567165925716807</v>
      </c>
      <c r="C164" s="34">
        <f t="shared" si="7"/>
        <v>28852.55528377289</v>
      </c>
      <c r="D164" s="34">
        <f t="shared" si="8"/>
        <v>9386310.454699764</v>
      </c>
      <c r="F164" s="17" t="s">
        <v>109</v>
      </c>
      <c r="G164" s="6">
        <v>0.4</v>
      </c>
      <c r="H164" s="1"/>
      <c r="I164" s="4"/>
    </row>
    <row r="165" spans="1:9" ht="12">
      <c r="A165" s="9">
        <v>1990</v>
      </c>
      <c r="B165" s="32">
        <f t="shared" si="6"/>
        <v>0.3345129411685986</v>
      </c>
      <c r="C165" s="34">
        <f t="shared" si="7"/>
        <v>58456.00781038907</v>
      </c>
      <c r="D165" s="34">
        <f t="shared" si="8"/>
        <v>18882417.05654467</v>
      </c>
      <c r="F165" s="17" t="s">
        <v>110</v>
      </c>
      <c r="G165" s="6">
        <v>10</v>
      </c>
      <c r="H165" s="1"/>
      <c r="I165" s="17"/>
    </row>
    <row r="166" spans="1:7" ht="12">
      <c r="A166" s="9">
        <v>1991</v>
      </c>
      <c r="B166" s="32">
        <f t="shared" si="6"/>
        <v>0.4918251643838981</v>
      </c>
      <c r="C166" s="34">
        <f t="shared" si="7"/>
        <v>77560.4500962912</v>
      </c>
      <c r="D166" s="34">
        <f t="shared" si="8"/>
        <v>15899095.728048</v>
      </c>
      <c r="F166" s="17"/>
      <c r="G166" s="17"/>
    </row>
    <row r="167" spans="1:7" ht="12">
      <c r="A167" s="9">
        <v>1992</v>
      </c>
      <c r="B167" s="32">
        <f t="shared" si="6"/>
        <v>0.6894196222647324</v>
      </c>
      <c r="C167" s="34">
        <f t="shared" si="7"/>
        <v>113385.39817576921</v>
      </c>
      <c r="D167" s="34">
        <f t="shared" si="8"/>
        <v>24434875.05884647</v>
      </c>
      <c r="F167" s="17"/>
      <c r="G167" s="17"/>
    </row>
    <row r="168" spans="1:7" ht="12">
      <c r="A168" s="9">
        <v>1993</v>
      </c>
      <c r="B168" s="32">
        <f t="shared" si="6"/>
        <v>1.2156164660498618</v>
      </c>
      <c r="C168" s="34">
        <f t="shared" si="7"/>
        <v>219337.41932773366</v>
      </c>
      <c r="D168" s="34">
        <f t="shared" si="8"/>
        <v>43332555.73725228</v>
      </c>
      <c r="F168" s="17"/>
      <c r="G168" s="17"/>
    </row>
    <row r="169" spans="1:7" ht="12">
      <c r="A169" s="9">
        <v>1994</v>
      </c>
      <c r="B169" s="32">
        <f t="shared" si="6"/>
        <v>1.5681995476797532</v>
      </c>
      <c r="C169" s="34">
        <f t="shared" si="7"/>
        <v>276502.53163220535</v>
      </c>
      <c r="D169" s="34">
        <f t="shared" si="8"/>
        <v>52698125.22512698</v>
      </c>
      <c r="F169" s="17"/>
      <c r="G169" s="17"/>
    </row>
    <row r="170" spans="1:7" ht="12">
      <c r="A170" s="9">
        <v>1995</v>
      </c>
      <c r="B170" s="32">
        <f t="shared" si="6"/>
        <v>1.4197340403127672</v>
      </c>
      <c r="C170" s="34">
        <f t="shared" si="7"/>
        <v>335256.5423310108</v>
      </c>
      <c r="D170" s="34">
        <f t="shared" si="8"/>
        <v>77808382.49278715</v>
      </c>
      <c r="F170" s="17"/>
      <c r="G170" s="17"/>
    </row>
    <row r="171" spans="1:7" ht="12">
      <c r="A171" s="9">
        <v>1996</v>
      </c>
      <c r="B171" s="32">
        <f t="shared" si="6"/>
        <v>1.6323616716837688</v>
      </c>
      <c r="C171" s="34">
        <f t="shared" si="7"/>
        <v>361470.79640906595</v>
      </c>
      <c r="D171" s="34">
        <f t="shared" si="8"/>
        <v>85809690.82558782</v>
      </c>
      <c r="F171" s="17"/>
      <c r="G171" s="17"/>
    </row>
    <row r="172" spans="1:7" ht="12">
      <c r="A172" s="9">
        <v>1997</v>
      </c>
      <c r="B172" s="32">
        <f t="shared" si="6"/>
        <v>1.3047079843517568</v>
      </c>
      <c r="C172" s="34">
        <f t="shared" si="7"/>
        <v>360227.8672364672</v>
      </c>
      <c r="D172" s="34">
        <f t="shared" si="8"/>
        <v>94715509.6165639</v>
      </c>
      <c r="F172" s="17"/>
      <c r="G172" s="17"/>
    </row>
    <row r="173" spans="1:7" ht="12">
      <c r="A173" s="9"/>
      <c r="B173" s="22"/>
      <c r="C173" s="19"/>
      <c r="D173" s="17"/>
      <c r="F173" s="17"/>
      <c r="G173" s="17"/>
    </row>
    <row r="174" spans="1:7" ht="12">
      <c r="A174" s="1" t="s">
        <v>122</v>
      </c>
      <c r="B174" s="22"/>
      <c r="C174" s="19"/>
      <c r="D174" s="17"/>
      <c r="F174" s="17"/>
      <c r="G174" s="17"/>
    </row>
    <row r="175" spans="1:7" ht="12">
      <c r="A175" s="10" t="s">
        <v>55</v>
      </c>
      <c r="B175" s="17"/>
      <c r="C175" s="17"/>
      <c r="D175" s="17"/>
      <c r="E175" s="17"/>
      <c r="F175" s="17"/>
      <c r="G175" s="17"/>
    </row>
    <row r="176" spans="1:7" ht="12">
      <c r="A176" s="1" t="s">
        <v>111</v>
      </c>
      <c r="B176" s="17"/>
      <c r="C176" s="17"/>
      <c r="D176" s="17"/>
      <c r="E176" s="17"/>
      <c r="F176" s="17"/>
      <c r="G176" s="17"/>
    </row>
    <row r="177" spans="1:7" ht="12">
      <c r="A177" s="1" t="s">
        <v>47</v>
      </c>
      <c r="B177" s="17"/>
      <c r="C177" s="17"/>
      <c r="D177" s="17"/>
      <c r="E177" s="17"/>
      <c r="F177" s="17"/>
      <c r="G177" s="17"/>
    </row>
    <row r="178" spans="1:7" ht="12">
      <c r="A178" s="1" t="s">
        <v>48</v>
      </c>
      <c r="B178" s="17"/>
      <c r="C178" s="17"/>
      <c r="D178" s="17"/>
      <c r="E178" s="17"/>
      <c r="F178" s="17"/>
      <c r="G178" s="17"/>
    </row>
    <row r="179" spans="1:7" ht="12">
      <c r="A179" s="1" t="s">
        <v>49</v>
      </c>
      <c r="B179" s="17"/>
      <c r="C179" s="17"/>
      <c r="D179" s="17"/>
      <c r="E179" s="17"/>
      <c r="F179" s="17"/>
      <c r="G179" s="17"/>
    </row>
    <row r="180" spans="1:7" ht="12">
      <c r="A180" s="1" t="s">
        <v>50</v>
      </c>
      <c r="B180" s="17"/>
      <c r="C180" s="17"/>
      <c r="D180" s="17"/>
      <c r="E180" s="17"/>
      <c r="F180" s="17"/>
      <c r="G180" s="17"/>
    </row>
    <row r="181" spans="1:7" ht="12">
      <c r="A181" s="1" t="s">
        <v>112</v>
      </c>
      <c r="B181" s="4"/>
      <c r="C181" s="4"/>
      <c r="D181" s="4"/>
      <c r="E181" s="4"/>
      <c r="F181" s="4"/>
      <c r="G181" s="4"/>
    </row>
    <row r="182" spans="1:7" ht="12">
      <c r="A182" s="1" t="s">
        <v>113</v>
      </c>
      <c r="B182" s="4"/>
      <c r="C182" s="4"/>
      <c r="D182" s="4"/>
      <c r="E182" s="4"/>
      <c r="F182" s="4"/>
      <c r="G182" s="4"/>
    </row>
    <row r="183" spans="1:7" ht="12">
      <c r="A183" s="1" t="s">
        <v>114</v>
      </c>
      <c r="B183" s="4"/>
      <c r="C183" s="4"/>
      <c r="D183" s="4"/>
      <c r="E183" s="4"/>
      <c r="F183" s="4"/>
      <c r="G183" s="4"/>
    </row>
    <row r="184" spans="1:7" ht="12">
      <c r="A184" s="1"/>
      <c r="B184" s="4"/>
      <c r="C184" s="4"/>
      <c r="D184" s="4"/>
      <c r="E184" s="4"/>
      <c r="F184" s="4"/>
      <c r="G184" s="4"/>
    </row>
    <row r="185" spans="1:7" ht="12">
      <c r="A185" s="10" t="s">
        <v>115</v>
      </c>
      <c r="B185" s="4"/>
      <c r="C185" s="4"/>
      <c r="D185" s="4"/>
      <c r="E185" s="4"/>
      <c r="F185" s="4"/>
      <c r="G185" s="4"/>
    </row>
    <row r="186" spans="1:7" ht="12">
      <c r="A186" s="1"/>
      <c r="B186" s="4" t="s">
        <v>51</v>
      </c>
      <c r="C186" s="17"/>
      <c r="D186" s="4" t="s">
        <v>53</v>
      </c>
      <c r="E186" s="4" t="s">
        <v>57</v>
      </c>
      <c r="F186" s="4" t="s">
        <v>57</v>
      </c>
      <c r="G186" s="4"/>
    </row>
    <row r="187" spans="1:7" ht="12">
      <c r="A187" s="1" t="s">
        <v>56</v>
      </c>
      <c r="B187" s="4" t="s">
        <v>52</v>
      </c>
      <c r="C187" s="17"/>
      <c r="D187" s="4" t="s">
        <v>54</v>
      </c>
      <c r="E187" s="4" t="s">
        <v>8</v>
      </c>
      <c r="F187" s="4" t="s">
        <v>19</v>
      </c>
      <c r="G187" s="4"/>
    </row>
    <row r="188" spans="1:7" ht="12">
      <c r="A188" s="1"/>
      <c r="B188" s="4" t="s">
        <v>117</v>
      </c>
      <c r="C188" s="17"/>
      <c r="D188" s="4" t="s">
        <v>117</v>
      </c>
      <c r="E188" s="4" t="s">
        <v>117</v>
      </c>
      <c r="F188" s="1" t="s">
        <v>118</v>
      </c>
      <c r="G188" s="4"/>
    </row>
    <row r="189" spans="1:7" ht="12">
      <c r="A189" s="1"/>
      <c r="B189" s="19">
        <v>22500</v>
      </c>
      <c r="C189" s="4"/>
      <c r="D189" s="17"/>
      <c r="E189" s="34">
        <f>SUM(B189,D189)</f>
        <v>22500</v>
      </c>
      <c r="F189" s="34">
        <f aca="true" t="shared" si="9" ref="F189:F208">E189/$F28</f>
        <v>48848.266429300274</v>
      </c>
      <c r="G189" s="4"/>
    </row>
    <row r="190" spans="1:7" ht="12">
      <c r="A190" s="5">
        <v>1979</v>
      </c>
      <c r="B190" s="19">
        <v>22500</v>
      </c>
      <c r="C190" s="4"/>
      <c r="D190" s="17"/>
      <c r="E190" s="34">
        <f aca="true" t="shared" si="10" ref="E190:E195">SUM(B190,D190)</f>
        <v>22500</v>
      </c>
      <c r="F190" s="34">
        <f t="shared" si="9"/>
        <v>48144.81961740917</v>
      </c>
      <c r="G190" s="4"/>
    </row>
    <row r="191" spans="1:7" ht="12">
      <c r="A191" s="5">
        <v>1980</v>
      </c>
      <c r="B191" s="19">
        <v>22500</v>
      </c>
      <c r="C191" s="4"/>
      <c r="D191" s="17"/>
      <c r="E191" s="34">
        <f t="shared" si="10"/>
        <v>22500</v>
      </c>
      <c r="F191" s="34">
        <f t="shared" si="9"/>
        <v>42509.77724876721</v>
      </c>
      <c r="G191" s="4"/>
    </row>
    <row r="192" spans="1:7" ht="12">
      <c r="A192" s="5">
        <v>1981</v>
      </c>
      <c r="B192" s="19">
        <v>22500</v>
      </c>
      <c r="C192" s="4"/>
      <c r="D192" s="17"/>
      <c r="E192" s="34">
        <f t="shared" si="10"/>
        <v>22500</v>
      </c>
      <c r="F192" s="34">
        <f t="shared" si="9"/>
        <v>41506.02298511317</v>
      </c>
      <c r="G192" s="4"/>
    </row>
    <row r="193" spans="1:7" ht="12">
      <c r="A193" s="5">
        <v>1982</v>
      </c>
      <c r="B193" s="19">
        <v>22500</v>
      </c>
      <c r="C193" s="4"/>
      <c r="D193" s="17"/>
      <c r="E193" s="34">
        <f t="shared" si="10"/>
        <v>22500</v>
      </c>
      <c r="F193" s="34">
        <f t="shared" si="9"/>
        <v>39635.00563697858</v>
      </c>
      <c r="G193" s="4"/>
    </row>
    <row r="194" spans="1:7" ht="12">
      <c r="A194" s="5">
        <v>1983</v>
      </c>
      <c r="B194" s="19">
        <v>22500</v>
      </c>
      <c r="C194" s="4"/>
      <c r="D194" s="17"/>
      <c r="E194" s="34">
        <f t="shared" si="10"/>
        <v>22500</v>
      </c>
      <c r="F194" s="34">
        <f t="shared" si="9"/>
        <v>34475.889861023854</v>
      </c>
      <c r="G194" s="4"/>
    </row>
    <row r="195" spans="1:7" ht="13.5" customHeight="1">
      <c r="A195" s="5">
        <v>1984</v>
      </c>
      <c r="B195" s="19">
        <f>18000</f>
        <v>18000</v>
      </c>
      <c r="C195" s="4"/>
      <c r="D195" s="17"/>
      <c r="E195" s="34">
        <f t="shared" si="10"/>
        <v>18000</v>
      </c>
      <c r="F195" s="34">
        <f t="shared" si="9"/>
        <v>27699.55219057292</v>
      </c>
      <c r="G195" s="4"/>
    </row>
    <row r="196" spans="1:7" ht="12">
      <c r="A196" s="5">
        <v>1985</v>
      </c>
      <c r="B196" s="19">
        <f>18000</f>
        <v>18000</v>
      </c>
      <c r="C196" s="17"/>
      <c r="D196" s="17"/>
      <c r="E196" s="34">
        <f aca="true" t="shared" si="11" ref="E196:E208">SUM(B196,D196)</f>
        <v>18000</v>
      </c>
      <c r="F196" s="34">
        <f t="shared" si="9"/>
        <v>27757.21687638786</v>
      </c>
      <c r="G196" s="4"/>
    </row>
    <row r="197" spans="1:7" ht="12">
      <c r="A197" s="5">
        <v>1986</v>
      </c>
      <c r="B197" s="19">
        <f>18000</f>
        <v>18000</v>
      </c>
      <c r="C197" s="17"/>
      <c r="D197" s="17"/>
      <c r="E197" s="34">
        <f t="shared" si="11"/>
        <v>18000</v>
      </c>
      <c r="F197" s="34">
        <f t="shared" si="9"/>
        <v>30203.369353647893</v>
      </c>
      <c r="G197" s="4"/>
    </row>
    <row r="198" spans="1:7" ht="12">
      <c r="A198" s="5">
        <v>1987</v>
      </c>
      <c r="B198" s="19">
        <f>18000</f>
        <v>18000</v>
      </c>
      <c r="C198" s="17"/>
      <c r="D198" s="17"/>
      <c r="E198" s="34">
        <f t="shared" si="11"/>
        <v>18000</v>
      </c>
      <c r="F198" s="34">
        <f t="shared" si="9"/>
        <v>28835.06343713956</v>
      </c>
      <c r="G198" s="4"/>
    </row>
    <row r="199" spans="1:7" ht="12">
      <c r="A199" s="5">
        <v>1988</v>
      </c>
      <c r="B199" s="19">
        <f>18000</f>
        <v>18000</v>
      </c>
      <c r="C199" s="17"/>
      <c r="D199" s="17"/>
      <c r="E199" s="34">
        <f t="shared" si="11"/>
        <v>18000</v>
      </c>
      <c r="F199" s="34">
        <f t="shared" si="9"/>
        <v>28527.05315540905</v>
      </c>
      <c r="G199" s="4"/>
    </row>
    <row r="200" spans="1:7" ht="12">
      <c r="A200" s="5">
        <v>1989</v>
      </c>
      <c r="B200" s="17"/>
      <c r="C200" s="17"/>
      <c r="D200" s="19">
        <v>25000</v>
      </c>
      <c r="E200" s="34">
        <f t="shared" si="11"/>
        <v>25000</v>
      </c>
      <c r="F200" s="34">
        <f t="shared" si="9"/>
        <v>39244.00351626271</v>
      </c>
      <c r="G200" s="4"/>
    </row>
    <row r="201" spans="1:7" ht="12">
      <c r="A201" s="5">
        <v>1990</v>
      </c>
      <c r="B201" s="17"/>
      <c r="C201" s="17"/>
      <c r="D201" s="19">
        <v>25000</v>
      </c>
      <c r="E201" s="34">
        <f t="shared" si="11"/>
        <v>25000</v>
      </c>
      <c r="F201" s="34">
        <f t="shared" si="9"/>
        <v>38155.123469979546</v>
      </c>
      <c r="G201" s="4"/>
    </row>
    <row r="202" spans="1:7" ht="12">
      <c r="A202" s="5">
        <v>1991</v>
      </c>
      <c r="B202" s="17"/>
      <c r="C202" s="17"/>
      <c r="D202" s="19">
        <v>25000</v>
      </c>
      <c r="E202" s="34">
        <f t="shared" si="11"/>
        <v>25000</v>
      </c>
      <c r="F202" s="34">
        <f t="shared" si="9"/>
        <v>38874.20307883689</v>
      </c>
      <c r="G202" s="4"/>
    </row>
    <row r="203" spans="1:7" ht="12">
      <c r="A203" s="5">
        <v>1992</v>
      </c>
      <c r="B203" s="17"/>
      <c r="C203" s="17"/>
      <c r="D203" s="19">
        <v>25000</v>
      </c>
      <c r="E203" s="34">
        <f t="shared" si="11"/>
        <v>25000</v>
      </c>
      <c r="F203" s="34">
        <f t="shared" si="9"/>
        <v>39161.62787054732</v>
      </c>
      <c r="G203" s="4"/>
    </row>
    <row r="204" spans="1:7" ht="12">
      <c r="A204" s="5">
        <v>1993</v>
      </c>
      <c r="B204" s="17"/>
      <c r="C204" s="17"/>
      <c r="D204" s="19">
        <v>25000</v>
      </c>
      <c r="E204" s="34">
        <f t="shared" si="11"/>
        <v>25000</v>
      </c>
      <c r="F204" s="34">
        <f t="shared" si="9"/>
        <v>31382.197506998233</v>
      </c>
      <c r="G204" s="4"/>
    </row>
    <row r="205" spans="1:7" ht="12">
      <c r="A205" s="5">
        <v>1994</v>
      </c>
      <c r="B205" s="17"/>
      <c r="C205" s="17"/>
      <c r="D205" s="19">
        <v>25000</v>
      </c>
      <c r="E205" s="34">
        <f t="shared" si="11"/>
        <v>25000</v>
      </c>
      <c r="F205" s="34">
        <f t="shared" si="9"/>
        <v>27913.62408164177</v>
      </c>
      <c r="G205" s="4"/>
    </row>
    <row r="206" spans="1:7" ht="12">
      <c r="A206" s="5">
        <v>1995</v>
      </c>
      <c r="B206" s="17"/>
      <c r="C206" s="17"/>
      <c r="D206" s="19">
        <v>25000</v>
      </c>
      <c r="E206" s="34">
        <f t="shared" si="11"/>
        <v>25000</v>
      </c>
      <c r="F206" s="34">
        <f t="shared" si="9"/>
        <v>26236.80288814726</v>
      </c>
      <c r="G206" s="4"/>
    </row>
    <row r="207" spans="1:7" ht="12">
      <c r="A207" s="5">
        <v>1996</v>
      </c>
      <c r="B207" s="17"/>
      <c r="C207" s="17"/>
      <c r="D207" s="19">
        <v>25000</v>
      </c>
      <c r="E207" s="34">
        <f t="shared" si="11"/>
        <v>25000</v>
      </c>
      <c r="F207" s="34">
        <f t="shared" si="9"/>
        <v>26404.731727925646</v>
      </c>
      <c r="G207" s="4"/>
    </row>
    <row r="208" spans="1:7" ht="12">
      <c r="A208" s="5">
        <v>1997</v>
      </c>
      <c r="B208" s="17"/>
      <c r="C208" s="17"/>
      <c r="D208" s="19">
        <v>25000</v>
      </c>
      <c r="E208" s="34">
        <f t="shared" si="11"/>
        <v>25000</v>
      </c>
      <c r="F208" s="34">
        <f t="shared" si="9"/>
        <v>25000</v>
      </c>
      <c r="G208" s="4"/>
    </row>
    <row r="209" spans="2:7" ht="12">
      <c r="B209" s="17"/>
      <c r="C209" s="17"/>
      <c r="D209" s="17"/>
      <c r="E209" s="17"/>
      <c r="F209" s="17"/>
      <c r="G209" s="17"/>
    </row>
    <row r="210" spans="1:7" ht="12">
      <c r="A210" s="10" t="s">
        <v>123</v>
      </c>
      <c r="B210" s="17"/>
      <c r="C210" s="17"/>
      <c r="D210" s="17"/>
      <c r="E210" s="17"/>
      <c r="F210" s="17"/>
      <c r="G210" s="17"/>
    </row>
    <row r="211" spans="1:7" ht="12">
      <c r="A211" s="1"/>
      <c r="B211" s="17" t="s">
        <v>23</v>
      </c>
      <c r="C211" s="1" t="s">
        <v>57</v>
      </c>
      <c r="E211" s="3" t="s">
        <v>60</v>
      </c>
      <c r="G211" s="17"/>
    </row>
    <row r="212" spans="2:7" ht="12">
      <c r="B212" s="19" t="s">
        <v>24</v>
      </c>
      <c r="C212" s="1" t="s">
        <v>19</v>
      </c>
      <c r="E212" s="3" t="s">
        <v>20</v>
      </c>
      <c r="G212" s="4"/>
    </row>
    <row r="213" spans="2:7" ht="12">
      <c r="B213" s="17"/>
      <c r="C213" s="1" t="s">
        <v>116</v>
      </c>
      <c r="E213" s="3" t="s">
        <v>59</v>
      </c>
      <c r="G213" s="4"/>
    </row>
    <row r="214" spans="2:7" ht="12">
      <c r="B214" s="17">
        <v>0</v>
      </c>
      <c r="C214" s="18">
        <v>48848.266429300274</v>
      </c>
      <c r="E214" s="34">
        <f aca="true" t="shared" si="12" ref="E214:E233">B214-C214</f>
        <v>-48848.266429300274</v>
      </c>
      <c r="G214" s="27"/>
    </row>
    <row r="215" spans="1:7" ht="12">
      <c r="A215" s="5">
        <v>1979</v>
      </c>
      <c r="B215" s="17">
        <v>0</v>
      </c>
      <c r="C215" s="18">
        <v>48144.81961740917</v>
      </c>
      <c r="E215" s="34">
        <f t="shared" si="12"/>
        <v>-48144.81961740917</v>
      </c>
      <c r="G215" s="27"/>
    </row>
    <row r="216" spans="1:8" ht="12">
      <c r="A216" s="5">
        <v>1980</v>
      </c>
      <c r="B216" s="17">
        <v>0</v>
      </c>
      <c r="C216" s="18">
        <v>42509.77724876721</v>
      </c>
      <c r="E216" s="34">
        <f t="shared" si="12"/>
        <v>-42509.77724876721</v>
      </c>
      <c r="H216" s="17"/>
    </row>
    <row r="217" spans="1:8" ht="12">
      <c r="A217" s="5">
        <v>1981</v>
      </c>
      <c r="B217" s="17">
        <v>0</v>
      </c>
      <c r="C217" s="18">
        <v>41506.02298511317</v>
      </c>
      <c r="E217" s="34">
        <f t="shared" si="12"/>
        <v>-41506.02298511317</v>
      </c>
      <c r="H217" s="17"/>
    </row>
    <row r="218" spans="1:5" ht="12">
      <c r="A218" s="5">
        <v>1982</v>
      </c>
      <c r="B218" s="17">
        <v>0</v>
      </c>
      <c r="C218" s="18">
        <v>39635.00563697858</v>
      </c>
      <c r="E218" s="34">
        <f t="shared" si="12"/>
        <v>-39635.00563697858</v>
      </c>
    </row>
    <row r="219" spans="1:5" ht="12">
      <c r="A219" s="5">
        <v>1983</v>
      </c>
      <c r="B219" s="17">
        <v>0</v>
      </c>
      <c r="C219" s="18">
        <v>34475.889861023854</v>
      </c>
      <c r="E219" s="34">
        <f t="shared" si="12"/>
        <v>-34475.889861023854</v>
      </c>
    </row>
    <row r="220" spans="1:7" ht="12">
      <c r="A220" s="5">
        <v>1984</v>
      </c>
      <c r="B220" s="17">
        <v>0</v>
      </c>
      <c r="C220" s="18">
        <v>27699.55219057292</v>
      </c>
      <c r="E220" s="34">
        <f t="shared" si="12"/>
        <v>-27699.55219057292</v>
      </c>
      <c r="G220" s="27"/>
    </row>
    <row r="221" spans="1:7" ht="12">
      <c r="A221" s="5">
        <v>1985</v>
      </c>
      <c r="B221" s="17">
        <v>0</v>
      </c>
      <c r="C221" s="18">
        <v>27757.21687638786</v>
      </c>
      <c r="E221" s="34">
        <f t="shared" si="12"/>
        <v>-27757.21687638786</v>
      </c>
      <c r="G221" s="27"/>
    </row>
    <row r="222" spans="1:7" ht="12">
      <c r="A222" s="5">
        <v>1986</v>
      </c>
      <c r="B222" s="17">
        <v>0</v>
      </c>
      <c r="C222" s="18">
        <v>30203.369353647893</v>
      </c>
      <c r="E222" s="34">
        <f t="shared" si="12"/>
        <v>-30203.369353647893</v>
      </c>
      <c r="G222" s="27"/>
    </row>
    <row r="223" spans="1:7" ht="12">
      <c r="A223" s="5">
        <v>1987</v>
      </c>
      <c r="B223" s="17">
        <v>0</v>
      </c>
      <c r="C223" s="18">
        <v>28835.06343713956</v>
      </c>
      <c r="E223" s="34">
        <f t="shared" si="12"/>
        <v>-28835.06343713956</v>
      </c>
      <c r="G223" s="27"/>
    </row>
    <row r="224" spans="1:7" ht="12">
      <c r="A224" s="5">
        <v>1988</v>
      </c>
      <c r="B224" s="18">
        <f aca="true" t="shared" si="13" ref="B224:B233">+D163</f>
        <v>3307508.2481392007</v>
      </c>
      <c r="C224" s="18">
        <v>28527.05315540905</v>
      </c>
      <c r="E224" s="34">
        <f t="shared" si="12"/>
        <v>3278981.1949837916</v>
      </c>
      <c r="G224" s="27"/>
    </row>
    <row r="225" spans="1:7" ht="12">
      <c r="A225" s="5">
        <v>1989</v>
      </c>
      <c r="B225" s="18">
        <f t="shared" si="13"/>
        <v>9386310.454699764</v>
      </c>
      <c r="C225" s="18">
        <v>39244.00351626271</v>
      </c>
      <c r="E225" s="34">
        <f t="shared" si="12"/>
        <v>9347066.451183502</v>
      </c>
      <c r="G225" s="17"/>
    </row>
    <row r="226" spans="1:7" ht="12">
      <c r="A226" s="5">
        <v>1990</v>
      </c>
      <c r="B226" s="18">
        <f t="shared" si="13"/>
        <v>18882417.05654467</v>
      </c>
      <c r="C226" s="18">
        <v>38155.123469979546</v>
      </c>
      <c r="E226" s="34">
        <f t="shared" si="12"/>
        <v>18844261.93307469</v>
      </c>
      <c r="G226" s="19"/>
    </row>
    <row r="227" spans="1:7" ht="12">
      <c r="A227" s="5">
        <v>1991</v>
      </c>
      <c r="B227" s="18">
        <f t="shared" si="13"/>
        <v>15899095.728048</v>
      </c>
      <c r="C227" s="18">
        <v>38874.20307883689</v>
      </c>
      <c r="E227" s="34">
        <f t="shared" si="12"/>
        <v>15860221.524969164</v>
      </c>
      <c r="G227" s="19"/>
    </row>
    <row r="228" spans="1:7" ht="12">
      <c r="A228" s="5">
        <v>1992</v>
      </c>
      <c r="B228" s="18">
        <f t="shared" si="13"/>
        <v>24434875.05884647</v>
      </c>
      <c r="C228" s="18">
        <v>39161.62787054732</v>
      </c>
      <c r="E228" s="34">
        <f t="shared" si="12"/>
        <v>24395713.43097592</v>
      </c>
      <c r="G228" s="19"/>
    </row>
    <row r="229" spans="1:7" ht="12">
      <c r="A229" s="5">
        <v>1993</v>
      </c>
      <c r="B229" s="18">
        <f t="shared" si="13"/>
        <v>43332555.73725228</v>
      </c>
      <c r="C229" s="18">
        <v>31382.197506998233</v>
      </c>
      <c r="E229" s="34">
        <f t="shared" si="12"/>
        <v>43301173.53974528</v>
      </c>
      <c r="G229" s="19"/>
    </row>
    <row r="230" spans="1:7" ht="12">
      <c r="A230" s="5">
        <v>1994</v>
      </c>
      <c r="B230" s="18">
        <f t="shared" si="13"/>
        <v>52698125.22512698</v>
      </c>
      <c r="C230" s="18">
        <v>27913.62408164177</v>
      </c>
      <c r="E230" s="34">
        <f t="shared" si="12"/>
        <v>52670211.60104534</v>
      </c>
      <c r="F230" s="3" t="s">
        <v>21</v>
      </c>
      <c r="G230" s="35">
        <f>IRR(E214:E233)</f>
        <v>0.7463312211529716</v>
      </c>
    </row>
    <row r="231" spans="1:7" ht="12">
      <c r="A231" s="5">
        <v>1995</v>
      </c>
      <c r="B231" s="18">
        <f t="shared" si="13"/>
        <v>77808382.49278715</v>
      </c>
      <c r="C231" s="18">
        <v>26236.80288814726</v>
      </c>
      <c r="E231" s="34">
        <f t="shared" si="12"/>
        <v>77782145.68989901</v>
      </c>
      <c r="F231" s="30" t="s">
        <v>61</v>
      </c>
      <c r="G231" s="36">
        <f>NPV(0.1,E214:E233)/1000</f>
        <v>81298.33891522452</v>
      </c>
    </row>
    <row r="232" spans="1:7" ht="12">
      <c r="A232" s="5">
        <v>1996</v>
      </c>
      <c r="B232" s="18">
        <f t="shared" si="13"/>
        <v>85809690.82558782</v>
      </c>
      <c r="C232" s="18">
        <v>26404.731727925646</v>
      </c>
      <c r="E232" s="34">
        <f t="shared" si="12"/>
        <v>85783286.0938599</v>
      </c>
      <c r="F232" s="30" t="s">
        <v>62</v>
      </c>
      <c r="G232" s="36">
        <f>NPV(0.15,E214:E233)/1000</f>
        <v>38173.9742985775</v>
      </c>
    </row>
    <row r="233" spans="1:7" ht="12">
      <c r="A233" s="5">
        <v>1997</v>
      </c>
      <c r="B233" s="18">
        <f t="shared" si="13"/>
        <v>94715509.6165639</v>
      </c>
      <c r="C233" s="18">
        <v>25000</v>
      </c>
      <c r="E233" s="34">
        <f t="shared" si="12"/>
        <v>94690509.6165639</v>
      </c>
      <c r="F233" s="6" t="s">
        <v>67</v>
      </c>
      <c r="G233" s="27"/>
    </row>
    <row r="234" spans="4:7" ht="12">
      <c r="D234" s="17"/>
      <c r="E234" s="18"/>
      <c r="F234" s="17"/>
      <c r="G234" s="28"/>
    </row>
    <row r="235" spans="5:6" ht="12">
      <c r="E235" s="8"/>
      <c r="F235" s="8"/>
    </row>
    <row r="236" spans="5:6" ht="12">
      <c r="E236" s="8"/>
      <c r="F236" s="8"/>
    </row>
    <row r="237" spans="5:6" ht="12">
      <c r="E237" s="8"/>
      <c r="F237" s="8"/>
    </row>
    <row r="238" spans="5:6" ht="12">
      <c r="E238" s="8"/>
      <c r="F238" s="8"/>
    </row>
    <row r="239" spans="5:6" ht="12">
      <c r="E239" s="8"/>
      <c r="F239" s="8"/>
    </row>
    <row r="240" spans="5:6" ht="12">
      <c r="E240" s="8"/>
      <c r="F240" s="8"/>
    </row>
    <row r="241" spans="5:6" ht="12">
      <c r="E241" s="8"/>
      <c r="F241" s="7"/>
    </row>
    <row r="242" spans="5:6" ht="12">
      <c r="E242" s="8"/>
      <c r="F242" s="7"/>
    </row>
    <row r="243" spans="5:6" ht="12">
      <c r="E243" s="8"/>
      <c r="F243" s="7"/>
    </row>
    <row r="244" spans="5:6" ht="12">
      <c r="E244" s="8"/>
      <c r="F244" s="7"/>
    </row>
    <row r="245" spans="5:6" ht="12">
      <c r="E245" s="8"/>
      <c r="F245" s="7"/>
    </row>
    <row r="246" spans="5:6" ht="12">
      <c r="E246" s="8"/>
      <c r="F246" s="7"/>
    </row>
    <row r="247" spans="5:6" ht="12">
      <c r="E247" s="8"/>
      <c r="F247" s="7"/>
    </row>
    <row r="248" spans="5:6" ht="12">
      <c r="E248" s="8"/>
      <c r="F248" s="7"/>
    </row>
    <row r="249" spans="5:6" ht="12">
      <c r="E249" s="8"/>
      <c r="F249" s="7"/>
    </row>
    <row r="250" spans="5:6" ht="12">
      <c r="E250" s="8"/>
      <c r="F250" s="7"/>
    </row>
  </sheetData>
  <printOptions/>
  <pageMargins left="0.78740157480315" right="0.196850393700787" top="0.78740157480315" bottom="0.78740157480315" header="0.511811023622047" footer="0.511811023622047"/>
  <pageSetup horizontalDpi="300" verticalDpi="300" orientation="portrait" paperSize="9" r:id="rId1"/>
  <rowBreaks count="3" manualBreakCount="3">
    <brk id="48" max="6" man="1"/>
    <brk id="111" max="255" man="1"/>
    <brk id="1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utilisateur satisfait de Microsoft Office</dc:creator>
  <cp:keywords/>
  <dc:description/>
  <cp:lastModifiedBy>William A. Masters</cp:lastModifiedBy>
  <cp:lastPrinted>2003-04-30T22:16:53Z</cp:lastPrinted>
  <dcterms:created xsi:type="dcterms:W3CDTF">2003-02-09T09:32:46Z</dcterms:created>
  <dcterms:modified xsi:type="dcterms:W3CDTF">2003-06-24T18:16:34Z</dcterms:modified>
  <cp:category/>
  <cp:version/>
  <cp:contentType/>
  <cp:contentStatus/>
</cp:coreProperties>
</file>