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howInkAnnotation="0" autoCompressPictures="0"/>
  <mc:AlternateContent xmlns:mc="http://schemas.openxmlformats.org/markup-compatibility/2006">
    <mc:Choice Requires="x15">
      <x15ac:absPath xmlns:x15ac="http://schemas.microsoft.com/office/spreadsheetml/2010/11/ac" url="C:\Users\srosal02\Downloads\"/>
    </mc:Choice>
  </mc:AlternateContent>
  <xr:revisionPtr revIDLastSave="0" documentId="8_{29D6E2BE-408F-4DD8-BF17-BEB881A6D946}" xr6:coauthVersionLast="46" xr6:coauthVersionMax="46" xr10:uidLastSave="{00000000-0000-0000-0000-000000000000}"/>
  <bookViews>
    <workbookView xWindow="1780" yWindow="200" windowWidth="17420" windowHeight="9920" tabRatio="952" firstSheet="2" activeTab="2" xr2:uid="{00000000-000D-0000-FFFF-FFFF00000000}"/>
  </bookViews>
  <sheets>
    <sheet name="Complete Data 1978-2022R" sheetId="1" r:id="rId1"/>
    <sheet name="Composition of ERDD" sheetId="16" r:id="rId2"/>
    <sheet name="Composition of ERDD&amp;BES" sheetId="15" r:id="rId3"/>
    <sheet name="Total DOE ERDD" sheetId="2" r:id="rId4"/>
    <sheet name="Comp of ERDD (no fusion)" sheetId="18" r:id="rId5"/>
    <sheet name="Composition of ERD3" sheetId="3" r:id="rId6"/>
    <sheet name="Compositions ERDD Stacked" sheetId="13" r:id="rId7"/>
    <sheet name="Composition of ERDD non-nuclear" sheetId="5" r:id="rId8"/>
    <sheet name="Cumulative Spending" sheetId="8" r:id="rId9"/>
    <sheet name="Efficiency Breakdown" sheetId="17" r:id="rId10"/>
    <sheet name="Fossil Breakdown" sheetId="10" r:id="rId11"/>
    <sheet name="Renewables Breakdown" sheetId="11" r:id="rId12"/>
  </sheets>
  <definedNames>
    <definedName name="_xlnm.Print_Area" localSheetId="0">'Complete Data 1978-2022R'!$A$1:$BD$319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6" i="1" l="1"/>
  <c r="B215" i="1"/>
  <c r="AV276" i="1"/>
  <c r="AW276" i="1"/>
  <c r="AV277" i="1"/>
  <c r="AX277" i="1"/>
  <c r="AV274" i="1"/>
  <c r="AY274" i="1"/>
  <c r="AX275" i="1"/>
  <c r="AX283" i="1"/>
  <c r="AX284" i="1"/>
  <c r="AX285" i="1"/>
  <c r="AX287" i="1"/>
  <c r="AX288" i="1"/>
  <c r="AX289" i="1"/>
  <c r="AX291" i="1"/>
  <c r="AX292" i="1"/>
  <c r="AX299" i="1"/>
  <c r="AX301" i="1"/>
  <c r="AX302" i="1"/>
  <c r="AX303" i="1"/>
  <c r="AX305" i="1"/>
  <c r="AX306" i="1"/>
  <c r="AX307" i="1"/>
  <c r="AX270" i="1"/>
  <c r="AX269" i="1"/>
  <c r="AW269" i="1"/>
  <c r="AW270" i="1"/>
  <c r="AY270" i="1"/>
  <c r="AY269" i="1"/>
  <c r="AX261" i="1"/>
  <c r="AX263" i="1"/>
  <c r="AX264" i="1"/>
  <c r="AX265" i="1"/>
  <c r="AX267" i="1"/>
  <c r="AX268" i="1"/>
  <c r="AX222" i="1"/>
  <c r="AX226" i="1" s="1"/>
  <c r="AX225" i="1"/>
  <c r="AX231" i="1"/>
  <c r="AX233" i="1"/>
  <c r="AX234" i="1"/>
  <c r="AX235" i="1"/>
  <c r="AX237" i="1"/>
  <c r="AX238" i="1"/>
  <c r="AX239" i="1"/>
  <c r="AX241" i="1"/>
  <c r="AX244" i="1"/>
  <c r="AX248" i="1"/>
  <c r="AX250" i="1"/>
  <c r="AX251" i="1"/>
  <c r="AX252" i="1"/>
  <c r="AX255" i="1"/>
  <c r="AX256" i="1"/>
  <c r="AX181" i="1"/>
  <c r="AX210" i="1"/>
  <c r="AY200" i="1"/>
  <c r="AY199" i="1"/>
  <c r="E200" i="1"/>
  <c r="F200" i="1"/>
  <c r="G200" i="1"/>
  <c r="H200" i="1"/>
  <c r="I200" i="1"/>
  <c r="J200" i="1"/>
  <c r="K200" i="1"/>
  <c r="L200" i="1"/>
  <c r="M200" i="1"/>
  <c r="N200" i="1"/>
  <c r="O200" i="1"/>
  <c r="P200" i="1"/>
  <c r="Q200" i="1"/>
  <c r="R200" i="1"/>
  <c r="S200" i="1"/>
  <c r="T200" i="1"/>
  <c r="U200" i="1"/>
  <c r="V200" i="1"/>
  <c r="W200" i="1"/>
  <c r="X200" i="1"/>
  <c r="Y200" i="1"/>
  <c r="Z200" i="1"/>
  <c r="AA200" i="1"/>
  <c r="AB200" i="1"/>
  <c r="AC200" i="1"/>
  <c r="AD200" i="1"/>
  <c r="AE200" i="1"/>
  <c r="AF200" i="1"/>
  <c r="AG200" i="1"/>
  <c r="AH200" i="1"/>
  <c r="AI200" i="1"/>
  <c r="AJ200" i="1"/>
  <c r="AK200" i="1"/>
  <c r="AL200" i="1"/>
  <c r="AM200" i="1"/>
  <c r="AN200" i="1"/>
  <c r="AO200" i="1"/>
  <c r="AP200" i="1"/>
  <c r="AQ200" i="1"/>
  <c r="AR200" i="1"/>
  <c r="AS200" i="1"/>
  <c r="AT200" i="1"/>
  <c r="AT276" i="1" s="1"/>
  <c r="AU200" i="1"/>
  <c r="AU277" i="1" s="1"/>
  <c r="AW200" i="1"/>
  <c r="AX200" i="1"/>
  <c r="AX276" i="1" s="1"/>
  <c r="AV200" i="1"/>
  <c r="E71" i="1"/>
  <c r="F71" i="1"/>
  <c r="G71" i="1"/>
  <c r="H71" i="1"/>
  <c r="I71" i="1"/>
  <c r="J71" i="1"/>
  <c r="K71" i="1"/>
  <c r="L71" i="1"/>
  <c r="M71" i="1"/>
  <c r="N71" i="1"/>
  <c r="O71" i="1"/>
  <c r="P71" i="1"/>
  <c r="Q71" i="1"/>
  <c r="R71" i="1"/>
  <c r="S71" i="1"/>
  <c r="T71" i="1"/>
  <c r="U71" i="1"/>
  <c r="V71" i="1"/>
  <c r="W71" i="1"/>
  <c r="X71" i="1"/>
  <c r="Y71" i="1"/>
  <c r="Z71" i="1"/>
  <c r="AA71" i="1"/>
  <c r="AC71" i="1"/>
  <c r="AD71" i="1"/>
  <c r="AF71" i="1"/>
  <c r="AG71" i="1"/>
  <c r="AH71" i="1"/>
  <c r="AI71" i="1"/>
  <c r="AL71" i="1"/>
  <c r="AM71" i="1"/>
  <c r="AN71" i="1"/>
  <c r="AO71" i="1"/>
  <c r="AP71" i="1"/>
  <c r="AQ71" i="1"/>
  <c r="AR71" i="1"/>
  <c r="AS71" i="1"/>
  <c r="AT71" i="1"/>
  <c r="AU71" i="1"/>
  <c r="AV71" i="1"/>
  <c r="AW71" i="1"/>
  <c r="AX71" i="1"/>
  <c r="AW53" i="1"/>
  <c r="AV53" i="1"/>
  <c r="AW277" i="1" l="1"/>
  <c r="AW282" i="1"/>
  <c r="AT277" i="1"/>
  <c r="AU276" i="1"/>
  <c r="AX208" i="1"/>
  <c r="AX258" i="1"/>
  <c r="AX253" i="1"/>
  <c r="AX249" i="1"/>
  <c r="AX240" i="1"/>
  <c r="AX236" i="1"/>
  <c r="AX232" i="1"/>
  <c r="AX266" i="1"/>
  <c r="AX262" i="1"/>
  <c r="AX304" i="1"/>
  <c r="AX300" i="1"/>
  <c r="AX294" i="1"/>
  <c r="AX290" i="1"/>
  <c r="AX286" i="1"/>
  <c r="AX282" i="1"/>
  <c r="AX274" i="1"/>
  <c r="AX74" i="1"/>
  <c r="AW74" i="1"/>
  <c r="AV74" i="1"/>
  <c r="AW75" i="1"/>
  <c r="AW274" i="1" s="1"/>
  <c r="AX101" i="1"/>
  <c r="AX216" i="1" s="1"/>
  <c r="AZ216" i="1" s="1"/>
  <c r="AX96" i="1"/>
  <c r="AX215" i="1" s="1"/>
  <c r="AZ215" i="1" s="1"/>
  <c r="AX91" i="1"/>
  <c r="AX214" i="1" s="1"/>
  <c r="AX186" i="1"/>
  <c r="AW17" i="1"/>
  <c r="AV17" i="1"/>
  <c r="AX15" i="1"/>
  <c r="AX230" i="1" s="1"/>
  <c r="AX35" i="1"/>
  <c r="AW15" i="1"/>
  <c r="AX159" i="1"/>
  <c r="AW159" i="1"/>
  <c r="AW165" i="1" s="1"/>
  <c r="AX125" i="1"/>
  <c r="AW125" i="1"/>
  <c r="AV125" i="1"/>
  <c r="AX115" i="1"/>
  <c r="AW115" i="1"/>
  <c r="AX48" i="1"/>
  <c r="AW48" i="1"/>
  <c r="AW84" i="1" l="1"/>
  <c r="AW55" i="1"/>
  <c r="AX165" i="1"/>
  <c r="AX168" i="1"/>
  <c r="AX207" i="1" s="1"/>
  <c r="AW118" i="1"/>
  <c r="AX55" i="1"/>
  <c r="AX118" i="1"/>
  <c r="AX295" i="1" s="1"/>
  <c r="AX254" i="1"/>
  <c r="AX273" i="1"/>
  <c r="AX80" i="1"/>
  <c r="AX132" i="1"/>
  <c r="AX298" i="1"/>
  <c r="AX40" i="1"/>
  <c r="AX212" i="1"/>
  <c r="AX223" i="1"/>
  <c r="AX195" i="1"/>
  <c r="AX293" i="1"/>
  <c r="AX84" i="1"/>
  <c r="AX85" i="1" s="1"/>
  <c r="AX37" i="1"/>
  <c r="AW268" i="1"/>
  <c r="AW299" i="1"/>
  <c r="AW186" i="1"/>
  <c r="AW80" i="1"/>
  <c r="AW35" i="1"/>
  <c r="AW37" i="1" s="1"/>
  <c r="AV15" i="1"/>
  <c r="AU15" i="1"/>
  <c r="AU17" i="1"/>
  <c r="AW168" i="1"/>
  <c r="AV159" i="1"/>
  <c r="AV165" i="1" s="1"/>
  <c r="AW132" i="1"/>
  <c r="AW120" i="1"/>
  <c r="AV115" i="1"/>
  <c r="AW70" i="1"/>
  <c r="AV48" i="1"/>
  <c r="AV178" i="1"/>
  <c r="AU178" i="1"/>
  <c r="AW178" i="1"/>
  <c r="AW181" i="1" s="1"/>
  <c r="AW91" i="1"/>
  <c r="AW214" i="1" s="1"/>
  <c r="AV84" i="1" l="1"/>
  <c r="AV118" i="1"/>
  <c r="AW223" i="1"/>
  <c r="AW195" i="1"/>
  <c r="AX137" i="1"/>
  <c r="AX213" i="1"/>
  <c r="AX170" i="1"/>
  <c r="AW170" i="1"/>
  <c r="AW207" i="1"/>
  <c r="AX120" i="1"/>
  <c r="AX174" i="1"/>
  <c r="AX220" i="1" s="1"/>
  <c r="AX278" i="1"/>
  <c r="AX70" i="1"/>
  <c r="AX209" i="1"/>
  <c r="AW220" i="1"/>
  <c r="AW278" i="1"/>
  <c r="AW174" i="1"/>
  <c r="AX173" i="1"/>
  <c r="AW288" i="1"/>
  <c r="AW236" i="1"/>
  <c r="AW298" i="1"/>
  <c r="AW232" i="1"/>
  <c r="AW264" i="1"/>
  <c r="AW284" i="1"/>
  <c r="AW225" i="1"/>
  <c r="AW256" i="1"/>
  <c r="AW275" i="1"/>
  <c r="AW306" i="1"/>
  <c r="AW240" i="1"/>
  <c r="AW251" i="1"/>
  <c r="AW292" i="1"/>
  <c r="AW302" i="1"/>
  <c r="AW222" i="1"/>
  <c r="AW226" i="1" s="1"/>
  <c r="AW239" i="1"/>
  <c r="AW235" i="1"/>
  <c r="AW231" i="1"/>
  <c r="AW255" i="1"/>
  <c r="AW250" i="1"/>
  <c r="AW267" i="1"/>
  <c r="AW263" i="1"/>
  <c r="AW273" i="1"/>
  <c r="AW291" i="1"/>
  <c r="AW287" i="1"/>
  <c r="AW283" i="1"/>
  <c r="AW305" i="1"/>
  <c r="AW301" i="1"/>
  <c r="AW210" i="1"/>
  <c r="AW213" i="1"/>
  <c r="AW208" i="1"/>
  <c r="AW244" i="1"/>
  <c r="AW238" i="1"/>
  <c r="AW234" i="1"/>
  <c r="AW230" i="1"/>
  <c r="AW253" i="1"/>
  <c r="AW249" i="1"/>
  <c r="AW266" i="1"/>
  <c r="AW262" i="1"/>
  <c r="AW295" i="1"/>
  <c r="AW290" i="1"/>
  <c r="AW286" i="1"/>
  <c r="AW304" i="1"/>
  <c r="AW300" i="1"/>
  <c r="AW241" i="1"/>
  <c r="AW237" i="1"/>
  <c r="AW233" i="1"/>
  <c r="AW258" i="1"/>
  <c r="AW252" i="1"/>
  <c r="AW248" i="1"/>
  <c r="AW265" i="1"/>
  <c r="AW261" i="1"/>
  <c r="AW294" i="1"/>
  <c r="AW289" i="1"/>
  <c r="AW285" i="1"/>
  <c r="AW307" i="1"/>
  <c r="AW303" i="1"/>
  <c r="AW212" i="1"/>
  <c r="AW85" i="1"/>
  <c r="AW254" i="1"/>
  <c r="AW122" i="1"/>
  <c r="AW211" i="1"/>
  <c r="AW293" i="1"/>
  <c r="AW209" i="1"/>
  <c r="AW137" i="1"/>
  <c r="AW40" i="1"/>
  <c r="AY307" i="1"/>
  <c r="AY306" i="1"/>
  <c r="B306" i="1" s="1"/>
  <c r="B305" i="1"/>
  <c r="AC303" i="1"/>
  <c r="AB303" i="1"/>
  <c r="AA303" i="1"/>
  <c r="Z303" i="1"/>
  <c r="Y303" i="1"/>
  <c r="X303" i="1"/>
  <c r="W303" i="1"/>
  <c r="V303" i="1"/>
  <c r="U303" i="1"/>
  <c r="T303" i="1"/>
  <c r="S303" i="1"/>
  <c r="R303" i="1"/>
  <c r="Q303" i="1"/>
  <c r="P303" i="1"/>
  <c r="O303" i="1"/>
  <c r="N303" i="1"/>
  <c r="M303" i="1"/>
  <c r="L303" i="1"/>
  <c r="K303" i="1"/>
  <c r="J303" i="1"/>
  <c r="I303" i="1"/>
  <c r="H303" i="1"/>
  <c r="G303" i="1"/>
  <c r="F303" i="1"/>
  <c r="AY302" i="1"/>
  <c r="AH302" i="1"/>
  <c r="AH301" i="1"/>
  <c r="AG301" i="1"/>
  <c r="AF301" i="1"/>
  <c r="AE301" i="1"/>
  <c r="AD301" i="1"/>
  <c r="AC301" i="1"/>
  <c r="AB301" i="1"/>
  <c r="AA301" i="1"/>
  <c r="Z301" i="1"/>
  <c r="Y301" i="1"/>
  <c r="X301" i="1"/>
  <c r="W301" i="1"/>
  <c r="V301" i="1"/>
  <c r="U301" i="1"/>
  <c r="T301" i="1"/>
  <c r="S301" i="1"/>
  <c r="R301" i="1"/>
  <c r="Q301" i="1"/>
  <c r="P301" i="1"/>
  <c r="O301" i="1"/>
  <c r="N301" i="1"/>
  <c r="M301" i="1"/>
  <c r="L301" i="1"/>
  <c r="K301" i="1"/>
  <c r="J301" i="1"/>
  <c r="I301" i="1"/>
  <c r="H301" i="1"/>
  <c r="G301" i="1"/>
  <c r="F301" i="1"/>
  <c r="AJ300" i="1"/>
  <c r="AI300" i="1"/>
  <c r="AH300" i="1"/>
  <c r="AG300" i="1"/>
  <c r="AF300" i="1"/>
  <c r="AE300" i="1"/>
  <c r="AD300" i="1"/>
  <c r="AC300" i="1"/>
  <c r="AB300" i="1"/>
  <c r="AA300" i="1"/>
  <c r="Z300" i="1"/>
  <c r="Y300" i="1"/>
  <c r="X300" i="1"/>
  <c r="W300" i="1"/>
  <c r="V300" i="1"/>
  <c r="U300" i="1"/>
  <c r="T300" i="1"/>
  <c r="S300" i="1"/>
  <c r="R300" i="1"/>
  <c r="Q300" i="1"/>
  <c r="P300" i="1"/>
  <c r="O300" i="1"/>
  <c r="N300" i="1"/>
  <c r="M300" i="1"/>
  <c r="L300" i="1"/>
  <c r="K300" i="1"/>
  <c r="J300" i="1"/>
  <c r="I300" i="1"/>
  <c r="H300" i="1"/>
  <c r="G300" i="1"/>
  <c r="F300" i="1"/>
  <c r="AY289" i="1"/>
  <c r="AY277" i="1"/>
  <c r="B277" i="1" s="1"/>
  <c r="AY276" i="1"/>
  <c r="B276" i="1" s="1"/>
  <c r="AY273" i="1"/>
  <c r="AY268" i="1"/>
  <c r="AR268" i="1"/>
  <c r="AQ268" i="1"/>
  <c r="AY267" i="1"/>
  <c r="B266" i="1"/>
  <c r="AY266" i="1" s="1"/>
  <c r="B265" i="1"/>
  <c r="AY265" i="1" s="1"/>
  <c r="B264" i="1"/>
  <c r="AY264" i="1" s="1"/>
  <c r="B263" i="1"/>
  <c r="AY263" i="1" s="1"/>
  <c r="B262" i="1"/>
  <c r="AY262" i="1" s="1"/>
  <c r="B261" i="1"/>
  <c r="AY261" i="1" s="1"/>
  <c r="AH258" i="1"/>
  <c r="AG258" i="1"/>
  <c r="AF258" i="1"/>
  <c r="AE258" i="1"/>
  <c r="AD258" i="1"/>
  <c r="AC258" i="1"/>
  <c r="AB258" i="1"/>
  <c r="AA258" i="1"/>
  <c r="Z258" i="1"/>
  <c r="Y258" i="1"/>
  <c r="X258" i="1"/>
  <c r="W258" i="1"/>
  <c r="V258" i="1"/>
  <c r="A226" i="1"/>
  <c r="A220" i="1"/>
  <c r="Z206" i="1"/>
  <c r="AA206" i="1" s="1"/>
  <c r="AB206" i="1" s="1"/>
  <c r="AC206" i="1" s="1"/>
  <c r="AD206" i="1" s="1"/>
  <c r="AE206" i="1" s="1"/>
  <c r="F206" i="1"/>
  <c r="G206" i="1" s="1"/>
  <c r="H206" i="1" s="1"/>
  <c r="I206" i="1" s="1"/>
  <c r="J206" i="1" s="1"/>
  <c r="K206" i="1" s="1"/>
  <c r="L206" i="1" s="1"/>
  <c r="M206" i="1" s="1"/>
  <c r="N206" i="1" s="1"/>
  <c r="O206" i="1" s="1"/>
  <c r="P206" i="1" s="1"/>
  <c r="Q206" i="1" s="1"/>
  <c r="R206" i="1" s="1"/>
  <c r="S206" i="1" s="1"/>
  <c r="T206" i="1" s="1"/>
  <c r="U206" i="1" s="1"/>
  <c r="V206" i="1" s="1"/>
  <c r="W206" i="1" s="1"/>
  <c r="X206" i="1" s="1"/>
  <c r="AV208" i="1"/>
  <c r="O210" i="1"/>
  <c r="N210" i="1"/>
  <c r="L210" i="1"/>
  <c r="K210" i="1"/>
  <c r="J210" i="1"/>
  <c r="H210" i="1"/>
  <c r="G210" i="1"/>
  <c r="F210" i="1"/>
  <c r="BF195" i="1"/>
  <c r="BF196" i="1" s="1"/>
  <c r="AV194" i="1"/>
  <c r="AU194" i="1"/>
  <c r="AT194" i="1"/>
  <c r="AT195" i="1" s="1"/>
  <c r="AS194" i="1"/>
  <c r="AR194" i="1"/>
  <c r="AQ194" i="1"/>
  <c r="AP194" i="1"/>
  <c r="AO194" i="1"/>
  <c r="AN194" i="1"/>
  <c r="AM194" i="1"/>
  <c r="AL194" i="1"/>
  <c r="AL195" i="1" s="1"/>
  <c r="AK194" i="1"/>
  <c r="AJ194" i="1"/>
  <c r="AI194" i="1"/>
  <c r="AH194" i="1"/>
  <c r="AG194" i="1"/>
  <c r="AF194" i="1"/>
  <c r="AE194" i="1"/>
  <c r="AD194" i="1"/>
  <c r="AC194" i="1"/>
  <c r="AB194" i="1"/>
  <c r="AA194" i="1"/>
  <c r="Z194" i="1"/>
  <c r="Y194" i="1"/>
  <c r="X194" i="1"/>
  <c r="W194" i="1"/>
  <c r="V194" i="1"/>
  <c r="U194" i="1"/>
  <c r="T194" i="1"/>
  <c r="S194" i="1"/>
  <c r="R194" i="1"/>
  <c r="Q194" i="1"/>
  <c r="P194" i="1"/>
  <c r="N194" i="1"/>
  <c r="M194" i="1"/>
  <c r="L194" i="1"/>
  <c r="K194" i="1"/>
  <c r="J194" i="1"/>
  <c r="I194" i="1"/>
  <c r="H194" i="1"/>
  <c r="G194" i="1"/>
  <c r="F194" i="1"/>
  <c r="E194" i="1"/>
  <c r="AV186" i="1"/>
  <c r="AV223" i="1" s="1"/>
  <c r="AU186" i="1"/>
  <c r="AT186" i="1"/>
  <c r="AS186" i="1"/>
  <c r="AR186" i="1"/>
  <c r="AQ186" i="1"/>
  <c r="AP186" i="1"/>
  <c r="AO186" i="1"/>
  <c r="AN186" i="1"/>
  <c r="AM186" i="1"/>
  <c r="AL186" i="1"/>
  <c r="AK186" i="1"/>
  <c r="AJ186" i="1"/>
  <c r="AI186" i="1"/>
  <c r="AH186" i="1"/>
  <c r="AG186" i="1"/>
  <c r="AF186" i="1"/>
  <c r="AE186" i="1"/>
  <c r="AD186" i="1"/>
  <c r="AC186" i="1"/>
  <c r="AB186" i="1"/>
  <c r="AA186" i="1"/>
  <c r="Z186" i="1"/>
  <c r="Y186" i="1"/>
  <c r="X186" i="1"/>
  <c r="W186" i="1"/>
  <c r="V186" i="1"/>
  <c r="U186" i="1"/>
  <c r="T186" i="1"/>
  <c r="S186" i="1"/>
  <c r="R186" i="1"/>
  <c r="Q186" i="1"/>
  <c r="P186" i="1"/>
  <c r="O186" i="1"/>
  <c r="N186" i="1"/>
  <c r="M186" i="1"/>
  <c r="L186" i="1"/>
  <c r="K186" i="1"/>
  <c r="J186" i="1"/>
  <c r="I186" i="1"/>
  <c r="H186" i="1"/>
  <c r="G186" i="1"/>
  <c r="F186" i="1"/>
  <c r="E186" i="1"/>
  <c r="AV181" i="1"/>
  <c r="AU181" i="1"/>
  <c r="AS181" i="1"/>
  <c r="AR181" i="1"/>
  <c r="AQ181" i="1"/>
  <c r="AP179" i="1"/>
  <c r="AP181" i="1" s="1"/>
  <c r="AO179" i="1"/>
  <c r="AO181" i="1" s="1"/>
  <c r="AN179" i="1"/>
  <c r="AN181" i="1" s="1"/>
  <c r="AM179" i="1"/>
  <c r="AM181" i="1" s="1"/>
  <c r="AL179" i="1"/>
  <c r="AL181" i="1" s="1"/>
  <c r="AT178" i="1"/>
  <c r="AT181" i="1" s="1"/>
  <c r="AB176" i="1"/>
  <c r="AA176" i="1"/>
  <c r="AH174" i="1"/>
  <c r="AG174" i="1"/>
  <c r="AF174" i="1"/>
  <c r="AD174" i="1"/>
  <c r="AC174" i="1"/>
  <c r="AA174" i="1"/>
  <c r="Z174" i="1"/>
  <c r="Y174" i="1"/>
  <c r="X174" i="1"/>
  <c r="W174" i="1"/>
  <c r="V174" i="1"/>
  <c r="U174" i="1"/>
  <c r="T174" i="1"/>
  <c r="S174" i="1"/>
  <c r="R174" i="1"/>
  <c r="Q174" i="1"/>
  <c r="P174" i="1"/>
  <c r="O174" i="1"/>
  <c r="N174" i="1"/>
  <c r="M174" i="1"/>
  <c r="L174" i="1"/>
  <c r="K174" i="1"/>
  <c r="J174" i="1"/>
  <c r="I174" i="1"/>
  <c r="H174" i="1"/>
  <c r="G174" i="1"/>
  <c r="F174" i="1"/>
  <c r="E174" i="1"/>
  <c r="AP171" i="1"/>
  <c r="AL169" i="1"/>
  <c r="AJ169" i="1"/>
  <c r="AI169" i="1"/>
  <c r="AH169" i="1"/>
  <c r="AD169" i="1"/>
  <c r="AC169" i="1"/>
  <c r="AB169" i="1"/>
  <c r="AA169" i="1"/>
  <c r="Z169" i="1"/>
  <c r="Y169" i="1"/>
  <c r="S168" i="1"/>
  <c r="S170" i="1" s="1"/>
  <c r="R168" i="1"/>
  <c r="R170" i="1" s="1"/>
  <c r="Q168" i="1"/>
  <c r="Q170" i="1" s="1"/>
  <c r="P168" i="1"/>
  <c r="P170" i="1" s="1"/>
  <c r="O168" i="1"/>
  <c r="O170" i="1" s="1"/>
  <c r="N168" i="1"/>
  <c r="N170" i="1" s="1"/>
  <c r="M168" i="1"/>
  <c r="M170" i="1" s="1"/>
  <c r="L168" i="1"/>
  <c r="L170" i="1" s="1"/>
  <c r="K168" i="1"/>
  <c r="K170" i="1" s="1"/>
  <c r="J168" i="1"/>
  <c r="J170" i="1" s="1"/>
  <c r="I168" i="1"/>
  <c r="I170" i="1" s="1"/>
  <c r="H168" i="1"/>
  <c r="H170" i="1" s="1"/>
  <c r="G168" i="1"/>
  <c r="G170" i="1" s="1"/>
  <c r="F168" i="1"/>
  <c r="F170" i="1" s="1"/>
  <c r="E168" i="1"/>
  <c r="E170" i="1" s="1"/>
  <c r="AV168" i="1"/>
  <c r="AV207" i="1" s="1"/>
  <c r="AP165" i="1"/>
  <c r="AO165" i="1"/>
  <c r="AO164" i="1" s="1"/>
  <c r="AO168" i="1" s="1"/>
  <c r="AO170" i="1" s="1"/>
  <c r="AN165" i="1"/>
  <c r="AN164" i="1" s="1"/>
  <c r="AN168" i="1" s="1"/>
  <c r="AN170" i="1" s="1"/>
  <c r="AM165" i="1"/>
  <c r="AM164" i="1" s="1"/>
  <c r="AM168" i="1" s="1"/>
  <c r="AM170" i="1" s="1"/>
  <c r="AL165" i="1"/>
  <c r="AL164" i="1" s="1"/>
  <c r="AL168" i="1" s="1"/>
  <c r="AL170" i="1" s="1"/>
  <c r="AK165" i="1"/>
  <c r="AK164" i="1" s="1"/>
  <c r="AK168" i="1" s="1"/>
  <c r="AK170" i="1" s="1"/>
  <c r="AJ165" i="1"/>
  <c r="AI165" i="1"/>
  <c r="AI164" i="1" s="1"/>
  <c r="AI168" i="1" s="1"/>
  <c r="AH165" i="1"/>
  <c r="AG165" i="1"/>
  <c r="AG164" i="1" s="1"/>
  <c r="AG168" i="1" s="1"/>
  <c r="AG170" i="1" s="1"/>
  <c r="AF165" i="1"/>
  <c r="AF164" i="1" s="1"/>
  <c r="AF168" i="1" s="1"/>
  <c r="AF170" i="1" s="1"/>
  <c r="AE165" i="1"/>
  <c r="AE164" i="1" s="1"/>
  <c r="AE168" i="1" s="1"/>
  <c r="AE170" i="1" s="1"/>
  <c r="AC165" i="1"/>
  <c r="AC164" i="1" s="1"/>
  <c r="AC168" i="1" s="1"/>
  <c r="AB165" i="1"/>
  <c r="AA165" i="1"/>
  <c r="AA164" i="1" s="1"/>
  <c r="AA168" i="1" s="1"/>
  <c r="AA170" i="1" s="1"/>
  <c r="Z165" i="1"/>
  <c r="Y165" i="1"/>
  <c r="Y164" i="1" s="1"/>
  <c r="Y168" i="1" s="1"/>
  <c r="X165" i="1"/>
  <c r="U165" i="1"/>
  <c r="U164" i="1" s="1"/>
  <c r="U168" i="1" s="1"/>
  <c r="U170" i="1" s="1"/>
  <c r="T165" i="1"/>
  <c r="T168" i="1" s="1"/>
  <c r="T170" i="1" s="1"/>
  <c r="AP164" i="1"/>
  <c r="AP168" i="1" s="1"/>
  <c r="AP170" i="1" s="1"/>
  <c r="AJ164" i="1"/>
  <c r="AJ168" i="1" s="1"/>
  <c r="AH164" i="1"/>
  <c r="AH168" i="1" s="1"/>
  <c r="AH170" i="1" s="1"/>
  <c r="AB164" i="1"/>
  <c r="AB168" i="1" s="1"/>
  <c r="Z164" i="1"/>
  <c r="Z168" i="1" s="1"/>
  <c r="Z170" i="1" s="1"/>
  <c r="X164" i="1"/>
  <c r="X168" i="1" s="1"/>
  <c r="X170" i="1" s="1"/>
  <c r="AU159" i="1"/>
  <c r="AU165" i="1" s="1"/>
  <c r="AU168" i="1" s="1"/>
  <c r="AU170" i="1" s="1"/>
  <c r="AT159" i="1"/>
  <c r="AT165" i="1" s="1"/>
  <c r="AS159" i="1"/>
  <c r="AS165" i="1" s="1"/>
  <c r="AR159" i="1"/>
  <c r="AR165" i="1" s="1"/>
  <c r="AR164" i="1" s="1"/>
  <c r="AR168" i="1" s="1"/>
  <c r="AR170" i="1" s="1"/>
  <c r="AQ159" i="1"/>
  <c r="AQ157" i="1"/>
  <c r="B153" i="1"/>
  <c r="AE149" i="1"/>
  <c r="AD149" i="1"/>
  <c r="AD165" i="1" s="1"/>
  <c r="W149" i="1"/>
  <c r="V149" i="1"/>
  <c r="AQ146" i="1"/>
  <c r="AC137" i="1"/>
  <c r="AB137" i="1"/>
  <c r="AA137" i="1"/>
  <c r="Z137" i="1"/>
  <c r="Y137" i="1"/>
  <c r="X137" i="1"/>
  <c r="W137" i="1"/>
  <c r="V137" i="1"/>
  <c r="U137" i="1"/>
  <c r="T137" i="1"/>
  <c r="S137" i="1"/>
  <c r="R137" i="1"/>
  <c r="Q137" i="1"/>
  <c r="P137" i="1"/>
  <c r="O137" i="1"/>
  <c r="N137" i="1"/>
  <c r="M137" i="1"/>
  <c r="L137" i="1"/>
  <c r="K137" i="1"/>
  <c r="J137" i="1"/>
  <c r="I137" i="1"/>
  <c r="H137" i="1"/>
  <c r="G137" i="1"/>
  <c r="F137" i="1"/>
  <c r="E137" i="1"/>
  <c r="AK134" i="1"/>
  <c r="AV132" i="1"/>
  <c r="AV213" i="1" s="1"/>
  <c r="AK132" i="1"/>
  <c r="AK137" i="1" s="1"/>
  <c r="AJ132" i="1"/>
  <c r="AJ213" i="1" s="1"/>
  <c r="AI132" i="1"/>
  <c r="AI137" i="1" s="1"/>
  <c r="AG132" i="1"/>
  <c r="AG213" i="1" s="1"/>
  <c r="AF132" i="1"/>
  <c r="AF213" i="1" s="1"/>
  <c r="AE132" i="1"/>
  <c r="AE137" i="1" s="1"/>
  <c r="AD132" i="1"/>
  <c r="AU129" i="1"/>
  <c r="AU125" i="1" s="1"/>
  <c r="AU132" i="1" s="1"/>
  <c r="AU213" i="1" s="1"/>
  <c r="AT129" i="1"/>
  <c r="AS129" i="1"/>
  <c r="AR129" i="1"/>
  <c r="AQ129" i="1"/>
  <c r="AP129" i="1"/>
  <c r="AO129" i="1"/>
  <c r="AN129" i="1"/>
  <c r="AM129" i="1"/>
  <c r="AM132" i="1" s="1"/>
  <c r="AM137" i="1" s="1"/>
  <c r="AL129" i="1"/>
  <c r="AL132" i="1" s="1"/>
  <c r="AT125" i="1"/>
  <c r="AT132" i="1" s="1"/>
  <c r="AT137" i="1" s="1"/>
  <c r="AS125" i="1"/>
  <c r="AR125" i="1"/>
  <c r="AQ125" i="1"/>
  <c r="AQ132" i="1" s="1"/>
  <c r="AQ137" i="1" s="1"/>
  <c r="AP125" i="1"/>
  <c r="AP132" i="1" s="1"/>
  <c r="AO125" i="1"/>
  <c r="AN125" i="1"/>
  <c r="AI125" i="1"/>
  <c r="AH125" i="1"/>
  <c r="AH132" i="1" s="1"/>
  <c r="AD121" i="1"/>
  <c r="R120" i="1"/>
  <c r="R122" i="1" s="1"/>
  <c r="Q120" i="1"/>
  <c r="Q122" i="1" s="1"/>
  <c r="P120" i="1"/>
  <c r="P122" i="1" s="1"/>
  <c r="O120" i="1"/>
  <c r="O122" i="1" s="1"/>
  <c r="N120" i="1"/>
  <c r="N122" i="1" s="1"/>
  <c r="M120" i="1"/>
  <c r="M122" i="1" s="1"/>
  <c r="L120" i="1"/>
  <c r="L122" i="1" s="1"/>
  <c r="K120" i="1"/>
  <c r="K122" i="1" s="1"/>
  <c r="J120" i="1"/>
  <c r="J122" i="1" s="1"/>
  <c r="I120" i="1"/>
  <c r="I122" i="1" s="1"/>
  <c r="H120" i="1"/>
  <c r="H122" i="1" s="1"/>
  <c r="G120" i="1"/>
  <c r="G122" i="1" s="1"/>
  <c r="F120" i="1"/>
  <c r="F122" i="1" s="1"/>
  <c r="E120" i="1"/>
  <c r="E122" i="1" s="1"/>
  <c r="AI117" i="1"/>
  <c r="AV120" i="1"/>
  <c r="AU115" i="1"/>
  <c r="AU120" i="1" s="1"/>
  <c r="AU122" i="1" s="1"/>
  <c r="AT115" i="1"/>
  <c r="AT120" i="1" s="1"/>
  <c r="AT122" i="1" s="1"/>
  <c r="AS115" i="1"/>
  <c r="AS120" i="1" s="1"/>
  <c r="AS122" i="1" s="1"/>
  <c r="AR115" i="1"/>
  <c r="AR120" i="1" s="1"/>
  <c r="AR122" i="1" s="1"/>
  <c r="AQ115" i="1"/>
  <c r="AQ120" i="1" s="1"/>
  <c r="AQ122" i="1" s="1"/>
  <c r="AP115" i="1"/>
  <c r="AP120" i="1" s="1"/>
  <c r="AP122" i="1" s="1"/>
  <c r="AO115" i="1"/>
  <c r="AO120" i="1" s="1"/>
  <c r="AO122" i="1" s="1"/>
  <c r="AN115" i="1"/>
  <c r="AN120" i="1" s="1"/>
  <c r="AN122" i="1" s="1"/>
  <c r="AM115" i="1"/>
  <c r="AM120" i="1" s="1"/>
  <c r="AM122" i="1" s="1"/>
  <c r="AL115" i="1"/>
  <c r="AL120" i="1" s="1"/>
  <c r="AL122" i="1" s="1"/>
  <c r="AK115" i="1"/>
  <c r="AI115" i="1"/>
  <c r="AH115" i="1"/>
  <c r="AG115" i="1"/>
  <c r="AG120" i="1" s="1"/>
  <c r="AG122" i="1" s="1"/>
  <c r="AF115" i="1"/>
  <c r="AE115" i="1"/>
  <c r="AE120" i="1" s="1"/>
  <c r="AE122" i="1" s="1"/>
  <c r="AD115" i="1"/>
  <c r="AD120" i="1" s="1"/>
  <c r="AD122" i="1" s="1"/>
  <c r="AC115" i="1"/>
  <c r="AB115" i="1"/>
  <c r="AA115" i="1"/>
  <c r="Z115" i="1"/>
  <c r="Y115" i="1"/>
  <c r="X115" i="1"/>
  <c r="W115" i="1"/>
  <c r="AF114" i="1"/>
  <c r="AF120" i="1" s="1"/>
  <c r="AF122" i="1" s="1"/>
  <c r="AE114" i="1"/>
  <c r="AD114" i="1"/>
  <c r="AC114" i="1"/>
  <c r="AK112" i="1"/>
  <c r="AK120" i="1" s="1"/>
  <c r="AK122" i="1" s="1"/>
  <c r="AJ112" i="1"/>
  <c r="AI112" i="1"/>
  <c r="AH112" i="1"/>
  <c r="AC104" i="1"/>
  <c r="AC120" i="1" s="1"/>
  <c r="AC122" i="1" s="1"/>
  <c r="AB104" i="1"/>
  <c r="AA104" i="1"/>
  <c r="Z104" i="1"/>
  <c r="Y104" i="1"/>
  <c r="X104" i="1"/>
  <c r="W104" i="1"/>
  <c r="V104" i="1"/>
  <c r="V120" i="1" s="1"/>
  <c r="V122" i="1" s="1"/>
  <c r="U104" i="1"/>
  <c r="U120" i="1" s="1"/>
  <c r="U122" i="1" s="1"/>
  <c r="T104" i="1"/>
  <c r="T120" i="1" s="1"/>
  <c r="T122" i="1" s="1"/>
  <c r="S104" i="1"/>
  <c r="S120" i="1" s="1"/>
  <c r="S122" i="1" s="1"/>
  <c r="AV91" i="1"/>
  <c r="AV214" i="1" s="1"/>
  <c r="AU91" i="1"/>
  <c r="AT91" i="1"/>
  <c r="AR91" i="1"/>
  <c r="AQ91" i="1"/>
  <c r="AP91" i="1"/>
  <c r="AO91" i="1"/>
  <c r="AN91" i="1"/>
  <c r="AM91" i="1"/>
  <c r="AL91" i="1"/>
  <c r="AK91" i="1"/>
  <c r="AJ91" i="1"/>
  <c r="A91" i="1"/>
  <c r="AS90" i="1"/>
  <c r="AS91" i="1" s="1"/>
  <c r="A89" i="1"/>
  <c r="A88" i="1"/>
  <c r="A87" i="1"/>
  <c r="AV85" i="1"/>
  <c r="AB85" i="1"/>
  <c r="AA85" i="1"/>
  <c r="Z85" i="1"/>
  <c r="Y85" i="1"/>
  <c r="X85" i="1"/>
  <c r="W85" i="1"/>
  <c r="V85" i="1"/>
  <c r="U85" i="1"/>
  <c r="T85" i="1"/>
  <c r="S85" i="1"/>
  <c r="R85" i="1"/>
  <c r="Q85" i="1"/>
  <c r="P85" i="1"/>
  <c r="O85" i="1"/>
  <c r="N85" i="1"/>
  <c r="M85" i="1"/>
  <c r="L85" i="1"/>
  <c r="K85" i="1"/>
  <c r="J85" i="1"/>
  <c r="I85" i="1"/>
  <c r="H85" i="1"/>
  <c r="G85" i="1"/>
  <c r="F85" i="1"/>
  <c r="E85" i="1"/>
  <c r="AL84" i="1"/>
  <c r="AL85" i="1" s="1"/>
  <c r="AK84" i="1"/>
  <c r="AK85" i="1" s="1"/>
  <c r="AI84" i="1"/>
  <c r="AI85" i="1" s="1"/>
  <c r="AH84" i="1"/>
  <c r="AH85" i="1" s="1"/>
  <c r="AG84" i="1"/>
  <c r="AG85" i="1" s="1"/>
  <c r="AF84" i="1"/>
  <c r="AF85" i="1" s="1"/>
  <c r="AE82" i="1"/>
  <c r="AE85" i="1" s="1"/>
  <c r="AD82" i="1"/>
  <c r="AD85" i="1" s="1"/>
  <c r="AC82" i="1"/>
  <c r="AC85" i="1" s="1"/>
  <c r="AV80" i="1"/>
  <c r="AU80" i="1"/>
  <c r="AT80" i="1"/>
  <c r="AT174" i="1" s="1"/>
  <c r="AS80" i="1"/>
  <c r="AS174" i="1" s="1"/>
  <c r="AR80" i="1"/>
  <c r="AR174" i="1" s="1"/>
  <c r="AQ80" i="1"/>
  <c r="AQ174" i="1" s="1"/>
  <c r="AP80" i="1"/>
  <c r="AP174" i="1" s="1"/>
  <c r="AO80" i="1"/>
  <c r="AO174" i="1" s="1"/>
  <c r="AN80" i="1"/>
  <c r="AN174" i="1" s="1"/>
  <c r="AM80" i="1"/>
  <c r="AM174" i="1" s="1"/>
  <c r="AL80" i="1"/>
  <c r="AL174" i="1" s="1"/>
  <c r="AK80" i="1"/>
  <c r="AJ80" i="1"/>
  <c r="AI80" i="1"/>
  <c r="AI174" i="1" s="1"/>
  <c r="AI68" i="1"/>
  <c r="AH68" i="1"/>
  <c r="AG68" i="1"/>
  <c r="AF68" i="1"/>
  <c r="AD68" i="1"/>
  <c r="AC68" i="1"/>
  <c r="D65" i="1"/>
  <c r="AK63" i="1"/>
  <c r="AK61" i="1"/>
  <c r="AE60" i="1"/>
  <c r="AB60" i="1"/>
  <c r="AK57" i="1"/>
  <c r="AJ57" i="1"/>
  <c r="AJ71" i="1" s="1"/>
  <c r="AE55" i="1"/>
  <c r="AE209" i="1" s="1"/>
  <c r="AD55" i="1"/>
  <c r="X55" i="1"/>
  <c r="X209" i="1" s="1"/>
  <c r="V55" i="1"/>
  <c r="V209" i="1" s="1"/>
  <c r="U55" i="1"/>
  <c r="U70" i="1" s="1"/>
  <c r="T55" i="1"/>
  <c r="T209" i="1" s="1"/>
  <c r="S55" i="1"/>
  <c r="S70" i="1" s="1"/>
  <c r="R55" i="1"/>
  <c r="Q55" i="1"/>
  <c r="Q70" i="1" s="1"/>
  <c r="P55" i="1"/>
  <c r="P209" i="1" s="1"/>
  <c r="O55" i="1"/>
  <c r="O70" i="1" s="1"/>
  <c r="N55" i="1"/>
  <c r="N70" i="1" s="1"/>
  <c r="M55" i="1"/>
  <c r="M70" i="1" s="1"/>
  <c r="L55" i="1"/>
  <c r="L70" i="1" s="1"/>
  <c r="K55" i="1"/>
  <c r="K70" i="1" s="1"/>
  <c r="J55" i="1"/>
  <c r="J70" i="1" s="1"/>
  <c r="I55" i="1"/>
  <c r="I70" i="1" s="1"/>
  <c r="H55" i="1"/>
  <c r="H70" i="1" s="1"/>
  <c r="G55" i="1"/>
  <c r="G70" i="1" s="1"/>
  <c r="F55" i="1"/>
  <c r="F70" i="1" s="1"/>
  <c r="E55" i="1"/>
  <c r="E70" i="1" s="1"/>
  <c r="AQ53" i="1"/>
  <c r="AP53" i="1"/>
  <c r="AO53" i="1"/>
  <c r="AO55" i="1" s="1"/>
  <c r="AO70" i="1" s="1"/>
  <c r="AM53" i="1"/>
  <c r="AI52" i="1"/>
  <c r="AV254" i="1"/>
  <c r="AU48" i="1"/>
  <c r="AT48" i="1"/>
  <c r="AT84" i="1" s="1"/>
  <c r="AT85" i="1" s="1"/>
  <c r="AS48" i="1"/>
  <c r="AS84" i="1" s="1"/>
  <c r="AS85" i="1" s="1"/>
  <c r="AR48" i="1"/>
  <c r="AR55" i="1" s="1"/>
  <c r="AQ48" i="1"/>
  <c r="AQ55" i="1" s="1"/>
  <c r="AP48" i="1"/>
  <c r="AP84" i="1" s="1"/>
  <c r="AP85" i="1" s="1"/>
  <c r="AO48" i="1"/>
  <c r="AO84" i="1" s="1"/>
  <c r="AO85" i="1" s="1"/>
  <c r="AN48" i="1"/>
  <c r="AN55" i="1" s="1"/>
  <c r="AN209" i="1" s="1"/>
  <c r="AM48" i="1"/>
  <c r="AL48" i="1"/>
  <c r="AL55" i="1" s="1"/>
  <c r="AK48" i="1"/>
  <c r="AK55" i="1" s="1"/>
  <c r="AJ48" i="1"/>
  <c r="AI48" i="1"/>
  <c r="AI55" i="1" s="1"/>
  <c r="AI209" i="1" s="1"/>
  <c r="AH48" i="1"/>
  <c r="AH55" i="1" s="1"/>
  <c r="AG48" i="1"/>
  <c r="AG55" i="1" s="1"/>
  <c r="AG70" i="1" s="1"/>
  <c r="AF48" i="1"/>
  <c r="AF55" i="1" s="1"/>
  <c r="AF209" i="1" s="1"/>
  <c r="AC48" i="1"/>
  <c r="AC55" i="1" s="1"/>
  <c r="AC70" i="1" s="1"/>
  <c r="AB46" i="1"/>
  <c r="AB55" i="1" s="1"/>
  <c r="AB209" i="1" s="1"/>
  <c r="AA46" i="1"/>
  <c r="AA55" i="1" s="1"/>
  <c r="AA209" i="1" s="1"/>
  <c r="Z46" i="1"/>
  <c r="Z55" i="1" s="1"/>
  <c r="Z209" i="1" s="1"/>
  <c r="Y46" i="1"/>
  <c r="Y55" i="1" s="1"/>
  <c r="Y70" i="1" s="1"/>
  <c r="W46" i="1"/>
  <c r="W55" i="1" s="1"/>
  <c r="W70" i="1" s="1"/>
  <c r="AJ45" i="1"/>
  <c r="AJ115" i="1" s="1"/>
  <c r="H40" i="1"/>
  <c r="H173" i="1" s="1"/>
  <c r="E38" i="1"/>
  <c r="AE36" i="1"/>
  <c r="AD36" i="1"/>
  <c r="AC36" i="1"/>
  <c r="AB36" i="1"/>
  <c r="AA36" i="1"/>
  <c r="Z36" i="1"/>
  <c r="Y36" i="1"/>
  <c r="X36" i="1"/>
  <c r="AV35" i="1"/>
  <c r="AV212" i="1" s="1"/>
  <c r="AU35" i="1"/>
  <c r="AU40" i="1" s="1"/>
  <c r="AD35" i="1"/>
  <c r="AD40" i="1" s="1"/>
  <c r="AA35" i="1"/>
  <c r="Z35" i="1"/>
  <c r="Z40" i="1" s="1"/>
  <c r="Y35" i="1"/>
  <c r="X35" i="1"/>
  <c r="W35" i="1"/>
  <c r="W37" i="1" s="1"/>
  <c r="V35" i="1"/>
  <c r="V40" i="1" s="1"/>
  <c r="U35" i="1"/>
  <c r="T35" i="1"/>
  <c r="S35" i="1"/>
  <c r="S40" i="1" s="1"/>
  <c r="R35" i="1"/>
  <c r="R40" i="1" s="1"/>
  <c r="R173" i="1" s="1"/>
  <c r="Q35" i="1"/>
  <c r="P35" i="1"/>
  <c r="P37" i="1" s="1"/>
  <c r="O35" i="1"/>
  <c r="O37" i="1" s="1"/>
  <c r="N35" i="1"/>
  <c r="N40" i="1" s="1"/>
  <c r="N173" i="1" s="1"/>
  <c r="M35" i="1"/>
  <c r="L35" i="1"/>
  <c r="K35" i="1"/>
  <c r="K37" i="1" s="1"/>
  <c r="J35" i="1"/>
  <c r="I35" i="1"/>
  <c r="H35" i="1"/>
  <c r="H37" i="1" s="1"/>
  <c r="G35" i="1"/>
  <c r="G40" i="1" s="1"/>
  <c r="F35" i="1"/>
  <c r="F40" i="1" s="1"/>
  <c r="F173" i="1" s="1"/>
  <c r="E35" i="1"/>
  <c r="AC33" i="1"/>
  <c r="AC35" i="1" s="1"/>
  <c r="AB33" i="1"/>
  <c r="AB35" i="1" s="1"/>
  <c r="AM24" i="1"/>
  <c r="AP19" i="1"/>
  <c r="AO19" i="1"/>
  <c r="AN19" i="1"/>
  <c r="AL19" i="1"/>
  <c r="AT17" i="1"/>
  <c r="AS17" i="1"/>
  <c r="AR17" i="1"/>
  <c r="AQ17" i="1"/>
  <c r="AP17" i="1"/>
  <c r="AO17" i="1"/>
  <c r="AN17" i="1"/>
  <c r="AK17" i="1"/>
  <c r="AT15" i="1"/>
  <c r="AT35" i="1" s="1"/>
  <c r="AS15" i="1"/>
  <c r="AS35" i="1" s="1"/>
  <c r="AR15" i="1"/>
  <c r="AR35" i="1" s="1"/>
  <c r="AR37" i="1" s="1"/>
  <c r="AQ15" i="1"/>
  <c r="AQ35" i="1" s="1"/>
  <c r="AQ40" i="1" s="1"/>
  <c r="AP15" i="1"/>
  <c r="AP35" i="1" s="1"/>
  <c r="AO15" i="1"/>
  <c r="AO35" i="1" s="1"/>
  <c r="AN15" i="1"/>
  <c r="AN35" i="1" s="1"/>
  <c r="AM15" i="1"/>
  <c r="AM35" i="1" s="1"/>
  <c r="AM37" i="1" s="1"/>
  <c r="AL15" i="1"/>
  <c r="AK15" i="1"/>
  <c r="AJ15" i="1"/>
  <c r="AJ35" i="1" s="1"/>
  <c r="AI15" i="1"/>
  <c r="AI35" i="1" s="1"/>
  <c r="AI40" i="1" s="1"/>
  <c r="AH15" i="1"/>
  <c r="AH35" i="1" s="1"/>
  <c r="AG15" i="1"/>
  <c r="AG35" i="1" s="1"/>
  <c r="AF15" i="1"/>
  <c r="AF35" i="1" s="1"/>
  <c r="AF37" i="1" s="1"/>
  <c r="AE15" i="1"/>
  <c r="AE35" i="1" s="1"/>
  <c r="AE37" i="1" s="1"/>
  <c r="Z12" i="1"/>
  <c r="AA12" i="1" s="1"/>
  <c r="AB12" i="1" s="1"/>
  <c r="AC12" i="1" s="1"/>
  <c r="AD12" i="1" s="1"/>
  <c r="AE12" i="1" s="1"/>
  <c r="F12" i="1"/>
  <c r="G12" i="1" s="1"/>
  <c r="H12" i="1" s="1"/>
  <c r="I12" i="1" s="1"/>
  <c r="J12" i="1" s="1"/>
  <c r="K12" i="1" s="1"/>
  <c r="L12" i="1" s="1"/>
  <c r="M12" i="1" s="1"/>
  <c r="N12" i="1" s="1"/>
  <c r="O12" i="1" s="1"/>
  <c r="P12" i="1" s="1"/>
  <c r="Q12" i="1" s="1"/>
  <c r="R12" i="1" s="1"/>
  <c r="S12" i="1" s="1"/>
  <c r="T12" i="1" s="1"/>
  <c r="U12" i="1" s="1"/>
  <c r="V12" i="1" s="1"/>
  <c r="W12" i="1" s="1"/>
  <c r="X12" i="1" s="1"/>
  <c r="V173" i="1" l="1"/>
  <c r="AE174" i="1"/>
  <c r="AE220" i="1" s="1"/>
  <c r="AE71" i="1"/>
  <c r="G173" i="1"/>
  <c r="AN84" i="1"/>
  <c r="AN85" i="1" s="1"/>
  <c r="Z120" i="1"/>
  <c r="Z122" i="1" s="1"/>
  <c r="AK35" i="1"/>
  <c r="AK37" i="1" s="1"/>
  <c r="AK71" i="1"/>
  <c r="AU174" i="1"/>
  <c r="AU220" i="1" s="1"/>
  <c r="AO195" i="1"/>
  <c r="AX219" i="1"/>
  <c r="AX197" i="1"/>
  <c r="AX227" i="1" s="1"/>
  <c r="AX211" i="1"/>
  <c r="AX122" i="1"/>
  <c r="S173" i="1"/>
  <c r="S197" i="1" s="1"/>
  <c r="S227" i="1" s="1"/>
  <c r="AA37" i="1"/>
  <c r="R37" i="1"/>
  <c r="AH120" i="1"/>
  <c r="AH122" i="1" s="1"/>
  <c r="AI170" i="1"/>
  <c r="AD173" i="1"/>
  <c r="AD219" i="1" s="1"/>
  <c r="AI37" i="1"/>
  <c r="AK70" i="1"/>
  <c r="AK195" i="1"/>
  <c r="AS195" i="1"/>
  <c r="AL35" i="1"/>
  <c r="AL40" i="1" s="1"/>
  <c r="AL173" i="1" s="1"/>
  <c r="E40" i="1"/>
  <c r="E173" i="1" s="1"/>
  <c r="Z37" i="1"/>
  <c r="AQ37" i="1"/>
  <c r="AH70" i="1"/>
  <c r="AB174" i="1"/>
  <c r="AB71" i="1"/>
  <c r="AV174" i="1"/>
  <c r="AV220" i="1" s="1"/>
  <c r="X120" i="1"/>
  <c r="X122" i="1" s="1"/>
  <c r="AB120" i="1"/>
  <c r="AB122" i="1" s="1"/>
  <c r="AW173" i="1"/>
  <c r="AW219" i="1" s="1"/>
  <c r="S37" i="1"/>
  <c r="K40" i="1"/>
  <c r="K173" i="1" s="1"/>
  <c r="K219" i="1" s="1"/>
  <c r="AA40" i="1"/>
  <c r="AM55" i="1"/>
  <c r="AD70" i="1"/>
  <c r="AJ174" i="1"/>
  <c r="AJ84" i="1"/>
  <c r="AJ85" i="1" s="1"/>
  <c r="W120" i="1"/>
  <c r="W122" i="1" s="1"/>
  <c r="AA120" i="1"/>
  <c r="AA122" i="1" s="1"/>
  <c r="AI120" i="1"/>
  <c r="AI122" i="1" s="1"/>
  <c r="AO132" i="1"/>
  <c r="AO213" i="1" s="1"/>
  <c r="AS132" i="1"/>
  <c r="AS137" i="1" s="1"/>
  <c r="AN132" i="1"/>
  <c r="AN213" i="1" s="1"/>
  <c r="AR132" i="1"/>
  <c r="AR137" i="1" s="1"/>
  <c r="AF137" i="1"/>
  <c r="AQ165" i="1"/>
  <c r="AQ164" i="1" s="1"/>
  <c r="AQ168" i="1" s="1"/>
  <c r="S209" i="1"/>
  <c r="E197" i="1"/>
  <c r="E227" i="1" s="1"/>
  <c r="G37" i="1"/>
  <c r="O40" i="1"/>
  <c r="O173" i="1" s="1"/>
  <c r="AE40" i="1"/>
  <c r="AP55" i="1"/>
  <c r="AP70" i="1" s="1"/>
  <c r="AR84" i="1"/>
  <c r="AR85" i="1" s="1"/>
  <c r="AJ120" i="1"/>
  <c r="AJ122" i="1" s="1"/>
  <c r="AC170" i="1"/>
  <c r="AD209" i="1"/>
  <c r="W40" i="1"/>
  <c r="V165" i="1"/>
  <c r="V164" i="1" s="1"/>
  <c r="V168" i="1" s="1"/>
  <c r="AJ55" i="1"/>
  <c r="AJ209" i="1" s="1"/>
  <c r="AS55" i="1"/>
  <c r="AS209" i="1" s="1"/>
  <c r="Y120" i="1"/>
  <c r="Y122" i="1" s="1"/>
  <c r="AD164" i="1"/>
  <c r="AD168" i="1" s="1"/>
  <c r="AD170" i="1" s="1"/>
  <c r="AK213" i="1"/>
  <c r="AS40" i="1"/>
  <c r="AS37" i="1"/>
  <c r="AH40" i="1"/>
  <c r="AH173" i="1" s="1"/>
  <c r="AH37" i="1"/>
  <c r="AP40" i="1"/>
  <c r="AP37" i="1"/>
  <c r="AR40" i="1"/>
  <c r="AM70" i="1"/>
  <c r="AM209" i="1"/>
  <c r="AU84" i="1"/>
  <c r="AU85" i="1" s="1"/>
  <c r="AU173" i="1" s="1"/>
  <c r="AU55" i="1"/>
  <c r="R70" i="1"/>
  <c r="R209" i="1"/>
  <c r="AQ84" i="1"/>
  <c r="AQ85" i="1" s="1"/>
  <c r="AQ173" i="1" s="1"/>
  <c r="AM195" i="1"/>
  <c r="AQ195" i="1"/>
  <c r="L37" i="1"/>
  <c r="L40" i="1"/>
  <c r="T37" i="1"/>
  <c r="T40" i="1"/>
  <c r="X37" i="1"/>
  <c r="AB37" i="1"/>
  <c r="AB40" i="1"/>
  <c r="AF40" i="1"/>
  <c r="AF173" i="1" s="1"/>
  <c r="AM84" i="1"/>
  <c r="AM85" i="1" s="1"/>
  <c r="X40" i="1"/>
  <c r="X173" i="1" s="1"/>
  <c r="X197" i="1" s="1"/>
  <c r="X227" i="1" s="1"/>
  <c r="AK40" i="1"/>
  <c r="AS168" i="1"/>
  <c r="AS170" i="1" s="1"/>
  <c r="AB170" i="1"/>
  <c r="AI195" i="1"/>
  <c r="AU195" i="1"/>
  <c r="AN37" i="1"/>
  <c r="AN40" i="1"/>
  <c r="AL197" i="1"/>
  <c r="AL227" i="1" s="1"/>
  <c r="AT40" i="1"/>
  <c r="AT37" i="1"/>
  <c r="F197" i="1"/>
  <c r="F227" i="1" s="1"/>
  <c r="J40" i="1"/>
  <c r="J37" i="1"/>
  <c r="N197" i="1"/>
  <c r="N227" i="1" s="1"/>
  <c r="R197" i="1"/>
  <c r="R227" i="1" s="1"/>
  <c r="AJ37" i="1"/>
  <c r="AJ40" i="1"/>
  <c r="G197" i="1"/>
  <c r="G227" i="1" s="1"/>
  <c r="P40" i="1"/>
  <c r="P173" i="1" s="1"/>
  <c r="P197" i="1" s="1"/>
  <c r="P227" i="1" s="1"/>
  <c r="AM40" i="1"/>
  <c r="AT55" i="1"/>
  <c r="AT209" i="1" s="1"/>
  <c r="AJ70" i="1"/>
  <c r="AN137" i="1"/>
  <c r="W165" i="1"/>
  <c r="W164" i="1" s="1"/>
  <c r="W168" i="1" s="1"/>
  <c r="AT168" i="1"/>
  <c r="AT170" i="1" s="1"/>
  <c r="Y170" i="1"/>
  <c r="AJ170" i="1"/>
  <c r="O190" i="1"/>
  <c r="O194" i="1" s="1"/>
  <c r="O197" i="1" s="1"/>
  <c r="O227" i="1" s="1"/>
  <c r="AJ195" i="1"/>
  <c r="AN195" i="1"/>
  <c r="AR195" i="1"/>
  <c r="K197" i="1"/>
  <c r="K227" i="1" s="1"/>
  <c r="AK174" i="1"/>
  <c r="AK220" i="1" s="1"/>
  <c r="AJ137" i="1"/>
  <c r="AP195" i="1"/>
  <c r="AR209" i="1"/>
  <c r="AR70" i="1"/>
  <c r="T70" i="1"/>
  <c r="AB70" i="1"/>
  <c r="I37" i="1"/>
  <c r="I40" i="1"/>
  <c r="M37" i="1"/>
  <c r="M40" i="1"/>
  <c r="Q37" i="1"/>
  <c r="Q40" i="1"/>
  <c r="U37" i="1"/>
  <c r="U40" i="1"/>
  <c r="Y37" i="1"/>
  <c r="Y40" i="1"/>
  <c r="AC37" i="1"/>
  <c r="AC40" i="1"/>
  <c r="AG37" i="1"/>
  <c r="AG40" i="1"/>
  <c r="AO37" i="1"/>
  <c r="AO40" i="1"/>
  <c r="AO173" i="1" s="1"/>
  <c r="F37" i="1"/>
  <c r="N37" i="1"/>
  <c r="V37" i="1"/>
  <c r="AD37" i="1"/>
  <c r="AD137" i="1"/>
  <c r="AD213" i="1"/>
  <c r="AH137" i="1"/>
  <c r="AH213" i="1"/>
  <c r="AL137" i="1"/>
  <c r="AL213" i="1"/>
  <c r="AP137" i="1"/>
  <c r="AP213" i="1"/>
  <c r="AH197" i="1"/>
  <c r="AH227" i="1" s="1"/>
  <c r="AL37" i="1"/>
  <c r="H197" i="1"/>
  <c r="H227" i="1" s="1"/>
  <c r="AF197" i="1"/>
  <c r="AF227" i="1" s="1"/>
  <c r="P70" i="1"/>
  <c r="X70" i="1"/>
  <c r="AF70" i="1"/>
  <c r="AN70" i="1"/>
  <c r="AL209" i="1"/>
  <c r="AL70" i="1"/>
  <c r="V70" i="1"/>
  <c r="Z70" i="1"/>
  <c r="AI70" i="1"/>
  <c r="AG137" i="1"/>
  <c r="W209" i="1"/>
  <c r="AH209" i="1"/>
  <c r="AQ209" i="1"/>
  <c r="AQ70" i="1"/>
  <c r="AA70" i="1"/>
  <c r="AE70" i="1"/>
  <c r="AE213" i="1"/>
  <c r="AI213" i="1"/>
  <c r="AM213" i="1"/>
  <c r="E306" i="1"/>
  <c r="E305" i="1"/>
  <c r="E298" i="1"/>
  <c r="E303" i="1"/>
  <c r="E300" i="1"/>
  <c r="E289" i="1"/>
  <c r="E288" i="1"/>
  <c r="E301" i="1"/>
  <c r="E278" i="1"/>
  <c r="E275" i="1"/>
  <c r="E265" i="1"/>
  <c r="E263" i="1"/>
  <c r="E261" i="1"/>
  <c r="E273" i="1"/>
  <c r="E266" i="1"/>
  <c r="E264" i="1"/>
  <c r="E262" i="1"/>
  <c r="E254" i="1"/>
  <c r="E253" i="1"/>
  <c r="E252" i="1"/>
  <c r="E251" i="1"/>
  <c r="E250" i="1"/>
  <c r="E249" i="1"/>
  <c r="E248" i="1"/>
  <c r="E244" i="1"/>
  <c r="E241" i="1"/>
  <c r="E240" i="1"/>
  <c r="E239" i="1"/>
  <c r="E238" i="1"/>
  <c r="E237" i="1"/>
  <c r="E256" i="1"/>
  <c r="E255" i="1"/>
  <c r="E236" i="1"/>
  <c r="E235" i="1"/>
  <c r="E234" i="1"/>
  <c r="E233" i="1"/>
  <c r="E232" i="1"/>
  <c r="E231" i="1"/>
  <c r="E230" i="1"/>
  <c r="E220" i="1"/>
  <c r="E219" i="1"/>
  <c r="E211" i="1"/>
  <c r="E223" i="1"/>
  <c r="E222" i="1"/>
  <c r="E212" i="1"/>
  <c r="E225" i="1"/>
  <c r="I306" i="1"/>
  <c r="I305" i="1"/>
  <c r="I298" i="1"/>
  <c r="I289" i="1"/>
  <c r="I288" i="1"/>
  <c r="I278" i="1"/>
  <c r="I275" i="1"/>
  <c r="I265" i="1"/>
  <c r="I263" i="1"/>
  <c r="I261" i="1"/>
  <c r="I273" i="1"/>
  <c r="I266" i="1"/>
  <c r="I264" i="1"/>
  <c r="I262" i="1"/>
  <c r="I254" i="1"/>
  <c r="I253" i="1"/>
  <c r="I252" i="1"/>
  <c r="I251" i="1"/>
  <c r="I250" i="1"/>
  <c r="I249" i="1"/>
  <c r="I248" i="1"/>
  <c r="I244" i="1"/>
  <c r="I241" i="1"/>
  <c r="I240" i="1"/>
  <c r="I239" i="1"/>
  <c r="I238" i="1"/>
  <c r="I237" i="1"/>
  <c r="I256" i="1"/>
  <c r="I255" i="1"/>
  <c r="I236" i="1"/>
  <c r="I235" i="1"/>
  <c r="I234" i="1"/>
  <c r="I233" i="1"/>
  <c r="I232" i="1"/>
  <c r="I231" i="1"/>
  <c r="I230" i="1"/>
  <c r="I220" i="1"/>
  <c r="I211" i="1"/>
  <c r="I223" i="1"/>
  <c r="I222" i="1"/>
  <c r="I212" i="1"/>
  <c r="I225" i="1"/>
  <c r="M306" i="1"/>
  <c r="M305" i="1"/>
  <c r="M298" i="1"/>
  <c r="M289" i="1"/>
  <c r="M288" i="1"/>
  <c r="M278" i="1"/>
  <c r="M265" i="1"/>
  <c r="M263" i="1"/>
  <c r="M261" i="1"/>
  <c r="M275" i="1"/>
  <c r="M273" i="1"/>
  <c r="M266" i="1"/>
  <c r="M264" i="1"/>
  <c r="M262" i="1"/>
  <c r="M254" i="1"/>
  <c r="M253" i="1"/>
  <c r="M252" i="1"/>
  <c r="M251" i="1"/>
  <c r="M250" i="1"/>
  <c r="M249" i="1"/>
  <c r="M248" i="1"/>
  <c r="M244" i="1"/>
  <c r="M241" i="1"/>
  <c r="M240" i="1"/>
  <c r="M239" i="1"/>
  <c r="M238" i="1"/>
  <c r="M237" i="1"/>
  <c r="M236" i="1"/>
  <c r="M256" i="1"/>
  <c r="M255" i="1"/>
  <c r="M235" i="1"/>
  <c r="M234" i="1"/>
  <c r="M233" i="1"/>
  <c r="M232" i="1"/>
  <c r="M231" i="1"/>
  <c r="M230" i="1"/>
  <c r="M220" i="1"/>
  <c r="M211" i="1"/>
  <c r="M223" i="1"/>
  <c r="M222" i="1"/>
  <c r="M212" i="1"/>
  <c r="M225" i="1"/>
  <c r="Q306" i="1"/>
  <c r="Q305" i="1"/>
  <c r="Q298" i="1"/>
  <c r="Q289" i="1"/>
  <c r="Q288" i="1"/>
  <c r="Q278" i="1"/>
  <c r="Q265" i="1"/>
  <c r="Q263" i="1"/>
  <c r="Q261" i="1"/>
  <c r="Q275" i="1"/>
  <c r="Q273" i="1"/>
  <c r="Q266" i="1"/>
  <c r="Q264" i="1"/>
  <c r="Q262" i="1"/>
  <c r="Q254" i="1"/>
  <c r="Q253" i="1"/>
  <c r="Q252" i="1"/>
  <c r="Q251" i="1"/>
  <c r="Q250" i="1"/>
  <c r="Q249" i="1"/>
  <c r="Q248" i="1"/>
  <c r="Q244" i="1"/>
  <c r="Q241" i="1"/>
  <c r="Q240" i="1"/>
  <c r="Q239" i="1"/>
  <c r="Q238" i="1"/>
  <c r="Q237" i="1"/>
  <c r="Q236" i="1"/>
  <c r="Q256" i="1"/>
  <c r="Q255" i="1"/>
  <c r="Q235" i="1"/>
  <c r="Q234" i="1"/>
  <c r="Q233" i="1"/>
  <c r="Q232" i="1"/>
  <c r="Q231" i="1"/>
  <c r="Q230" i="1"/>
  <c r="Q220" i="1"/>
  <c r="Q211" i="1"/>
  <c r="Q223" i="1"/>
  <c r="Q222" i="1"/>
  <c r="Q212" i="1"/>
  <c r="Q225" i="1"/>
  <c r="U294" i="1"/>
  <c r="U306" i="1"/>
  <c r="U293" i="1"/>
  <c r="U305" i="1"/>
  <c r="U298" i="1"/>
  <c r="U295" i="1"/>
  <c r="U291" i="1"/>
  <c r="U289" i="1"/>
  <c r="U288" i="1"/>
  <c r="U287" i="1"/>
  <c r="U285" i="1"/>
  <c r="U292" i="1"/>
  <c r="U290" i="1"/>
  <c r="U284" i="1"/>
  <c r="U282" i="1"/>
  <c r="U278" i="1"/>
  <c r="U283" i="1"/>
  <c r="U286" i="1"/>
  <c r="U275" i="1"/>
  <c r="U265" i="1"/>
  <c r="U263" i="1"/>
  <c r="U261" i="1"/>
  <c r="U273" i="1"/>
  <c r="U266" i="1"/>
  <c r="U264" i="1"/>
  <c r="U262" i="1"/>
  <c r="U254" i="1"/>
  <c r="U253" i="1"/>
  <c r="U252" i="1"/>
  <c r="U251" i="1"/>
  <c r="U250" i="1"/>
  <c r="U249" i="1"/>
  <c r="U248" i="1"/>
  <c r="U244" i="1"/>
  <c r="U241" i="1"/>
  <c r="U240" i="1"/>
  <c r="U239" i="1"/>
  <c r="U238" i="1"/>
  <c r="U237" i="1"/>
  <c r="U236" i="1"/>
  <c r="U256" i="1"/>
  <c r="U255" i="1"/>
  <c r="U235" i="1"/>
  <c r="U234" i="1"/>
  <c r="U233" i="1"/>
  <c r="U232" i="1"/>
  <c r="U231" i="1"/>
  <c r="U230" i="1"/>
  <c r="U220" i="1"/>
  <c r="U211" i="1"/>
  <c r="U223" i="1"/>
  <c r="U222" i="1"/>
  <c r="U212" i="1"/>
  <c r="U225" i="1"/>
  <c r="Y294" i="1"/>
  <c r="Y306" i="1"/>
  <c r="Y293" i="1"/>
  <c r="Y305" i="1"/>
  <c r="Y298" i="1"/>
  <c r="Y295" i="1"/>
  <c r="Y291" i="1"/>
  <c r="Y289" i="1"/>
  <c r="Y288" i="1"/>
  <c r="Y287" i="1"/>
  <c r="Y285" i="1"/>
  <c r="Y292" i="1"/>
  <c r="Y290" i="1"/>
  <c r="Y284" i="1"/>
  <c r="Y282" i="1"/>
  <c r="Y286" i="1"/>
  <c r="Y278" i="1"/>
  <c r="Y283" i="1"/>
  <c r="Y275" i="1"/>
  <c r="Y265" i="1"/>
  <c r="Y263" i="1"/>
  <c r="Y261" i="1"/>
  <c r="Y273" i="1"/>
  <c r="Y266" i="1"/>
  <c r="Y264" i="1"/>
  <c r="Y262" i="1"/>
  <c r="Y254" i="1"/>
  <c r="Y253" i="1"/>
  <c r="Y252" i="1"/>
  <c r="Y251" i="1"/>
  <c r="Y250" i="1"/>
  <c r="Y249" i="1"/>
  <c r="Y248" i="1"/>
  <c r="Y244" i="1"/>
  <c r="Y241" i="1"/>
  <c r="Y240" i="1"/>
  <c r="Y239" i="1"/>
  <c r="Y238" i="1"/>
  <c r="Y237" i="1"/>
  <c r="Y236" i="1"/>
  <c r="Y256" i="1"/>
  <c r="Y255" i="1"/>
  <c r="Y235" i="1"/>
  <c r="Y234" i="1"/>
  <c r="Y233" i="1"/>
  <c r="Y232" i="1"/>
  <c r="Y231" i="1"/>
  <c r="Y230" i="1"/>
  <c r="Y220" i="1"/>
  <c r="Y223" i="1"/>
  <c r="Y222" i="1"/>
  <c r="Y212" i="1"/>
  <c r="Y225" i="1"/>
  <c r="AC294" i="1"/>
  <c r="AC306" i="1"/>
  <c r="AC293" i="1"/>
  <c r="AC305" i="1"/>
  <c r="AC298" i="1"/>
  <c r="AC295" i="1"/>
  <c r="AC291" i="1"/>
  <c r="AC289" i="1"/>
  <c r="AC288" i="1"/>
  <c r="AC287" i="1"/>
  <c r="AC285" i="1"/>
  <c r="AC290" i="1"/>
  <c r="AC284" i="1"/>
  <c r="AC282" i="1"/>
  <c r="AC292" i="1"/>
  <c r="AC278" i="1"/>
  <c r="AC283" i="1"/>
  <c r="AC286" i="1"/>
  <c r="AC275" i="1"/>
  <c r="AC265" i="1"/>
  <c r="AC263" i="1"/>
  <c r="AC261" i="1"/>
  <c r="AC273" i="1"/>
  <c r="AC266" i="1"/>
  <c r="AC264" i="1"/>
  <c r="AC262" i="1"/>
  <c r="AC254" i="1"/>
  <c r="AC253" i="1"/>
  <c r="AC252" i="1"/>
  <c r="AC251" i="1"/>
  <c r="AC250" i="1"/>
  <c r="AC249" i="1"/>
  <c r="AC248" i="1"/>
  <c r="AC244" i="1"/>
  <c r="AC241" i="1"/>
  <c r="AC240" i="1"/>
  <c r="AC239" i="1"/>
  <c r="AC238" i="1"/>
  <c r="AC237" i="1"/>
  <c r="AC236" i="1"/>
  <c r="AC256" i="1"/>
  <c r="AC255" i="1"/>
  <c r="AC235" i="1"/>
  <c r="AC234" i="1"/>
  <c r="AC233" i="1"/>
  <c r="AC232" i="1"/>
  <c r="AC231" i="1"/>
  <c r="AC230" i="1"/>
  <c r="AC220" i="1"/>
  <c r="AC211" i="1"/>
  <c r="AC223" i="1"/>
  <c r="AC222" i="1"/>
  <c r="AC212" i="1"/>
  <c r="AC225" i="1"/>
  <c r="AG294" i="1"/>
  <c r="AG306" i="1"/>
  <c r="AG293" i="1"/>
  <c r="AG305" i="1"/>
  <c r="AG298" i="1"/>
  <c r="AG295" i="1"/>
  <c r="AG291" i="1"/>
  <c r="AG292" i="1"/>
  <c r="AG289" i="1"/>
  <c r="AG288" i="1"/>
  <c r="AG287" i="1"/>
  <c r="AG285" i="1"/>
  <c r="AG290" i="1"/>
  <c r="AG303" i="1"/>
  <c r="AG284" i="1"/>
  <c r="AG282" i="1"/>
  <c r="AG286" i="1"/>
  <c r="AG278" i="1"/>
  <c r="AG283" i="1"/>
  <c r="AG304" i="1"/>
  <c r="AG275" i="1"/>
  <c r="AG265" i="1"/>
  <c r="AG263" i="1"/>
  <c r="AG261" i="1"/>
  <c r="AG256" i="1"/>
  <c r="AG273" i="1"/>
  <c r="AG266" i="1"/>
  <c r="AG264" i="1"/>
  <c r="AG262" i="1"/>
  <c r="AG254" i="1"/>
  <c r="AG253" i="1"/>
  <c r="AG252" i="1"/>
  <c r="AG251" i="1"/>
  <c r="AG250" i="1"/>
  <c r="AG249" i="1"/>
  <c r="AG248" i="1"/>
  <c r="AG244" i="1"/>
  <c r="AG241" i="1"/>
  <c r="AG240" i="1"/>
  <c r="AG239" i="1"/>
  <c r="AG238" i="1"/>
  <c r="AG237" i="1"/>
  <c r="AG236" i="1"/>
  <c r="AG255" i="1"/>
  <c r="AG235" i="1"/>
  <c r="AG234" i="1"/>
  <c r="AG233" i="1"/>
  <c r="AG232" i="1"/>
  <c r="AG231" i="1"/>
  <c r="AG230" i="1"/>
  <c r="AG220" i="1"/>
  <c r="AG211" i="1"/>
  <c r="AG223" i="1"/>
  <c r="AG222" i="1"/>
  <c r="AG212" i="1"/>
  <c r="AG225" i="1"/>
  <c r="AK302" i="1"/>
  <c r="AK294" i="1"/>
  <c r="AK306" i="1"/>
  <c r="AK293" i="1"/>
  <c r="AK307" i="1"/>
  <c r="AK305" i="1"/>
  <c r="AL300" i="1"/>
  <c r="AK298" i="1"/>
  <c r="AK295" i="1"/>
  <c r="AK301" i="1"/>
  <c r="AK291" i="1"/>
  <c r="AK289" i="1"/>
  <c r="AK288" i="1"/>
  <c r="AK287" i="1"/>
  <c r="AK285" i="1"/>
  <c r="AK304" i="1"/>
  <c r="AK303" i="1"/>
  <c r="AK290" i="1"/>
  <c r="AK292" i="1"/>
  <c r="AK284" i="1"/>
  <c r="AK282" i="1"/>
  <c r="AK273" i="1"/>
  <c r="AK278" i="1"/>
  <c r="AK283" i="1"/>
  <c r="AK276" i="1"/>
  <c r="AK286" i="1"/>
  <c r="AK275" i="1"/>
  <c r="AK265" i="1"/>
  <c r="AK263" i="1"/>
  <c r="AK261" i="1"/>
  <c r="AK256" i="1"/>
  <c r="AK258" i="1"/>
  <c r="AK266" i="1"/>
  <c r="AK264" i="1"/>
  <c r="AK262" i="1"/>
  <c r="AK254" i="1"/>
  <c r="AK253" i="1"/>
  <c r="AK252" i="1"/>
  <c r="AK251" i="1"/>
  <c r="AK250" i="1"/>
  <c r="AK249" i="1"/>
  <c r="AK248" i="1"/>
  <c r="AK244" i="1"/>
  <c r="AK241" i="1"/>
  <c r="AK240" i="1"/>
  <c r="AK239" i="1"/>
  <c r="AK238" i="1"/>
  <c r="AK237" i="1"/>
  <c r="AK236" i="1"/>
  <c r="AK255" i="1"/>
  <c r="AK235" i="1"/>
  <c r="AK234" i="1"/>
  <c r="AK233" i="1"/>
  <c r="AK232" i="1"/>
  <c r="AK231" i="1"/>
  <c r="AK230" i="1"/>
  <c r="AK214" i="1"/>
  <c r="AK211" i="1"/>
  <c r="AK223" i="1"/>
  <c r="AK222" i="1"/>
  <c r="AK212" i="1"/>
  <c r="AK225" i="1"/>
  <c r="AO302" i="1"/>
  <c r="AO294" i="1"/>
  <c r="AO306" i="1"/>
  <c r="AO293" i="1"/>
  <c r="AO307" i="1"/>
  <c r="AO305" i="1"/>
  <c r="AP300" i="1"/>
  <c r="AO298" i="1"/>
  <c r="AO295" i="1"/>
  <c r="AO291" i="1"/>
  <c r="AO304" i="1"/>
  <c r="AO303" i="1"/>
  <c r="AO292" i="1"/>
  <c r="AO289" i="1"/>
  <c r="AO288" i="1"/>
  <c r="AO287" i="1"/>
  <c r="AO285" i="1"/>
  <c r="AO290" i="1"/>
  <c r="AO301" i="1"/>
  <c r="AO284" i="1"/>
  <c r="AO282" i="1"/>
  <c r="AO273" i="1"/>
  <c r="AO286" i="1"/>
  <c r="AO278" i="1"/>
  <c r="AO283" i="1"/>
  <c r="AO276" i="1"/>
  <c r="AO277" i="1"/>
  <c r="AO275" i="1"/>
  <c r="AO265" i="1"/>
  <c r="AO263" i="1"/>
  <c r="AO261" i="1"/>
  <c r="AO256" i="1"/>
  <c r="AP267" i="1"/>
  <c r="AO258" i="1"/>
  <c r="AO266" i="1"/>
  <c r="AO264" i="1"/>
  <c r="AO262" i="1"/>
  <c r="AO254" i="1"/>
  <c r="AO253" i="1"/>
  <c r="AO252" i="1"/>
  <c r="AO251" i="1"/>
  <c r="AO250" i="1"/>
  <c r="AO249" i="1"/>
  <c r="AO248" i="1"/>
  <c r="AO244" i="1"/>
  <c r="AO241" i="1"/>
  <c r="AO240" i="1"/>
  <c r="AO239" i="1"/>
  <c r="AO238" i="1"/>
  <c r="AO237" i="1"/>
  <c r="AO236" i="1"/>
  <c r="AO255" i="1"/>
  <c r="AO235" i="1"/>
  <c r="AO234" i="1"/>
  <c r="AO233" i="1"/>
  <c r="AO232" i="1"/>
  <c r="AO231" i="1"/>
  <c r="AO230" i="1"/>
  <c r="AO220" i="1"/>
  <c r="AO214" i="1"/>
  <c r="AO211" i="1"/>
  <c r="AO223" i="1"/>
  <c r="AO222" i="1"/>
  <c r="AO212" i="1"/>
  <c r="AO210" i="1"/>
  <c r="AO225" i="1"/>
  <c r="AS302" i="1"/>
  <c r="AS294" i="1"/>
  <c r="AS306" i="1"/>
  <c r="AS293" i="1"/>
  <c r="AS307" i="1"/>
  <c r="AS305" i="1"/>
  <c r="AS298" i="1"/>
  <c r="AS295" i="1"/>
  <c r="AS304" i="1"/>
  <c r="AS303" i="1"/>
  <c r="AS291" i="1"/>
  <c r="AS289" i="1"/>
  <c r="AS288" i="1"/>
  <c r="AS287" i="1"/>
  <c r="AS285" i="1"/>
  <c r="AS301" i="1"/>
  <c r="AS299" i="1"/>
  <c r="AS290" i="1"/>
  <c r="AS284" i="1"/>
  <c r="AS282" i="1"/>
  <c r="AS273" i="1"/>
  <c r="AS278" i="1"/>
  <c r="AS283" i="1"/>
  <c r="AS276" i="1"/>
  <c r="AS292" i="1"/>
  <c r="AS286" i="1"/>
  <c r="AS277" i="1"/>
  <c r="AS275" i="1"/>
  <c r="AS268" i="1"/>
  <c r="AS265" i="1"/>
  <c r="AS263" i="1"/>
  <c r="AS261" i="1"/>
  <c r="AS256" i="1"/>
  <c r="AS258" i="1"/>
  <c r="AS267" i="1"/>
  <c r="AS266" i="1"/>
  <c r="AS264" i="1"/>
  <c r="AS262" i="1"/>
  <c r="AS254" i="1"/>
  <c r="AS253" i="1"/>
  <c r="AS252" i="1"/>
  <c r="AS251" i="1"/>
  <c r="AS250" i="1"/>
  <c r="AS249" i="1"/>
  <c r="AS248" i="1"/>
  <c r="AS244" i="1"/>
  <c r="AS241" i="1"/>
  <c r="AS240" i="1"/>
  <c r="AS239" i="1"/>
  <c r="AS238" i="1"/>
  <c r="AS237" i="1"/>
  <c r="AS236" i="1"/>
  <c r="AS255" i="1"/>
  <c r="AR244" i="1"/>
  <c r="AS235" i="1"/>
  <c r="AS234" i="1"/>
  <c r="AS233" i="1"/>
  <c r="AS232" i="1"/>
  <c r="AS231" i="1"/>
  <c r="AS230" i="1"/>
  <c r="AS220" i="1"/>
  <c r="AS214" i="1"/>
  <c r="AS211" i="1"/>
  <c r="AS223" i="1"/>
  <c r="AS222" i="1"/>
  <c r="AS212" i="1"/>
  <c r="AS210" i="1"/>
  <c r="AS225" i="1"/>
  <c r="AS213" i="1"/>
  <c r="G207" i="1"/>
  <c r="K207" i="1"/>
  <c r="O207" i="1"/>
  <c r="S207" i="1"/>
  <c r="AA207" i="1"/>
  <c r="AE207" i="1"/>
  <c r="AI207" i="1"/>
  <c r="AM207" i="1"/>
  <c r="AU207" i="1"/>
  <c r="G208" i="1"/>
  <c r="K208" i="1"/>
  <c r="O208" i="1"/>
  <c r="S208" i="1"/>
  <c r="W208" i="1"/>
  <c r="AA208" i="1"/>
  <c r="AE208" i="1"/>
  <c r="AI208" i="1"/>
  <c r="AM208" i="1"/>
  <c r="AQ208" i="1"/>
  <c r="AU208" i="1"/>
  <c r="F209" i="1"/>
  <c r="J209" i="1"/>
  <c r="N209" i="1"/>
  <c r="Y210" i="1"/>
  <c r="F306" i="1"/>
  <c r="F305" i="1"/>
  <c r="F298" i="1"/>
  <c r="F289" i="1"/>
  <c r="F278" i="1"/>
  <c r="F288" i="1"/>
  <c r="F275" i="1"/>
  <c r="F265" i="1"/>
  <c r="F263" i="1"/>
  <c r="F261" i="1"/>
  <c r="F273" i="1"/>
  <c r="F266" i="1"/>
  <c r="F264" i="1"/>
  <c r="F262" i="1"/>
  <c r="F254" i="1"/>
  <c r="F253" i="1"/>
  <c r="F252" i="1"/>
  <c r="F251" i="1"/>
  <c r="F250" i="1"/>
  <c r="F249" i="1"/>
  <c r="F248" i="1"/>
  <c r="F244" i="1"/>
  <c r="F241" i="1"/>
  <c r="F240" i="1"/>
  <c r="F239" i="1"/>
  <c r="F238" i="1"/>
  <c r="F237" i="1"/>
  <c r="F256" i="1"/>
  <c r="F255" i="1"/>
  <c r="F211" i="1"/>
  <c r="F223" i="1"/>
  <c r="F222" i="1"/>
  <c r="F212" i="1"/>
  <c r="F225" i="1"/>
  <c r="F236" i="1"/>
  <c r="F235" i="1"/>
  <c r="F234" i="1"/>
  <c r="F233" i="1"/>
  <c r="F232" i="1"/>
  <c r="F231" i="1"/>
  <c r="F230" i="1"/>
  <c r="F220" i="1"/>
  <c r="J306" i="1"/>
  <c r="J305" i="1"/>
  <c r="J298" i="1"/>
  <c r="J288" i="1"/>
  <c r="J278" i="1"/>
  <c r="J289" i="1"/>
  <c r="J275" i="1"/>
  <c r="J265" i="1"/>
  <c r="J263" i="1"/>
  <c r="J261" i="1"/>
  <c r="J273" i="1"/>
  <c r="J266" i="1"/>
  <c r="J264" i="1"/>
  <c r="J262" i="1"/>
  <c r="J254" i="1"/>
  <c r="J253" i="1"/>
  <c r="J252" i="1"/>
  <c r="J251" i="1"/>
  <c r="J250" i="1"/>
  <c r="J249" i="1"/>
  <c r="J248" i="1"/>
  <c r="J244" i="1"/>
  <c r="J241" i="1"/>
  <c r="J240" i="1"/>
  <c r="J239" i="1"/>
  <c r="J238" i="1"/>
  <c r="J237" i="1"/>
  <c r="J256" i="1"/>
  <c r="J255" i="1"/>
  <c r="J211" i="1"/>
  <c r="J223" i="1"/>
  <c r="J222" i="1"/>
  <c r="J212" i="1"/>
  <c r="J225" i="1"/>
  <c r="J236" i="1"/>
  <c r="J235" i="1"/>
  <c r="J234" i="1"/>
  <c r="J233" i="1"/>
  <c r="J232" i="1"/>
  <c r="J231" i="1"/>
  <c r="J230" i="1"/>
  <c r="J220" i="1"/>
  <c r="N306" i="1"/>
  <c r="N305" i="1"/>
  <c r="N298" i="1"/>
  <c r="N289" i="1"/>
  <c r="N278" i="1"/>
  <c r="N288" i="1"/>
  <c r="N275" i="1"/>
  <c r="N265" i="1"/>
  <c r="N263" i="1"/>
  <c r="N261" i="1"/>
  <c r="N273" i="1"/>
  <c r="N266" i="1"/>
  <c r="N264" i="1"/>
  <c r="N262" i="1"/>
  <c r="N254" i="1"/>
  <c r="N253" i="1"/>
  <c r="N252" i="1"/>
  <c r="N251" i="1"/>
  <c r="N250" i="1"/>
  <c r="N249" i="1"/>
  <c r="N248" i="1"/>
  <c r="N244" i="1"/>
  <c r="N241" i="1"/>
  <c r="N240" i="1"/>
  <c r="N239" i="1"/>
  <c r="N238" i="1"/>
  <c r="N237" i="1"/>
  <c r="N236" i="1"/>
  <c r="N256" i="1"/>
  <c r="N255" i="1"/>
  <c r="N211" i="1"/>
  <c r="N223" i="1"/>
  <c r="N222" i="1"/>
  <c r="N212" i="1"/>
  <c r="N225" i="1"/>
  <c r="N235" i="1"/>
  <c r="N234" i="1"/>
  <c r="N233" i="1"/>
  <c r="N232" i="1"/>
  <c r="N231" i="1"/>
  <c r="N230" i="1"/>
  <c r="N220" i="1"/>
  <c r="N219" i="1"/>
  <c r="R306" i="1"/>
  <c r="R305" i="1"/>
  <c r="R298" i="1"/>
  <c r="R288" i="1"/>
  <c r="R278" i="1"/>
  <c r="R289" i="1"/>
  <c r="R275" i="1"/>
  <c r="R265" i="1"/>
  <c r="R263" i="1"/>
  <c r="R261" i="1"/>
  <c r="R273" i="1"/>
  <c r="R266" i="1"/>
  <c r="R264" i="1"/>
  <c r="R262" i="1"/>
  <c r="R254" i="1"/>
  <c r="R253" i="1"/>
  <c r="R252" i="1"/>
  <c r="R251" i="1"/>
  <c r="R250" i="1"/>
  <c r="R249" i="1"/>
  <c r="R248" i="1"/>
  <c r="R244" i="1"/>
  <c r="R241" i="1"/>
  <c r="R240" i="1"/>
  <c r="R239" i="1"/>
  <c r="R238" i="1"/>
  <c r="R237" i="1"/>
  <c r="R236" i="1"/>
  <c r="R256" i="1"/>
  <c r="R255" i="1"/>
  <c r="R211" i="1"/>
  <c r="R223" i="1"/>
  <c r="R222" i="1"/>
  <c r="R212" i="1"/>
  <c r="R210" i="1"/>
  <c r="R225" i="1"/>
  <c r="R235" i="1"/>
  <c r="R234" i="1"/>
  <c r="R233" i="1"/>
  <c r="R232" i="1"/>
  <c r="R231" i="1"/>
  <c r="R230" i="1"/>
  <c r="R220" i="1"/>
  <c r="V306" i="1"/>
  <c r="V305" i="1"/>
  <c r="V298" i="1"/>
  <c r="V295" i="1"/>
  <c r="V294" i="1"/>
  <c r="V293" i="1"/>
  <c r="V292" i="1"/>
  <c r="V290" i="1"/>
  <c r="V286" i="1"/>
  <c r="V289" i="1"/>
  <c r="V287" i="1"/>
  <c r="V278" i="1"/>
  <c r="V283" i="1"/>
  <c r="V291" i="1"/>
  <c r="V288" i="1"/>
  <c r="V285" i="1"/>
  <c r="V275" i="1"/>
  <c r="V284" i="1"/>
  <c r="V282" i="1"/>
  <c r="V265" i="1"/>
  <c r="V263" i="1"/>
  <c r="V261" i="1"/>
  <c r="V273" i="1"/>
  <c r="V266" i="1"/>
  <c r="V264" i="1"/>
  <c r="V262" i="1"/>
  <c r="V254" i="1"/>
  <c r="V253" i="1"/>
  <c r="V252" i="1"/>
  <c r="V251" i="1"/>
  <c r="V250" i="1"/>
  <c r="V249" i="1"/>
  <c r="V248" i="1"/>
  <c r="V244" i="1"/>
  <c r="V241" i="1"/>
  <c r="V240" i="1"/>
  <c r="V239" i="1"/>
  <c r="V238" i="1"/>
  <c r="V237" i="1"/>
  <c r="V236" i="1"/>
  <c r="V256" i="1"/>
  <c r="V255" i="1"/>
  <c r="V211" i="1"/>
  <c r="V223" i="1"/>
  <c r="V222" i="1"/>
  <c r="V212" i="1"/>
  <c r="V210" i="1"/>
  <c r="V225" i="1"/>
  <c r="V235" i="1"/>
  <c r="V234" i="1"/>
  <c r="V233" i="1"/>
  <c r="V232" i="1"/>
  <c r="V231" i="1"/>
  <c r="V230" i="1"/>
  <c r="V220" i="1"/>
  <c r="Z306" i="1"/>
  <c r="Z293" i="1"/>
  <c r="Z305" i="1"/>
  <c r="Z298" i="1"/>
  <c r="Z295" i="1"/>
  <c r="Z292" i="1"/>
  <c r="Z290" i="1"/>
  <c r="Z286" i="1"/>
  <c r="Z294" i="1"/>
  <c r="Z288" i="1"/>
  <c r="Z285" i="1"/>
  <c r="Z278" i="1"/>
  <c r="Z291" i="1"/>
  <c r="Z283" i="1"/>
  <c r="Z289" i="1"/>
  <c r="Z287" i="1"/>
  <c r="Z275" i="1"/>
  <c r="Z284" i="1"/>
  <c r="Z282" i="1"/>
  <c r="Z265" i="1"/>
  <c r="Z263" i="1"/>
  <c r="Z261" i="1"/>
  <c r="Z273" i="1"/>
  <c r="Z266" i="1"/>
  <c r="Z264" i="1"/>
  <c r="Z262" i="1"/>
  <c r="Z254" i="1"/>
  <c r="Z253" i="1"/>
  <c r="Z252" i="1"/>
  <c r="Z251" i="1"/>
  <c r="Z250" i="1"/>
  <c r="Z249" i="1"/>
  <c r="Z248" i="1"/>
  <c r="Z244" i="1"/>
  <c r="Z241" i="1"/>
  <c r="Z240" i="1"/>
  <c r="Z239" i="1"/>
  <c r="Z238" i="1"/>
  <c r="Z237" i="1"/>
  <c r="Z236" i="1"/>
  <c r="Z256" i="1"/>
  <c r="Z255" i="1"/>
  <c r="Z223" i="1"/>
  <c r="Z222" i="1"/>
  <c r="Z212" i="1"/>
  <c r="Z210" i="1"/>
  <c r="Z225" i="1"/>
  <c r="Z235" i="1"/>
  <c r="Z234" i="1"/>
  <c r="Z233" i="1"/>
  <c r="Z232" i="1"/>
  <c r="Z231" i="1"/>
  <c r="Z230" i="1"/>
  <c r="Z220" i="1"/>
  <c r="AD306" i="1"/>
  <c r="AD293" i="1"/>
  <c r="AD305" i="1"/>
  <c r="AD298" i="1"/>
  <c r="AD295" i="1"/>
  <c r="AD303" i="1"/>
  <c r="AD292" i="1"/>
  <c r="AD290" i="1"/>
  <c r="AD294" i="1"/>
  <c r="AD286" i="1"/>
  <c r="AD291" i="1"/>
  <c r="AD289" i="1"/>
  <c r="AD287" i="1"/>
  <c r="AD278" i="1"/>
  <c r="AD283" i="1"/>
  <c r="AD288" i="1"/>
  <c r="AD285" i="1"/>
  <c r="AD275" i="1"/>
  <c r="AD284" i="1"/>
  <c r="AD282" i="1"/>
  <c r="AD265" i="1"/>
  <c r="AD263" i="1"/>
  <c r="AD261" i="1"/>
  <c r="AD273" i="1"/>
  <c r="AD266" i="1"/>
  <c r="AD264" i="1"/>
  <c r="AD262" i="1"/>
  <c r="AD254" i="1"/>
  <c r="AD253" i="1"/>
  <c r="AD252" i="1"/>
  <c r="AD251" i="1"/>
  <c r="AD250" i="1"/>
  <c r="AD249" i="1"/>
  <c r="AD248" i="1"/>
  <c r="AD244" i="1"/>
  <c r="AD241" i="1"/>
  <c r="AD240" i="1"/>
  <c r="AD239" i="1"/>
  <c r="AD238" i="1"/>
  <c r="AD237" i="1"/>
  <c r="AD236" i="1"/>
  <c r="AD256" i="1"/>
  <c r="AD255" i="1"/>
  <c r="AD211" i="1"/>
  <c r="AD223" i="1"/>
  <c r="AD222" i="1"/>
  <c r="AD212" i="1"/>
  <c r="AD210" i="1"/>
  <c r="AD225" i="1"/>
  <c r="AD235" i="1"/>
  <c r="AD234" i="1"/>
  <c r="AD233" i="1"/>
  <c r="AD232" i="1"/>
  <c r="AD231" i="1"/>
  <c r="AD230" i="1"/>
  <c r="AD220" i="1"/>
  <c r="AH306" i="1"/>
  <c r="AH293" i="1"/>
  <c r="AH305" i="1"/>
  <c r="AH298" i="1"/>
  <c r="AH295" i="1"/>
  <c r="AH304" i="1"/>
  <c r="AH303" i="1"/>
  <c r="AH292" i="1"/>
  <c r="AH294" i="1"/>
  <c r="AH290" i="1"/>
  <c r="AH286" i="1"/>
  <c r="AH288" i="1"/>
  <c r="AH285" i="1"/>
  <c r="AH278" i="1"/>
  <c r="AH283" i="1"/>
  <c r="AH289" i="1"/>
  <c r="AH287" i="1"/>
  <c r="AH275" i="1"/>
  <c r="AH291" i="1"/>
  <c r="AH284" i="1"/>
  <c r="AH282" i="1"/>
  <c r="AH265" i="1"/>
  <c r="AH263" i="1"/>
  <c r="AH261" i="1"/>
  <c r="AH256" i="1"/>
  <c r="AH273" i="1"/>
  <c r="AH266" i="1"/>
  <c r="AH264" i="1"/>
  <c r="AH262" i="1"/>
  <c r="AH254" i="1"/>
  <c r="AH253" i="1"/>
  <c r="AH252" i="1"/>
  <c r="AH251" i="1"/>
  <c r="AH250" i="1"/>
  <c r="AH249" i="1"/>
  <c r="AH248" i="1"/>
  <c r="AH244" i="1"/>
  <c r="AH241" i="1"/>
  <c r="AH240" i="1"/>
  <c r="AH239" i="1"/>
  <c r="AH238" i="1"/>
  <c r="AH237" i="1"/>
  <c r="AH236" i="1"/>
  <c r="AH255" i="1"/>
  <c r="AH211" i="1"/>
  <c r="AH223" i="1"/>
  <c r="AH222" i="1"/>
  <c r="AH212" i="1"/>
  <c r="AH210" i="1"/>
  <c r="AH225" i="1"/>
  <c r="AH235" i="1"/>
  <c r="AH234" i="1"/>
  <c r="AH233" i="1"/>
  <c r="AH232" i="1"/>
  <c r="AH231" i="1"/>
  <c r="AH230" i="1"/>
  <c r="AH220" i="1"/>
  <c r="AH219" i="1"/>
  <c r="AL306" i="1"/>
  <c r="AL293" i="1"/>
  <c r="AL307" i="1"/>
  <c r="AL305" i="1"/>
  <c r="AM300" i="1"/>
  <c r="AL298" i="1"/>
  <c r="AL295" i="1"/>
  <c r="AL304" i="1"/>
  <c r="AL303" i="1"/>
  <c r="AL301" i="1"/>
  <c r="AL292" i="1"/>
  <c r="AL302" i="1"/>
  <c r="AL294" i="1"/>
  <c r="AL290" i="1"/>
  <c r="AL286" i="1"/>
  <c r="AL289" i="1"/>
  <c r="AL287" i="1"/>
  <c r="AL278" i="1"/>
  <c r="AL283" i="1"/>
  <c r="AL276" i="1"/>
  <c r="AL291" i="1"/>
  <c r="AL288" i="1"/>
  <c r="AL285" i="1"/>
  <c r="AL275" i="1"/>
  <c r="AL284" i="1"/>
  <c r="AL282" i="1"/>
  <c r="AL265" i="1"/>
  <c r="AL263" i="1"/>
  <c r="AL261" i="1"/>
  <c r="AL256" i="1"/>
  <c r="AL273" i="1"/>
  <c r="AL258" i="1"/>
  <c r="AL266" i="1"/>
  <c r="AL264" i="1"/>
  <c r="AL262" i="1"/>
  <c r="AL254" i="1"/>
  <c r="AL253" i="1"/>
  <c r="AL252" i="1"/>
  <c r="AL251" i="1"/>
  <c r="AL250" i="1"/>
  <c r="AL249" i="1"/>
  <c r="AL248" i="1"/>
  <c r="AL244" i="1"/>
  <c r="AL241" i="1"/>
  <c r="AL240" i="1"/>
  <c r="AL239" i="1"/>
  <c r="AL238" i="1"/>
  <c r="AL237" i="1"/>
  <c r="AL236" i="1"/>
  <c r="AL255" i="1"/>
  <c r="AL211" i="1"/>
  <c r="AL223" i="1"/>
  <c r="AL222" i="1"/>
  <c r="AL212" i="1"/>
  <c r="AL210" i="1"/>
  <c r="AL225" i="1"/>
  <c r="AL235" i="1"/>
  <c r="AL234" i="1"/>
  <c r="AL233" i="1"/>
  <c r="AL232" i="1"/>
  <c r="AL231" i="1"/>
  <c r="AL230" i="1"/>
  <c r="AL220" i="1"/>
  <c r="AL219" i="1"/>
  <c r="AL214" i="1"/>
  <c r="AP306" i="1"/>
  <c r="AP293" i="1"/>
  <c r="AP307" i="1"/>
  <c r="AP305" i="1"/>
  <c r="AQ300" i="1"/>
  <c r="AP298" i="1"/>
  <c r="AP295" i="1"/>
  <c r="AP304" i="1"/>
  <c r="AP303" i="1"/>
  <c r="AP301" i="1"/>
  <c r="AP299" i="1"/>
  <c r="AP292" i="1"/>
  <c r="AP290" i="1"/>
  <c r="AP286" i="1"/>
  <c r="AP288" i="1"/>
  <c r="AP285" i="1"/>
  <c r="AP278" i="1"/>
  <c r="AP291" i="1"/>
  <c r="AP283" i="1"/>
  <c r="AP276" i="1"/>
  <c r="AP302" i="1"/>
  <c r="AP289" i="1"/>
  <c r="AP287" i="1"/>
  <c r="AP277" i="1"/>
  <c r="AP275" i="1"/>
  <c r="AP294" i="1"/>
  <c r="AP284" i="1"/>
  <c r="AP282" i="1"/>
  <c r="AP273" i="1"/>
  <c r="AP265" i="1"/>
  <c r="AP263" i="1"/>
  <c r="AP261" i="1"/>
  <c r="AP256" i="1"/>
  <c r="AQ267" i="1"/>
  <c r="AP258" i="1"/>
  <c r="AP266" i="1"/>
  <c r="AP264" i="1"/>
  <c r="AP262" i="1"/>
  <c r="AP254" i="1"/>
  <c r="AP253" i="1"/>
  <c r="AP252" i="1"/>
  <c r="AP251" i="1"/>
  <c r="AP250" i="1"/>
  <c r="AP249" i="1"/>
  <c r="AP248" i="1"/>
  <c r="AP244" i="1"/>
  <c r="AP241" i="1"/>
  <c r="AP240" i="1"/>
  <c r="AP239" i="1"/>
  <c r="AP238" i="1"/>
  <c r="AP237" i="1"/>
  <c r="AP236" i="1"/>
  <c r="AP255" i="1"/>
  <c r="AP211" i="1"/>
  <c r="AP223" i="1"/>
  <c r="AP222" i="1"/>
  <c r="AP212" i="1"/>
  <c r="AP210" i="1"/>
  <c r="AP225" i="1"/>
  <c r="AP235" i="1"/>
  <c r="AP234" i="1"/>
  <c r="AP233" i="1"/>
  <c r="AP232" i="1"/>
  <c r="AP231" i="1"/>
  <c r="AP230" i="1"/>
  <c r="AP220" i="1"/>
  <c r="AP214" i="1"/>
  <c r="AT306" i="1"/>
  <c r="AT293" i="1"/>
  <c r="AT307" i="1"/>
  <c r="AT305" i="1"/>
  <c r="AT298" i="1"/>
  <c r="AT295" i="1"/>
  <c r="AT304" i="1"/>
  <c r="AT303" i="1"/>
  <c r="AT301" i="1"/>
  <c r="AT300" i="1"/>
  <c r="AT299" i="1"/>
  <c r="AT292" i="1"/>
  <c r="AT290" i="1"/>
  <c r="AT302" i="1"/>
  <c r="AT294" i="1"/>
  <c r="AT286" i="1"/>
  <c r="AT291" i="1"/>
  <c r="AT289" i="1"/>
  <c r="AT287" i="1"/>
  <c r="AT278" i="1"/>
  <c r="AT283" i="1"/>
  <c r="AT288" i="1"/>
  <c r="AT285" i="1"/>
  <c r="AT275" i="1"/>
  <c r="AT284" i="1"/>
  <c r="AT282" i="1"/>
  <c r="AT265" i="1"/>
  <c r="AT263" i="1"/>
  <c r="AT261" i="1"/>
  <c r="AT256" i="1"/>
  <c r="AT258" i="1"/>
  <c r="AT267" i="1"/>
  <c r="AT266" i="1"/>
  <c r="AT264" i="1"/>
  <c r="AT262" i="1"/>
  <c r="AT273" i="1"/>
  <c r="AT268" i="1"/>
  <c r="AT254" i="1"/>
  <c r="AT253" i="1"/>
  <c r="AT252" i="1"/>
  <c r="AT251" i="1"/>
  <c r="AT250" i="1"/>
  <c r="AT249" i="1"/>
  <c r="AT248" i="1"/>
  <c r="AT244" i="1"/>
  <c r="AT241" i="1"/>
  <c r="AT240" i="1"/>
  <c r="AT239" i="1"/>
  <c r="AT238" i="1"/>
  <c r="AT237" i="1"/>
  <c r="AT236" i="1"/>
  <c r="AT255" i="1"/>
  <c r="AT211" i="1"/>
  <c r="AT223" i="1"/>
  <c r="AT222" i="1"/>
  <c r="AT212" i="1"/>
  <c r="AT210" i="1"/>
  <c r="AT225" i="1"/>
  <c r="AT213" i="1"/>
  <c r="AT235" i="1"/>
  <c r="AT234" i="1"/>
  <c r="AT233" i="1"/>
  <c r="AT232" i="1"/>
  <c r="AT231" i="1"/>
  <c r="AT230" i="1"/>
  <c r="AT220" i="1"/>
  <c r="AT214" i="1"/>
  <c r="H207" i="1"/>
  <c r="L207" i="1"/>
  <c r="P207" i="1"/>
  <c r="T207" i="1"/>
  <c r="X207" i="1"/>
  <c r="AB207" i="1"/>
  <c r="AF207" i="1"/>
  <c r="AJ207" i="1"/>
  <c r="AN207" i="1"/>
  <c r="AR207" i="1"/>
  <c r="H208" i="1"/>
  <c r="L208" i="1"/>
  <c r="P208" i="1"/>
  <c r="T208" i="1"/>
  <c r="X208" i="1"/>
  <c r="AB208" i="1"/>
  <c r="AF208" i="1"/>
  <c r="AJ208" i="1"/>
  <c r="AN208" i="1"/>
  <c r="AR208" i="1"/>
  <c r="G209" i="1"/>
  <c r="K209" i="1"/>
  <c r="O209" i="1"/>
  <c r="AC210" i="1"/>
  <c r="G305" i="1"/>
  <c r="G298" i="1"/>
  <c r="G306" i="1"/>
  <c r="G288" i="1"/>
  <c r="G275" i="1"/>
  <c r="G289" i="1"/>
  <c r="G278" i="1"/>
  <c r="G273" i="1"/>
  <c r="G266" i="1"/>
  <c r="G264" i="1"/>
  <c r="G262" i="1"/>
  <c r="G265" i="1"/>
  <c r="G263" i="1"/>
  <c r="G261" i="1"/>
  <c r="G254" i="1"/>
  <c r="G253" i="1"/>
  <c r="G252" i="1"/>
  <c r="G251" i="1"/>
  <c r="G250" i="1"/>
  <c r="G249" i="1"/>
  <c r="G248" i="1"/>
  <c r="G244" i="1"/>
  <c r="G241" i="1"/>
  <c r="G240" i="1"/>
  <c r="G239" i="1"/>
  <c r="G238" i="1"/>
  <c r="G237" i="1"/>
  <c r="G256" i="1"/>
  <c r="G255" i="1"/>
  <c r="G223" i="1"/>
  <c r="G222" i="1"/>
  <c r="G212" i="1"/>
  <c r="G225" i="1"/>
  <c r="G236" i="1"/>
  <c r="G235" i="1"/>
  <c r="G234" i="1"/>
  <c r="G233" i="1"/>
  <c r="G232" i="1"/>
  <c r="G231" i="1"/>
  <c r="G230" i="1"/>
  <c r="G220" i="1"/>
  <c r="G219" i="1"/>
  <c r="G211" i="1"/>
  <c r="K305" i="1"/>
  <c r="K298" i="1"/>
  <c r="K306" i="1"/>
  <c r="K289" i="1"/>
  <c r="K275" i="1"/>
  <c r="K288" i="1"/>
  <c r="K278" i="1"/>
  <c r="K273" i="1"/>
  <c r="K266" i="1"/>
  <c r="K264" i="1"/>
  <c r="K262" i="1"/>
  <c r="K265" i="1"/>
  <c r="K263" i="1"/>
  <c r="K261" i="1"/>
  <c r="K254" i="1"/>
  <c r="K253" i="1"/>
  <c r="K252" i="1"/>
  <c r="K251" i="1"/>
  <c r="K250" i="1"/>
  <c r="K249" i="1"/>
  <c r="K248" i="1"/>
  <c r="K244" i="1"/>
  <c r="K241" i="1"/>
  <c r="K240" i="1"/>
  <c r="K239" i="1"/>
  <c r="K238" i="1"/>
  <c r="K237" i="1"/>
  <c r="K256" i="1"/>
  <c r="K255" i="1"/>
  <c r="K223" i="1"/>
  <c r="K222" i="1"/>
  <c r="K212" i="1"/>
  <c r="K225" i="1"/>
  <c r="K236" i="1"/>
  <c r="K235" i="1"/>
  <c r="K234" i="1"/>
  <c r="K233" i="1"/>
  <c r="K232" i="1"/>
  <c r="K231" i="1"/>
  <c r="K230" i="1"/>
  <c r="K220" i="1"/>
  <c r="K211" i="1"/>
  <c r="O305" i="1"/>
  <c r="O298" i="1"/>
  <c r="O306" i="1"/>
  <c r="O288" i="1"/>
  <c r="O275" i="1"/>
  <c r="O289" i="1"/>
  <c r="O278" i="1"/>
  <c r="O273" i="1"/>
  <c r="O266" i="1"/>
  <c r="O264" i="1"/>
  <c r="O262" i="1"/>
  <c r="O265" i="1"/>
  <c r="O263" i="1"/>
  <c r="O261" i="1"/>
  <c r="O254" i="1"/>
  <c r="O253" i="1"/>
  <c r="O252" i="1"/>
  <c r="O251" i="1"/>
  <c r="O250" i="1"/>
  <c r="O249" i="1"/>
  <c r="O248" i="1"/>
  <c r="O244" i="1"/>
  <c r="O241" i="1"/>
  <c r="O240" i="1"/>
  <c r="O239" i="1"/>
  <c r="O238" i="1"/>
  <c r="O237" i="1"/>
  <c r="O256" i="1"/>
  <c r="O255" i="1"/>
  <c r="O236" i="1"/>
  <c r="O223" i="1"/>
  <c r="O222" i="1"/>
  <c r="O212" i="1"/>
  <c r="O225" i="1"/>
  <c r="O235" i="1"/>
  <c r="O234" i="1"/>
  <c r="O233" i="1"/>
  <c r="O232" i="1"/>
  <c r="O231" i="1"/>
  <c r="O230" i="1"/>
  <c r="O220" i="1"/>
  <c r="O219" i="1"/>
  <c r="O211" i="1"/>
  <c r="S305" i="1"/>
  <c r="S298" i="1"/>
  <c r="S295" i="1"/>
  <c r="S294" i="1"/>
  <c r="S292" i="1"/>
  <c r="S293" i="1"/>
  <c r="S286" i="1"/>
  <c r="S291" i="1"/>
  <c r="S285" i="1"/>
  <c r="S283" i="1"/>
  <c r="S290" i="1"/>
  <c r="S289" i="1"/>
  <c r="S287" i="1"/>
  <c r="S275" i="1"/>
  <c r="S306" i="1"/>
  <c r="S284" i="1"/>
  <c r="S282" i="1"/>
  <c r="S288" i="1"/>
  <c r="S278" i="1"/>
  <c r="S273" i="1"/>
  <c r="S266" i="1"/>
  <c r="S264" i="1"/>
  <c r="S262" i="1"/>
  <c r="S265" i="1"/>
  <c r="S263" i="1"/>
  <c r="S261" i="1"/>
  <c r="S254" i="1"/>
  <c r="S253" i="1"/>
  <c r="S252" i="1"/>
  <c r="S251" i="1"/>
  <c r="S250" i="1"/>
  <c r="S249" i="1"/>
  <c r="S248" i="1"/>
  <c r="S244" i="1"/>
  <c r="S241" i="1"/>
  <c r="S240" i="1"/>
  <c r="S239" i="1"/>
  <c r="S238" i="1"/>
  <c r="S237" i="1"/>
  <c r="S256" i="1"/>
  <c r="S255" i="1"/>
  <c r="S223" i="1"/>
  <c r="S222" i="1"/>
  <c r="S212" i="1"/>
  <c r="S210" i="1"/>
  <c r="S225" i="1"/>
  <c r="S235" i="1"/>
  <c r="S234" i="1"/>
  <c r="S233" i="1"/>
  <c r="S232" i="1"/>
  <c r="S231" i="1"/>
  <c r="S230" i="1"/>
  <c r="S220" i="1"/>
  <c r="S219" i="1"/>
  <c r="S236" i="1"/>
  <c r="S211" i="1"/>
  <c r="W305" i="1"/>
  <c r="W298" i="1"/>
  <c r="W295" i="1"/>
  <c r="W294" i="1"/>
  <c r="W292" i="1"/>
  <c r="W286" i="1"/>
  <c r="W306" i="1"/>
  <c r="W291" i="1"/>
  <c r="W283" i="1"/>
  <c r="W288" i="1"/>
  <c r="W285" i="1"/>
  <c r="W275" i="1"/>
  <c r="W293" i="1"/>
  <c r="W284" i="1"/>
  <c r="W282" i="1"/>
  <c r="W290" i="1"/>
  <c r="W289" i="1"/>
  <c r="W287" i="1"/>
  <c r="W278" i="1"/>
  <c r="W273" i="1"/>
  <c r="W266" i="1"/>
  <c r="W264" i="1"/>
  <c r="W262" i="1"/>
  <c r="W265" i="1"/>
  <c r="W263" i="1"/>
  <c r="W261" i="1"/>
  <c r="W254" i="1"/>
  <c r="W253" i="1"/>
  <c r="W252" i="1"/>
  <c r="W251" i="1"/>
  <c r="W250" i="1"/>
  <c r="W249" i="1"/>
  <c r="W248" i="1"/>
  <c r="W244" i="1"/>
  <c r="W241" i="1"/>
  <c r="W240" i="1"/>
  <c r="W239" i="1"/>
  <c r="W238" i="1"/>
  <c r="W237" i="1"/>
  <c r="W236" i="1"/>
  <c r="W256" i="1"/>
  <c r="W255" i="1"/>
  <c r="W223" i="1"/>
  <c r="W222" i="1"/>
  <c r="W212" i="1"/>
  <c r="W210" i="1"/>
  <c r="W225" i="1"/>
  <c r="W235" i="1"/>
  <c r="W234" i="1"/>
  <c r="W233" i="1"/>
  <c r="W232" i="1"/>
  <c r="W231" i="1"/>
  <c r="W230" i="1"/>
  <c r="W220" i="1"/>
  <c r="W211" i="1"/>
  <c r="AA305" i="1"/>
  <c r="AA298" i="1"/>
  <c r="AA295" i="1"/>
  <c r="AA294" i="1"/>
  <c r="AA306" i="1"/>
  <c r="AA292" i="1"/>
  <c r="AA286" i="1"/>
  <c r="AA293" i="1"/>
  <c r="AA291" i="1"/>
  <c r="AA283" i="1"/>
  <c r="AA290" i="1"/>
  <c r="AA289" i="1"/>
  <c r="AA287" i="1"/>
  <c r="AA275" i="1"/>
  <c r="AA284" i="1"/>
  <c r="AA282" i="1"/>
  <c r="AA288" i="1"/>
  <c r="AA285" i="1"/>
  <c r="AA278" i="1"/>
  <c r="AA273" i="1"/>
  <c r="AA266" i="1"/>
  <c r="AA264" i="1"/>
  <c r="AA262" i="1"/>
  <c r="AA265" i="1"/>
  <c r="AA263" i="1"/>
  <c r="AA261" i="1"/>
  <c r="AA254" i="1"/>
  <c r="AA253" i="1"/>
  <c r="AA252" i="1"/>
  <c r="AA251" i="1"/>
  <c r="AA250" i="1"/>
  <c r="AA249" i="1"/>
  <c r="AA248" i="1"/>
  <c r="AA244" i="1"/>
  <c r="AA241" i="1"/>
  <c r="AA240" i="1"/>
  <c r="AA239" i="1"/>
  <c r="AA238" i="1"/>
  <c r="AA237" i="1"/>
  <c r="AA236" i="1"/>
  <c r="AA256" i="1"/>
  <c r="AA255" i="1"/>
  <c r="AA223" i="1"/>
  <c r="AA222" i="1"/>
  <c r="AA212" i="1"/>
  <c r="AA210" i="1"/>
  <c r="AA225" i="1"/>
  <c r="AA235" i="1"/>
  <c r="AA234" i="1"/>
  <c r="AA233" i="1"/>
  <c r="AA232" i="1"/>
  <c r="AA231" i="1"/>
  <c r="AA230" i="1"/>
  <c r="AA220" i="1"/>
  <c r="AA211" i="1"/>
  <c r="AE305" i="1"/>
  <c r="AE298" i="1"/>
  <c r="AE295" i="1"/>
  <c r="AE303" i="1"/>
  <c r="AE292" i="1"/>
  <c r="AE294" i="1"/>
  <c r="AE306" i="1"/>
  <c r="AE293" i="1"/>
  <c r="AE286" i="1"/>
  <c r="AE291" i="1"/>
  <c r="AE283" i="1"/>
  <c r="AE288" i="1"/>
  <c r="AE285" i="1"/>
  <c r="AE275" i="1"/>
  <c r="AE284" i="1"/>
  <c r="AE282" i="1"/>
  <c r="AE290" i="1"/>
  <c r="AE289" i="1"/>
  <c r="AE287" i="1"/>
  <c r="AE278" i="1"/>
  <c r="AE273" i="1"/>
  <c r="AE266" i="1"/>
  <c r="AE264" i="1"/>
  <c r="AE262" i="1"/>
  <c r="AE265" i="1"/>
  <c r="AE263" i="1"/>
  <c r="AE261" i="1"/>
  <c r="AE254" i="1"/>
  <c r="AE253" i="1"/>
  <c r="AE252" i="1"/>
  <c r="AE251" i="1"/>
  <c r="AE250" i="1"/>
  <c r="AE249" i="1"/>
  <c r="AE248" i="1"/>
  <c r="AE244" i="1"/>
  <c r="AE241" i="1"/>
  <c r="AE240" i="1"/>
  <c r="AE239" i="1"/>
  <c r="AE238" i="1"/>
  <c r="AE237" i="1"/>
  <c r="AE236" i="1"/>
  <c r="AE256" i="1"/>
  <c r="AE255" i="1"/>
  <c r="AE223" i="1"/>
  <c r="AE222" i="1"/>
  <c r="AE212" i="1"/>
  <c r="AE210" i="1"/>
  <c r="AE225" i="1"/>
  <c r="AE235" i="1"/>
  <c r="AE234" i="1"/>
  <c r="AE233" i="1"/>
  <c r="AE232" i="1"/>
  <c r="AE231" i="1"/>
  <c r="AE230" i="1"/>
  <c r="AE211" i="1"/>
  <c r="AI307" i="1"/>
  <c r="AI305" i="1"/>
  <c r="AI298" i="1"/>
  <c r="AI295" i="1"/>
  <c r="AI304" i="1"/>
  <c r="AI303" i="1"/>
  <c r="AI301" i="1"/>
  <c r="AI292" i="1"/>
  <c r="AI302" i="1"/>
  <c r="AI294" i="1"/>
  <c r="AI293" i="1"/>
  <c r="AI286" i="1"/>
  <c r="AI291" i="1"/>
  <c r="AI283" i="1"/>
  <c r="AI306" i="1"/>
  <c r="AI290" i="1"/>
  <c r="AI289" i="1"/>
  <c r="AI287" i="1"/>
  <c r="AI275" i="1"/>
  <c r="AI284" i="1"/>
  <c r="AI282" i="1"/>
  <c r="AI273" i="1"/>
  <c r="AI288" i="1"/>
  <c r="AI285" i="1"/>
  <c r="AI278" i="1"/>
  <c r="AI258" i="1"/>
  <c r="AI266" i="1"/>
  <c r="AI264" i="1"/>
  <c r="AI262" i="1"/>
  <c r="AI265" i="1"/>
  <c r="AI263" i="1"/>
  <c r="AI261" i="1"/>
  <c r="AI254" i="1"/>
  <c r="AI253" i="1"/>
  <c r="AI252" i="1"/>
  <c r="AI251" i="1"/>
  <c r="AI250" i="1"/>
  <c r="AI249" i="1"/>
  <c r="AI248" i="1"/>
  <c r="AI244" i="1"/>
  <c r="AI241" i="1"/>
  <c r="AI240" i="1"/>
  <c r="AI239" i="1"/>
  <c r="AI238" i="1"/>
  <c r="AI237" i="1"/>
  <c r="AI236" i="1"/>
  <c r="AI255" i="1"/>
  <c r="AI256" i="1"/>
  <c r="AI223" i="1"/>
  <c r="AI222" i="1"/>
  <c r="AI212" i="1"/>
  <c r="AI210" i="1"/>
  <c r="AI225" i="1"/>
  <c r="AI235" i="1"/>
  <c r="AI234" i="1"/>
  <c r="AI233" i="1"/>
  <c r="AI232" i="1"/>
  <c r="AI231" i="1"/>
  <c r="AI230" i="1"/>
  <c r="AI220" i="1"/>
  <c r="AM307" i="1"/>
  <c r="AM305" i="1"/>
  <c r="AN300" i="1"/>
  <c r="AM298" i="1"/>
  <c r="AM295" i="1"/>
  <c r="AM304" i="1"/>
  <c r="AM303" i="1"/>
  <c r="AM301" i="1"/>
  <c r="AM292" i="1"/>
  <c r="AM302" i="1"/>
  <c r="AM294" i="1"/>
  <c r="AM286" i="1"/>
  <c r="AM306" i="1"/>
  <c r="AM291" i="1"/>
  <c r="AM283" i="1"/>
  <c r="AM276" i="1"/>
  <c r="AM293" i="1"/>
  <c r="AM288" i="1"/>
  <c r="AM285" i="1"/>
  <c r="AM275" i="1"/>
  <c r="AM284" i="1"/>
  <c r="AM282" i="1"/>
  <c r="AM273" i="1"/>
  <c r="AM290" i="1"/>
  <c r="AM289" i="1"/>
  <c r="AM287" i="1"/>
  <c r="AM278" i="1"/>
  <c r="AM258" i="1"/>
  <c r="AM266" i="1"/>
  <c r="AM264" i="1"/>
  <c r="AM262" i="1"/>
  <c r="AM265" i="1"/>
  <c r="AM263" i="1"/>
  <c r="AM261" i="1"/>
  <c r="AM256" i="1"/>
  <c r="AM254" i="1"/>
  <c r="AM253" i="1"/>
  <c r="AM252" i="1"/>
  <c r="AM251" i="1"/>
  <c r="AM250" i="1"/>
  <c r="AM249" i="1"/>
  <c r="AM248" i="1"/>
  <c r="AM244" i="1"/>
  <c r="AM241" i="1"/>
  <c r="AM240" i="1"/>
  <c r="AM239" i="1"/>
  <c r="AM238" i="1"/>
  <c r="AM237" i="1"/>
  <c r="AM236" i="1"/>
  <c r="AM255" i="1"/>
  <c r="AM223" i="1"/>
  <c r="AM222" i="1"/>
  <c r="AM212" i="1"/>
  <c r="AM210" i="1"/>
  <c r="AM225" i="1"/>
  <c r="AM235" i="1"/>
  <c r="AM234" i="1"/>
  <c r="AM233" i="1"/>
  <c r="AM232" i="1"/>
  <c r="AM231" i="1"/>
  <c r="AM230" i="1"/>
  <c r="AM220" i="1"/>
  <c r="AM214" i="1"/>
  <c r="AM211" i="1"/>
  <c r="AQ307" i="1"/>
  <c r="AQ305" i="1"/>
  <c r="AR300" i="1"/>
  <c r="AQ298" i="1"/>
  <c r="AQ295" i="1"/>
  <c r="AQ304" i="1"/>
  <c r="AQ303" i="1"/>
  <c r="AQ301" i="1"/>
  <c r="AQ299" i="1"/>
  <c r="AQ292" i="1"/>
  <c r="AQ302" i="1"/>
  <c r="AQ294" i="1"/>
  <c r="AQ306" i="1"/>
  <c r="AQ286" i="1"/>
  <c r="AQ293" i="1"/>
  <c r="AQ291" i="1"/>
  <c r="AQ283" i="1"/>
  <c r="AQ276" i="1"/>
  <c r="AQ290" i="1"/>
  <c r="AQ289" i="1"/>
  <c r="AQ287" i="1"/>
  <c r="AQ277" i="1"/>
  <c r="AQ275" i="1"/>
  <c r="AQ284" i="1"/>
  <c r="AQ282" i="1"/>
  <c r="AQ273" i="1"/>
  <c r="AQ288" i="1"/>
  <c r="AQ285" i="1"/>
  <c r="AQ278" i="1"/>
  <c r="AR267" i="1"/>
  <c r="AQ258" i="1"/>
  <c r="AQ266" i="1"/>
  <c r="AQ264" i="1"/>
  <c r="AQ262" i="1"/>
  <c r="AQ265" i="1"/>
  <c r="AQ263" i="1"/>
  <c r="AQ261" i="1"/>
  <c r="AQ256" i="1"/>
  <c r="AQ254" i="1"/>
  <c r="AQ253" i="1"/>
  <c r="AQ252" i="1"/>
  <c r="AQ251" i="1"/>
  <c r="AQ250" i="1"/>
  <c r="AQ249" i="1"/>
  <c r="AQ248" i="1"/>
  <c r="AQ241" i="1"/>
  <c r="AQ240" i="1"/>
  <c r="AQ239" i="1"/>
  <c r="AQ238" i="1"/>
  <c r="AQ237" i="1"/>
  <c r="AQ236" i="1"/>
  <c r="AQ255" i="1"/>
  <c r="AQ223" i="1"/>
  <c r="AQ222" i="1"/>
  <c r="AQ212" i="1"/>
  <c r="AQ210" i="1"/>
  <c r="AQ225" i="1"/>
  <c r="AQ213" i="1"/>
  <c r="AQ235" i="1"/>
  <c r="AQ234" i="1"/>
  <c r="AQ233" i="1"/>
  <c r="AQ232" i="1"/>
  <c r="AQ231" i="1"/>
  <c r="AQ230" i="1"/>
  <c r="AQ220" i="1"/>
  <c r="AQ214" i="1"/>
  <c r="AQ211" i="1"/>
  <c r="AU307" i="1"/>
  <c r="AU305" i="1"/>
  <c r="AU298" i="1"/>
  <c r="AU295" i="1"/>
  <c r="AU304" i="1"/>
  <c r="AU303" i="1"/>
  <c r="AU301" i="1"/>
  <c r="AU300" i="1"/>
  <c r="AU299" i="1"/>
  <c r="AU292" i="1"/>
  <c r="AU302" i="1"/>
  <c r="AU294" i="1"/>
  <c r="AU306" i="1"/>
  <c r="AU290" i="1"/>
  <c r="AU293" i="1"/>
  <c r="AU286" i="1"/>
  <c r="AU291" i="1"/>
  <c r="AU283" i="1"/>
  <c r="AU288" i="1"/>
  <c r="AU285" i="1"/>
  <c r="AU275" i="1"/>
  <c r="AU284" i="1"/>
  <c r="AU282" i="1"/>
  <c r="AU273" i="1"/>
  <c r="AU289" i="1"/>
  <c r="AU287" i="1"/>
  <c r="AU278" i="1"/>
  <c r="AU258" i="1"/>
  <c r="AU267" i="1"/>
  <c r="AU266" i="1"/>
  <c r="AU264" i="1"/>
  <c r="AU262" i="1"/>
  <c r="AU268" i="1"/>
  <c r="AU265" i="1"/>
  <c r="AU263" i="1"/>
  <c r="AU261" i="1"/>
  <c r="AU256" i="1"/>
  <c r="AU254" i="1"/>
  <c r="AU253" i="1"/>
  <c r="AU252" i="1"/>
  <c r="AU251" i="1"/>
  <c r="AU250" i="1"/>
  <c r="AU249" i="1"/>
  <c r="AU248" i="1"/>
  <c r="AU244" i="1"/>
  <c r="AU241" i="1"/>
  <c r="AU240" i="1"/>
  <c r="AU239" i="1"/>
  <c r="AU238" i="1"/>
  <c r="AU237" i="1"/>
  <c r="AU236" i="1"/>
  <c r="AU255" i="1"/>
  <c r="AU223" i="1"/>
  <c r="AU222" i="1"/>
  <c r="AU212" i="1"/>
  <c r="AU210" i="1"/>
  <c r="AU225" i="1"/>
  <c r="AU235" i="1"/>
  <c r="AU234" i="1"/>
  <c r="AU233" i="1"/>
  <c r="AU232" i="1"/>
  <c r="AU231" i="1"/>
  <c r="AU230" i="1"/>
  <c r="AU214" i="1"/>
  <c r="E207" i="1"/>
  <c r="I207" i="1"/>
  <c r="M207" i="1"/>
  <c r="Q207" i="1"/>
  <c r="U207" i="1"/>
  <c r="Y207" i="1"/>
  <c r="AC207" i="1"/>
  <c r="AG207" i="1"/>
  <c r="AK207" i="1"/>
  <c r="AO207" i="1"/>
  <c r="AS207" i="1"/>
  <c r="E208" i="1"/>
  <c r="I208" i="1"/>
  <c r="M208" i="1"/>
  <c r="Q208" i="1"/>
  <c r="U208" i="1"/>
  <c r="Y208" i="1"/>
  <c r="AC208" i="1"/>
  <c r="AG208" i="1"/>
  <c r="AK208" i="1"/>
  <c r="AO208" i="1"/>
  <c r="AS208" i="1"/>
  <c r="H209" i="1"/>
  <c r="BF209" i="1" s="1"/>
  <c r="L209" i="1"/>
  <c r="Q210" i="1"/>
  <c r="AG210" i="1"/>
  <c r="H306" i="1"/>
  <c r="H298" i="1"/>
  <c r="H305" i="1"/>
  <c r="H289" i="1"/>
  <c r="H288" i="1"/>
  <c r="H275" i="1"/>
  <c r="H278" i="1"/>
  <c r="H273" i="1"/>
  <c r="H266" i="1"/>
  <c r="H264" i="1"/>
  <c r="H262" i="1"/>
  <c r="H265" i="1"/>
  <c r="H263" i="1"/>
  <c r="H261" i="1"/>
  <c r="H256" i="1"/>
  <c r="H255" i="1"/>
  <c r="H254" i="1"/>
  <c r="H253" i="1"/>
  <c r="H252" i="1"/>
  <c r="H251" i="1"/>
  <c r="H250" i="1"/>
  <c r="H249" i="1"/>
  <c r="H248" i="1"/>
  <c r="H244" i="1"/>
  <c r="H241" i="1"/>
  <c r="H240" i="1"/>
  <c r="H239" i="1"/>
  <c r="H238" i="1"/>
  <c r="H237" i="1"/>
  <c r="H225" i="1"/>
  <c r="H236" i="1"/>
  <c r="H235" i="1"/>
  <c r="H234" i="1"/>
  <c r="H233" i="1"/>
  <c r="H232" i="1"/>
  <c r="H231" i="1"/>
  <c r="H230" i="1"/>
  <c r="H220" i="1"/>
  <c r="H211" i="1"/>
  <c r="H223" i="1"/>
  <c r="H222" i="1"/>
  <c r="H212" i="1"/>
  <c r="L306" i="1"/>
  <c r="L298" i="1"/>
  <c r="L305" i="1"/>
  <c r="L289" i="1"/>
  <c r="L288" i="1"/>
  <c r="L275" i="1"/>
  <c r="L278" i="1"/>
  <c r="L273" i="1"/>
  <c r="L266" i="1"/>
  <c r="L264" i="1"/>
  <c r="L262" i="1"/>
  <c r="L265" i="1"/>
  <c r="L263" i="1"/>
  <c r="L261" i="1"/>
  <c r="L256" i="1"/>
  <c r="L255" i="1"/>
  <c r="L254" i="1"/>
  <c r="L253" i="1"/>
  <c r="L252" i="1"/>
  <c r="L251" i="1"/>
  <c r="L250" i="1"/>
  <c r="L249" i="1"/>
  <c r="L248" i="1"/>
  <c r="L244" i="1"/>
  <c r="L241" i="1"/>
  <c r="L240" i="1"/>
  <c r="L239" i="1"/>
  <c r="L238" i="1"/>
  <c r="L237" i="1"/>
  <c r="L225" i="1"/>
  <c r="L236" i="1"/>
  <c r="L235" i="1"/>
  <c r="L234" i="1"/>
  <c r="L233" i="1"/>
  <c r="L232" i="1"/>
  <c r="L231" i="1"/>
  <c r="L230" i="1"/>
  <c r="L220" i="1"/>
  <c r="L211" i="1"/>
  <c r="L223" i="1"/>
  <c r="L222" i="1"/>
  <c r="L226" i="1" s="1"/>
  <c r="L212" i="1"/>
  <c r="P306" i="1"/>
  <c r="P305" i="1"/>
  <c r="P289" i="1"/>
  <c r="P288" i="1"/>
  <c r="P298" i="1"/>
  <c r="P275" i="1"/>
  <c r="P278" i="1"/>
  <c r="P273" i="1"/>
  <c r="P266" i="1"/>
  <c r="P264" i="1"/>
  <c r="P262" i="1"/>
  <c r="P265" i="1"/>
  <c r="P263" i="1"/>
  <c r="P261" i="1"/>
  <c r="P256" i="1"/>
  <c r="P255" i="1"/>
  <c r="P254" i="1"/>
  <c r="P253" i="1"/>
  <c r="P252" i="1"/>
  <c r="P251" i="1"/>
  <c r="P250" i="1"/>
  <c r="P249" i="1"/>
  <c r="P248" i="1"/>
  <c r="P244" i="1"/>
  <c r="P241" i="1"/>
  <c r="P240" i="1"/>
  <c r="P239" i="1"/>
  <c r="P238" i="1"/>
  <c r="P237" i="1"/>
  <c r="P236" i="1"/>
  <c r="P225" i="1"/>
  <c r="P235" i="1"/>
  <c r="P234" i="1"/>
  <c r="P233" i="1"/>
  <c r="P232" i="1"/>
  <c r="P231" i="1"/>
  <c r="P230" i="1"/>
  <c r="P220" i="1"/>
  <c r="P211" i="1"/>
  <c r="P223" i="1"/>
  <c r="P222" i="1"/>
  <c r="P212" i="1"/>
  <c r="P210" i="1"/>
  <c r="T294" i="1"/>
  <c r="T306" i="1"/>
  <c r="T293" i="1"/>
  <c r="T295" i="1"/>
  <c r="T291" i="1"/>
  <c r="T298" i="1"/>
  <c r="T289" i="1"/>
  <c r="T288" i="1"/>
  <c r="T287" i="1"/>
  <c r="T290" i="1"/>
  <c r="T286" i="1"/>
  <c r="T275" i="1"/>
  <c r="T305" i="1"/>
  <c r="T284" i="1"/>
  <c r="T282" i="1"/>
  <c r="T278" i="1"/>
  <c r="T292" i="1"/>
  <c r="T285" i="1"/>
  <c r="T283" i="1"/>
  <c r="T273" i="1"/>
  <c r="T266" i="1"/>
  <c r="T264" i="1"/>
  <c r="T262" i="1"/>
  <c r="T265" i="1"/>
  <c r="T263" i="1"/>
  <c r="T261" i="1"/>
  <c r="T256" i="1"/>
  <c r="T255" i="1"/>
  <c r="T254" i="1"/>
  <c r="T253" i="1"/>
  <c r="T252" i="1"/>
  <c r="T251" i="1"/>
  <c r="T250" i="1"/>
  <c r="T249" i="1"/>
  <c r="T248" i="1"/>
  <c r="T244" i="1"/>
  <c r="T241" i="1"/>
  <c r="T240" i="1"/>
  <c r="T239" i="1"/>
  <c r="T238" i="1"/>
  <c r="T237" i="1"/>
  <c r="T236" i="1"/>
  <c r="T225" i="1"/>
  <c r="T235" i="1"/>
  <c r="T234" i="1"/>
  <c r="T233" i="1"/>
  <c r="T232" i="1"/>
  <c r="T231" i="1"/>
  <c r="T230" i="1"/>
  <c r="T220" i="1"/>
  <c r="T211" i="1"/>
  <c r="T223" i="1"/>
  <c r="T222" i="1"/>
  <c r="T212" i="1"/>
  <c r="T210" i="1"/>
  <c r="X294" i="1"/>
  <c r="X306" i="1"/>
  <c r="X293" i="1"/>
  <c r="X295" i="1"/>
  <c r="X298" i="1"/>
  <c r="X291" i="1"/>
  <c r="X305" i="1"/>
  <c r="X289" i="1"/>
  <c r="X288" i="1"/>
  <c r="X287" i="1"/>
  <c r="X285" i="1"/>
  <c r="X275" i="1"/>
  <c r="X284" i="1"/>
  <c r="X282" i="1"/>
  <c r="X292" i="1"/>
  <c r="X290" i="1"/>
  <c r="X286" i="1"/>
  <c r="X278" i="1"/>
  <c r="X283" i="1"/>
  <c r="X273" i="1"/>
  <c r="X266" i="1"/>
  <c r="X264" i="1"/>
  <c r="X262" i="1"/>
  <c r="X265" i="1"/>
  <c r="X263" i="1"/>
  <c r="X261" i="1"/>
  <c r="X256" i="1"/>
  <c r="X255" i="1"/>
  <c r="X254" i="1"/>
  <c r="X253" i="1"/>
  <c r="X252" i="1"/>
  <c r="X251" i="1"/>
  <c r="X250" i="1"/>
  <c r="X249" i="1"/>
  <c r="X248" i="1"/>
  <c r="X244" i="1"/>
  <c r="X241" i="1"/>
  <c r="X240" i="1"/>
  <c r="X239" i="1"/>
  <c r="X238" i="1"/>
  <c r="X237" i="1"/>
  <c r="X236" i="1"/>
  <c r="X225" i="1"/>
  <c r="X235" i="1"/>
  <c r="X234" i="1"/>
  <c r="X233" i="1"/>
  <c r="X232" i="1"/>
  <c r="X231" i="1"/>
  <c r="X230" i="1"/>
  <c r="X220" i="1"/>
  <c r="X211" i="1"/>
  <c r="X223" i="1"/>
  <c r="X222" i="1"/>
  <c r="X212" i="1"/>
  <c r="X210" i="1"/>
  <c r="AB294" i="1"/>
  <c r="AB306" i="1"/>
  <c r="AB293" i="1"/>
  <c r="AB298" i="1"/>
  <c r="AB292" i="1"/>
  <c r="AB305" i="1"/>
  <c r="AB291" i="1"/>
  <c r="AB289" i="1"/>
  <c r="AB288" i="1"/>
  <c r="AB287" i="1"/>
  <c r="AB285" i="1"/>
  <c r="AB290" i="1"/>
  <c r="AB286" i="1"/>
  <c r="AB275" i="1"/>
  <c r="AB284" i="1"/>
  <c r="AB282" i="1"/>
  <c r="AB295" i="1"/>
  <c r="AB278" i="1"/>
  <c r="AB283" i="1"/>
  <c r="AB273" i="1"/>
  <c r="AB266" i="1"/>
  <c r="AB264" i="1"/>
  <c r="AB262" i="1"/>
  <c r="AB265" i="1"/>
  <c r="AB263" i="1"/>
  <c r="AB261" i="1"/>
  <c r="AB256" i="1"/>
  <c r="AB255" i="1"/>
  <c r="AB254" i="1"/>
  <c r="AB253" i="1"/>
  <c r="AB252" i="1"/>
  <c r="AB251" i="1"/>
  <c r="AB250" i="1"/>
  <c r="AB249" i="1"/>
  <c r="AB248" i="1"/>
  <c r="AB244" i="1"/>
  <c r="AB241" i="1"/>
  <c r="AB240" i="1"/>
  <c r="AB239" i="1"/>
  <c r="AB238" i="1"/>
  <c r="AB237" i="1"/>
  <c r="AB236" i="1"/>
  <c r="AB225" i="1"/>
  <c r="AB235" i="1"/>
  <c r="AB234" i="1"/>
  <c r="AB233" i="1"/>
  <c r="AB232" i="1"/>
  <c r="AB231" i="1"/>
  <c r="AB230" i="1"/>
  <c r="AB220" i="1"/>
  <c r="AB211" i="1"/>
  <c r="AB223" i="1"/>
  <c r="AB222" i="1"/>
  <c r="AB212" i="1"/>
  <c r="AB210" i="1"/>
  <c r="AF303" i="1"/>
  <c r="AF294" i="1"/>
  <c r="AF306" i="1"/>
  <c r="AF293" i="1"/>
  <c r="AF305" i="1"/>
  <c r="AF291" i="1"/>
  <c r="AF295" i="1"/>
  <c r="AF292" i="1"/>
  <c r="AF289" i="1"/>
  <c r="AF288" i="1"/>
  <c r="AF287" i="1"/>
  <c r="AF285" i="1"/>
  <c r="AF275" i="1"/>
  <c r="AF284" i="1"/>
  <c r="AF282" i="1"/>
  <c r="AF290" i="1"/>
  <c r="AF286" i="1"/>
  <c r="AF278" i="1"/>
  <c r="AF298" i="1"/>
  <c r="AF283" i="1"/>
  <c r="AF273" i="1"/>
  <c r="AF266" i="1"/>
  <c r="AF264" i="1"/>
  <c r="AF262" i="1"/>
  <c r="AF265" i="1"/>
  <c r="AF263" i="1"/>
  <c r="AF261" i="1"/>
  <c r="AF256" i="1"/>
  <c r="AF255" i="1"/>
  <c r="AF254" i="1"/>
  <c r="AF253" i="1"/>
  <c r="AF252" i="1"/>
  <c r="AF251" i="1"/>
  <c r="AF250" i="1"/>
  <c r="AF249" i="1"/>
  <c r="AF248" i="1"/>
  <c r="AF244" i="1"/>
  <c r="AF241" i="1"/>
  <c r="AF240" i="1"/>
  <c r="AF239" i="1"/>
  <c r="AF238" i="1"/>
  <c r="AF237" i="1"/>
  <c r="AF236" i="1"/>
  <c r="AF225" i="1"/>
  <c r="AF235" i="1"/>
  <c r="AF234" i="1"/>
  <c r="AF233" i="1"/>
  <c r="AF232" i="1"/>
  <c r="AF231" i="1"/>
  <c r="AF230" i="1"/>
  <c r="AF220" i="1"/>
  <c r="AF211" i="1"/>
  <c r="AF223" i="1"/>
  <c r="AF222" i="1"/>
  <c r="AF212" i="1"/>
  <c r="AF210" i="1"/>
  <c r="AJ304" i="1"/>
  <c r="AJ303" i="1"/>
  <c r="AJ301" i="1"/>
  <c r="AJ302" i="1"/>
  <c r="AJ294" i="1"/>
  <c r="AJ306" i="1"/>
  <c r="AJ293" i="1"/>
  <c r="AJ292" i="1"/>
  <c r="AK300" i="1"/>
  <c r="AJ295" i="1"/>
  <c r="AJ291" i="1"/>
  <c r="AJ307" i="1"/>
  <c r="AJ298" i="1"/>
  <c r="AJ289" i="1"/>
  <c r="AJ288" i="1"/>
  <c r="AJ287" i="1"/>
  <c r="AJ285" i="1"/>
  <c r="AJ305" i="1"/>
  <c r="AJ290" i="1"/>
  <c r="AJ286" i="1"/>
  <c r="AJ275" i="1"/>
  <c r="AJ284" i="1"/>
  <c r="AJ282" i="1"/>
  <c r="AJ273" i="1"/>
  <c r="AJ278" i="1"/>
  <c r="AJ283" i="1"/>
  <c r="AJ266" i="1"/>
  <c r="AJ264" i="1"/>
  <c r="AJ262" i="1"/>
  <c r="AJ265" i="1"/>
  <c r="AJ263" i="1"/>
  <c r="AJ261" i="1"/>
  <c r="AJ256" i="1"/>
  <c r="AJ258" i="1"/>
  <c r="AJ255" i="1"/>
  <c r="AJ254" i="1"/>
  <c r="AJ253" i="1"/>
  <c r="AJ252" i="1"/>
  <c r="AJ251" i="1"/>
  <c r="AJ250" i="1"/>
  <c r="AJ249" i="1"/>
  <c r="AJ248" i="1"/>
  <c r="AJ244" i="1"/>
  <c r="AJ241" i="1"/>
  <c r="AJ240" i="1"/>
  <c r="AJ239" i="1"/>
  <c r="AJ238" i="1"/>
  <c r="AJ237" i="1"/>
  <c r="AJ236" i="1"/>
  <c r="AJ225" i="1"/>
  <c r="AJ235" i="1"/>
  <c r="AJ234" i="1"/>
  <c r="AJ233" i="1"/>
  <c r="AJ232" i="1"/>
  <c r="AJ231" i="1"/>
  <c r="AJ230" i="1"/>
  <c r="AJ220" i="1"/>
  <c r="AJ214" i="1"/>
  <c r="AJ211" i="1"/>
  <c r="AJ223" i="1"/>
  <c r="AJ222" i="1"/>
  <c r="AJ212" i="1"/>
  <c r="AJ210" i="1"/>
  <c r="AN304" i="1"/>
  <c r="AN303" i="1"/>
  <c r="AN301" i="1"/>
  <c r="AN302" i="1"/>
  <c r="AN294" i="1"/>
  <c r="AN306" i="1"/>
  <c r="AN293" i="1"/>
  <c r="AO300" i="1"/>
  <c r="AN295" i="1"/>
  <c r="AN307" i="1"/>
  <c r="AN298" i="1"/>
  <c r="AN291" i="1"/>
  <c r="AN305" i="1"/>
  <c r="AN292" i="1"/>
  <c r="AN289" i="1"/>
  <c r="AN288" i="1"/>
  <c r="AN287" i="1"/>
  <c r="AN285" i="1"/>
  <c r="AN275" i="1"/>
  <c r="AN284" i="1"/>
  <c r="AN282" i="1"/>
  <c r="AN273" i="1"/>
  <c r="AN290" i="1"/>
  <c r="AN286" i="1"/>
  <c r="AN278" i="1"/>
  <c r="AN283" i="1"/>
  <c r="AN276" i="1"/>
  <c r="AN266" i="1"/>
  <c r="AN264" i="1"/>
  <c r="AN262" i="1"/>
  <c r="AN265" i="1"/>
  <c r="AN263" i="1"/>
  <c r="AN261" i="1"/>
  <c r="AN256" i="1"/>
  <c r="AN258" i="1"/>
  <c r="AN255" i="1"/>
  <c r="AN254" i="1"/>
  <c r="AN253" i="1"/>
  <c r="AN252" i="1"/>
  <c r="AN251" i="1"/>
  <c r="AN250" i="1"/>
  <c r="AN249" i="1"/>
  <c r="AN248" i="1"/>
  <c r="AN244" i="1"/>
  <c r="AN241" i="1"/>
  <c r="AN240" i="1"/>
  <c r="AN239" i="1"/>
  <c r="AN238" i="1"/>
  <c r="AN237" i="1"/>
  <c r="AN236" i="1"/>
  <c r="AN225" i="1"/>
  <c r="AN235" i="1"/>
  <c r="AN234" i="1"/>
  <c r="AN233" i="1"/>
  <c r="AN232" i="1"/>
  <c r="AN231" i="1"/>
  <c r="AN230" i="1"/>
  <c r="AN220" i="1"/>
  <c r="AN214" i="1"/>
  <c r="AN211" i="1"/>
  <c r="AN223" i="1"/>
  <c r="AN222" i="1"/>
  <c r="AN226" i="1" s="1"/>
  <c r="AN212" i="1"/>
  <c r="AN210" i="1"/>
  <c r="AR304" i="1"/>
  <c r="AR303" i="1"/>
  <c r="AR301" i="1"/>
  <c r="AR299" i="1"/>
  <c r="AR302" i="1"/>
  <c r="AR294" i="1"/>
  <c r="AR306" i="1"/>
  <c r="AR293" i="1"/>
  <c r="AR307" i="1"/>
  <c r="AR298" i="1"/>
  <c r="AR292" i="1"/>
  <c r="AR305" i="1"/>
  <c r="AR291" i="1"/>
  <c r="AR289" i="1"/>
  <c r="AR288" i="1"/>
  <c r="AR287" i="1"/>
  <c r="AR285" i="1"/>
  <c r="AR290" i="1"/>
  <c r="AR286" i="1"/>
  <c r="AR277" i="1"/>
  <c r="AR275" i="1"/>
  <c r="AR295" i="1"/>
  <c r="AR284" i="1"/>
  <c r="AR282" i="1"/>
  <c r="AR273" i="1"/>
  <c r="AS300" i="1"/>
  <c r="AR278" i="1"/>
  <c r="AR283" i="1"/>
  <c r="AR276" i="1"/>
  <c r="AR266" i="1"/>
  <c r="AR264" i="1"/>
  <c r="AR262" i="1"/>
  <c r="AR265" i="1"/>
  <c r="AR263" i="1"/>
  <c r="AR261" i="1"/>
  <c r="AR256" i="1"/>
  <c r="AR258" i="1"/>
  <c r="AR255" i="1"/>
  <c r="AQ244" i="1"/>
  <c r="AR254" i="1"/>
  <c r="AR253" i="1"/>
  <c r="AR252" i="1"/>
  <c r="AR251" i="1"/>
  <c r="AR250" i="1"/>
  <c r="AR249" i="1"/>
  <c r="AR248" i="1"/>
  <c r="AR241" i="1"/>
  <c r="AR240" i="1"/>
  <c r="AR239" i="1"/>
  <c r="AR238" i="1"/>
  <c r="AR237" i="1"/>
  <c r="AR236" i="1"/>
  <c r="AR225" i="1"/>
  <c r="AR213" i="1"/>
  <c r="AR235" i="1"/>
  <c r="AR234" i="1"/>
  <c r="AR233" i="1"/>
  <c r="AR232" i="1"/>
  <c r="AR231" i="1"/>
  <c r="AR230" i="1"/>
  <c r="AR220" i="1"/>
  <c r="AR214" i="1"/>
  <c r="AR211" i="1"/>
  <c r="AR223" i="1"/>
  <c r="AR222" i="1"/>
  <c r="AR212" i="1"/>
  <c r="AR210" i="1"/>
  <c r="AV304" i="1"/>
  <c r="AV303" i="1"/>
  <c r="AV301" i="1"/>
  <c r="AV300" i="1"/>
  <c r="AV299" i="1"/>
  <c r="AV302" i="1"/>
  <c r="AV294" i="1"/>
  <c r="AV306" i="1"/>
  <c r="AV305" i="1"/>
  <c r="AV291" i="1"/>
  <c r="AV295" i="1"/>
  <c r="AV292" i="1"/>
  <c r="AV289" i="1"/>
  <c r="AV288" i="1"/>
  <c r="AV287" i="1"/>
  <c r="AV285" i="1"/>
  <c r="AV275" i="1"/>
  <c r="AV284" i="1"/>
  <c r="AV282" i="1"/>
  <c r="AV273" i="1"/>
  <c r="AV298" i="1"/>
  <c r="AV286" i="1"/>
  <c r="AV307" i="1"/>
  <c r="AV290" i="1"/>
  <c r="AV283" i="1"/>
  <c r="AV267" i="1"/>
  <c r="AV266" i="1"/>
  <c r="AV264" i="1"/>
  <c r="AV262" i="1"/>
  <c r="AV268" i="1"/>
  <c r="AV265" i="1"/>
  <c r="AV263" i="1"/>
  <c r="AV261" i="1"/>
  <c r="AV256" i="1"/>
  <c r="AV258" i="1"/>
  <c r="AV255" i="1"/>
  <c r="AV253" i="1"/>
  <c r="AV252" i="1"/>
  <c r="AV251" i="1"/>
  <c r="AV250" i="1"/>
  <c r="AV249" i="1"/>
  <c r="AV248" i="1"/>
  <c r="AV244" i="1"/>
  <c r="AV241" i="1"/>
  <c r="AV240" i="1"/>
  <c r="AV239" i="1"/>
  <c r="AV238" i="1"/>
  <c r="AV237" i="1"/>
  <c r="AV236" i="1"/>
  <c r="AV225" i="1"/>
  <c r="AV235" i="1"/>
  <c r="AV234" i="1"/>
  <c r="AV233" i="1"/>
  <c r="AV232" i="1"/>
  <c r="AV231" i="1"/>
  <c r="AV230" i="1"/>
  <c r="AV222" i="1"/>
  <c r="AV210" i="1"/>
  <c r="F207" i="1"/>
  <c r="J207" i="1"/>
  <c r="N207" i="1"/>
  <c r="R207" i="1"/>
  <c r="Z207" i="1"/>
  <c r="AD207" i="1"/>
  <c r="AH207" i="1"/>
  <c r="AL207" i="1"/>
  <c r="AP207" i="1"/>
  <c r="AT207" i="1"/>
  <c r="F208" i="1"/>
  <c r="J208" i="1"/>
  <c r="N208" i="1"/>
  <c r="R208" i="1"/>
  <c r="V208" i="1"/>
  <c r="Z208" i="1"/>
  <c r="AD208" i="1"/>
  <c r="AH208" i="1"/>
  <c r="AL208" i="1"/>
  <c r="AP208" i="1"/>
  <c r="AT208" i="1"/>
  <c r="E209" i="1"/>
  <c r="I209" i="1"/>
  <c r="M209" i="1"/>
  <c r="Q209" i="1"/>
  <c r="U209" i="1"/>
  <c r="Y209" i="1"/>
  <c r="AC209" i="1"/>
  <c r="AG209" i="1"/>
  <c r="AK209" i="1"/>
  <c r="AO209" i="1"/>
  <c r="E210" i="1"/>
  <c r="I210" i="1"/>
  <c r="M210" i="1"/>
  <c r="U210" i="1"/>
  <c r="AK210" i="1"/>
  <c r="AV195" i="1"/>
  <c r="AV278" i="1"/>
  <c r="AV37" i="1"/>
  <c r="AV40" i="1"/>
  <c r="AU37" i="1"/>
  <c r="AV170" i="1"/>
  <c r="AU137" i="1"/>
  <c r="AV137" i="1"/>
  <c r="AU211" i="1"/>
  <c r="AV211" i="1"/>
  <c r="AV122" i="1"/>
  <c r="AV55" i="1"/>
  <c r="AV293" i="1"/>
  <c r="AZ208" i="1" l="1"/>
  <c r="AM173" i="1"/>
  <c r="AM197" i="1" s="1"/>
  <c r="AM227" i="1" s="1"/>
  <c r="AD197" i="1"/>
  <c r="AD227" i="1" s="1"/>
  <c r="AP173" i="1"/>
  <c r="AP197" i="1" s="1"/>
  <c r="AP227" i="1" s="1"/>
  <c r="AS173" i="1"/>
  <c r="AC197" i="1"/>
  <c r="AC227" i="1" s="1"/>
  <c r="AC173" i="1"/>
  <c r="L173" i="1"/>
  <c r="L219" i="1" s="1"/>
  <c r="AI211" i="1"/>
  <c r="AP209" i="1"/>
  <c r="AG173" i="1"/>
  <c r="AG219" i="1" s="1"/>
  <c r="Y173" i="1"/>
  <c r="Y219" i="1" s="1"/>
  <c r="Q173" i="1"/>
  <c r="Q219" i="1" s="1"/>
  <c r="I173" i="1"/>
  <c r="I197" i="1" s="1"/>
  <c r="I227" i="1" s="1"/>
  <c r="J173" i="1"/>
  <c r="J197" i="1" s="1"/>
  <c r="J227" i="1" s="1"/>
  <c r="AT173" i="1"/>
  <c r="AT197" i="1" s="1"/>
  <c r="AT227" i="1" s="1"/>
  <c r="AS70" i="1"/>
  <c r="T197" i="1"/>
  <c r="T227" i="1" s="1"/>
  <c r="T173" i="1"/>
  <c r="AE173" i="1"/>
  <c r="AE219" i="1" s="1"/>
  <c r="Z173" i="1"/>
  <c r="U173" i="1"/>
  <c r="U219" i="1" s="1"/>
  <c r="M173" i="1"/>
  <c r="M197" i="1" s="1"/>
  <c r="M227" i="1" s="1"/>
  <c r="AN173" i="1"/>
  <c r="AN219" i="1" s="1"/>
  <c r="W173" i="1"/>
  <c r="AA197" i="1"/>
  <c r="AA227" i="1" s="1"/>
  <c r="AA173" i="1"/>
  <c r="AZ214" i="1"/>
  <c r="AV173" i="1"/>
  <c r="Z211" i="1"/>
  <c r="Y211" i="1"/>
  <c r="AJ173" i="1"/>
  <c r="AK173" i="1"/>
  <c r="AK219" i="1" s="1"/>
  <c r="AB173" i="1"/>
  <c r="AB197" i="1" s="1"/>
  <c r="AB227" i="1" s="1"/>
  <c r="AR173" i="1"/>
  <c r="AR219" i="1" s="1"/>
  <c r="AI173" i="1"/>
  <c r="AU226" i="1"/>
  <c r="U226" i="1"/>
  <c r="AJ226" i="1"/>
  <c r="AQ226" i="1"/>
  <c r="F226" i="1"/>
  <c r="AQ170" i="1"/>
  <c r="AQ207" i="1"/>
  <c r="V170" i="1"/>
  <c r="V197" i="1"/>
  <c r="V227" i="1" s="1"/>
  <c r="V207" i="1"/>
  <c r="AZ207" i="1" s="1"/>
  <c r="AM226" i="1"/>
  <c r="AI226" i="1"/>
  <c r="BF208" i="1"/>
  <c r="F219" i="1"/>
  <c r="AO137" i="1"/>
  <c r="S226" i="1"/>
  <c r="AP219" i="1"/>
  <c r="AJ197" i="1"/>
  <c r="AJ227" i="1" s="1"/>
  <c r="W170" i="1"/>
  <c r="W207" i="1"/>
  <c r="AU70" i="1"/>
  <c r="AU209" i="1"/>
  <c r="H226" i="1"/>
  <c r="AT70" i="1"/>
  <c r="P219" i="1"/>
  <c r="AA219" i="1"/>
  <c r="J219" i="1"/>
  <c r="X219" i="1"/>
  <c r="T219" i="1"/>
  <c r="AZ213" i="1"/>
  <c r="AU219" i="1"/>
  <c r="AJ219" i="1"/>
  <c r="AM219" i="1"/>
  <c r="V219" i="1"/>
  <c r="R219" i="1"/>
  <c r="Q226" i="1"/>
  <c r="I219" i="1"/>
  <c r="E226" i="1"/>
  <c r="AW197" i="1"/>
  <c r="AW227" i="1" s="1"/>
  <c r="T226" i="1"/>
  <c r="X226" i="1"/>
  <c r="H219" i="1"/>
  <c r="AT219" i="1"/>
  <c r="AC219" i="1"/>
  <c r="M219" i="1"/>
  <c r="AB226" i="1"/>
  <c r="P226" i="1"/>
  <c r="AR226" i="1"/>
  <c r="AF219" i="1"/>
  <c r="AR197" i="1"/>
  <c r="AR227" i="1" s="1"/>
  <c r="AR188" i="1"/>
  <c r="AZ210" i="1"/>
  <c r="AP226" i="1"/>
  <c r="AF226" i="1"/>
  <c r="AZ212" i="1"/>
  <c r="AO226" i="1"/>
  <c r="G226" i="1"/>
  <c r="AD226" i="1"/>
  <c r="N226" i="1"/>
  <c r="J226" i="1"/>
  <c r="AZ211" i="1"/>
  <c r="AV226" i="1"/>
  <c r="BF211" i="1"/>
  <c r="AE226" i="1"/>
  <c r="O226" i="1"/>
  <c r="K226" i="1"/>
  <c r="BF207" i="1"/>
  <c r="AT226" i="1"/>
  <c r="Z226" i="1"/>
  <c r="V226" i="1"/>
  <c r="R226" i="1"/>
  <c r="AS226" i="1"/>
  <c r="AK226" i="1"/>
  <c r="AG226" i="1"/>
  <c r="Y226" i="1"/>
  <c r="I226" i="1"/>
  <c r="BF212" i="1"/>
  <c r="AA226" i="1"/>
  <c r="W226" i="1"/>
  <c r="AL226" i="1"/>
  <c r="AH226" i="1"/>
  <c r="AC226" i="1"/>
  <c r="M226" i="1"/>
  <c r="AU197" i="1"/>
  <c r="AU227" i="1" s="1"/>
  <c r="AV70" i="1"/>
  <c r="AV209" i="1"/>
  <c r="AZ209" i="1" s="1"/>
  <c r="AK197" i="1" l="1"/>
  <c r="AK227" i="1" s="1"/>
  <c r="Q197" i="1"/>
  <c r="Q227" i="1" s="1"/>
  <c r="AG197" i="1"/>
  <c r="AG227" i="1" s="1"/>
  <c r="AI219" i="1"/>
  <c r="AI197" i="1"/>
  <c r="AI227" i="1" s="1"/>
  <c r="AE197" i="1"/>
  <c r="AE227" i="1" s="1"/>
  <c r="L197" i="1"/>
  <c r="L227" i="1" s="1"/>
  <c r="Z197" i="1"/>
  <c r="Z227" i="1" s="1"/>
  <c r="Z219" i="1"/>
  <c r="AB219" i="1"/>
  <c r="AN197" i="1"/>
  <c r="AN227" i="1" s="1"/>
  <c r="U197" i="1"/>
  <c r="U227" i="1" s="1"/>
  <c r="Y197" i="1"/>
  <c r="Y227" i="1" s="1"/>
  <c r="I204" i="1"/>
  <c r="BF219" i="1"/>
  <c r="AO197" i="1"/>
  <c r="AO227" i="1" s="1"/>
  <c r="AO219" i="1"/>
  <c r="AQ197" i="1"/>
  <c r="AQ227" i="1" s="1"/>
  <c r="AQ219" i="1"/>
  <c r="W197" i="1"/>
  <c r="W227" i="1" s="1"/>
  <c r="W219" i="1"/>
  <c r="AS197" i="1"/>
  <c r="AS227" i="1" s="1"/>
  <c r="AS219" i="1"/>
  <c r="AV219" i="1"/>
  <c r="AV197" i="1"/>
  <c r="AV2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Gallagher</author>
    <author xml:space="preserve"> </author>
    <author>ldiazan</author>
    <author xml:space="preserve"> Kelly Gallagher</author>
    <author>Diaz Anadon, Laura</author>
    <author>Gallagher, Kelly Sims</author>
    <author>Ambuj Sagar</author>
    <author>Valued Sony Customer</author>
  </authors>
  <commentList>
    <comment ref="AK15" authorId="0" shapeId="0" xr:uid="{00000000-0006-0000-0000-000001000000}">
      <text>
        <r>
          <rPr>
            <sz val="9"/>
            <color indexed="81"/>
            <rFont val="Arial"/>
            <family val="2"/>
          </rPr>
          <t>$800M was added for CCPI Round 3 extension for sequestration, plus $20M for university grants.</t>
        </r>
      </text>
    </comment>
    <comment ref="AK16" authorId="0" shapeId="0" xr:uid="{00000000-0006-0000-0000-000002000000}">
      <text>
        <r>
          <rPr>
            <b/>
            <sz val="9"/>
            <color indexed="81"/>
            <rFont val="Arial"/>
            <family val="2"/>
          </rPr>
          <t>Kelly  Gallagher:</t>
        </r>
        <r>
          <rPr>
            <sz val="9"/>
            <color indexed="81"/>
            <rFont val="Arial"/>
            <family val="2"/>
          </rPr>
          <t xml:space="preserve">
Assuming, for now, it will be spent on new FutureGen</t>
        </r>
      </text>
    </comment>
    <comment ref="AK17" authorId="0" shapeId="0" xr:uid="{00000000-0006-0000-0000-000003000000}">
      <text>
        <r>
          <rPr>
            <sz val="9"/>
            <color indexed="81"/>
            <rFont val="Arial"/>
            <family val="2"/>
          </rPr>
          <t>$1,520M for carbon capture competitive solicitation (also known as industrial capture and energy efficiency) - plus $48M for site characterization and solicitation.</t>
        </r>
      </text>
    </comment>
    <comment ref="AE38" authorId="1" shapeId="0" xr:uid="{00000000-0006-0000-0000-000004000000}">
      <text>
        <r>
          <rPr>
            <b/>
            <sz val="8"/>
            <color indexed="81"/>
            <rFont val="Tahoma"/>
            <family val="2"/>
          </rPr>
          <t>LDA:</t>
        </r>
        <r>
          <rPr>
            <sz val="8"/>
            <color indexed="81"/>
            <rFont val="Tahoma"/>
            <family val="2"/>
          </rPr>
          <t xml:space="preserve">
Value of -$98m includes funding of -$1m minus $97m deferral</t>
        </r>
      </text>
    </comment>
    <comment ref="AF38" authorId="1" shapeId="0" xr:uid="{00000000-0006-0000-0000-000005000000}">
      <text>
        <r>
          <rPr>
            <b/>
            <sz val="8"/>
            <color indexed="81"/>
            <rFont val="Tahoma"/>
            <family val="2"/>
          </rPr>
          <t xml:space="preserve"> LDA:</t>
        </r>
        <r>
          <rPr>
            <sz val="8"/>
            <color indexed="81"/>
            <rFont val="Tahoma"/>
            <family val="2"/>
          </rPr>
          <t xml:space="preserve">
Value of -$160m includes $97m minus $257m deferral</t>
        </r>
      </text>
    </comment>
    <comment ref="AN48" authorId="2" shapeId="0" xr:uid="{00000000-0006-0000-0000-000006000000}">
      <text>
        <r>
          <rPr>
            <b/>
            <sz val="8"/>
            <color indexed="81"/>
            <rFont val="Tahoma"/>
            <family val="2"/>
          </rPr>
          <t>ldiazan:</t>
        </r>
        <r>
          <rPr>
            <sz val="8"/>
            <color indexed="81"/>
            <rFont val="Tahoma"/>
            <family val="2"/>
          </rPr>
          <t xml:space="preserve">
Includes $53.7m for "strategic programs"</t>
        </r>
      </text>
    </comment>
    <comment ref="AG49" authorId="3" shapeId="0" xr:uid="{00000000-0006-0000-0000-000007000000}">
      <text>
        <r>
          <rPr>
            <b/>
            <sz val="8"/>
            <color indexed="81"/>
            <rFont val="Tahoma"/>
            <family val="2"/>
          </rPr>
          <t xml:space="preserve"> Kelly Gallagher:</t>
        </r>
        <r>
          <rPr>
            <sz val="8"/>
            <color indexed="81"/>
            <rFont val="Tahoma"/>
            <family val="2"/>
          </rPr>
          <t xml:space="preserve">
Was zeroed out in FY07 Statistical Table perhaps in error, but the Administration request for FY06 was 56.6.  Check FY08 Table. </t>
        </r>
      </text>
    </comment>
    <comment ref="AM53" authorId="4" shapeId="0" xr:uid="{00000000-0006-0000-0000-000008000000}">
      <text>
        <r>
          <rPr>
            <sz val="7"/>
            <color indexed="81"/>
            <rFont val="Tahoma"/>
            <family val="2"/>
          </rPr>
          <t xml:space="preserve">Includes all EERE prior balances
</t>
        </r>
      </text>
    </comment>
    <comment ref="AN53" authorId="4" shapeId="0" xr:uid="{00000000-0006-0000-0000-000009000000}">
      <text>
        <r>
          <rPr>
            <sz val="7"/>
            <color indexed="81"/>
            <rFont val="Tahoma"/>
            <family val="2"/>
          </rPr>
          <t>Includes all EERE prior balances</t>
        </r>
      </text>
    </comment>
    <comment ref="AI83" authorId="0" shapeId="0" xr:uid="{00000000-0006-0000-0000-00000A000000}">
      <text>
        <r>
          <rPr>
            <sz val="9"/>
            <color indexed="81"/>
            <rFont val="Arial"/>
            <family val="2"/>
          </rPr>
          <t>Projects in fuel cell category that seem to belong to solar were included in solar congressionally directed projects</t>
        </r>
      </text>
    </comment>
    <comment ref="AH112" authorId="3" shapeId="0" xr:uid="{00000000-0006-0000-0000-00000B000000}">
      <text>
        <r>
          <rPr>
            <b/>
            <sz val="8"/>
            <color indexed="81"/>
            <rFont val="Tahoma"/>
            <family val="2"/>
          </rPr>
          <t xml:space="preserve"> Kelly Gallagher:</t>
        </r>
        <r>
          <rPr>
            <sz val="8"/>
            <color indexed="81"/>
            <rFont val="Tahoma"/>
            <family val="2"/>
          </rPr>
          <t xml:space="preserve">
Integrated biorefinery research facility; national renewal energy lab, NREL</t>
        </r>
      </text>
    </comment>
    <comment ref="AI112" authorId="0" shapeId="0" xr:uid="{00000000-0006-0000-0000-00000C000000}">
      <text>
        <r>
          <rPr>
            <sz val="9"/>
            <color indexed="81"/>
            <rFont val="Arial"/>
            <family val="2"/>
          </rPr>
          <t xml:space="preserve">NREL: Solar equip. recapitalization, South Table Mountain infrastructure dev't, and Energy Systems Integration Facility
</t>
        </r>
      </text>
    </comment>
    <comment ref="AJ112" authorId="0" shapeId="0" xr:uid="{00000000-0006-0000-0000-00000D000000}">
      <text>
        <r>
          <rPr>
            <sz val="9"/>
            <color indexed="81"/>
            <rFont val="Arial"/>
            <family val="2"/>
          </rPr>
          <t>NREL: South Table Mountain infrastructure dev't, and Energy Systems Integration Facility - excludes O&amp;M at NREL</t>
        </r>
      </text>
    </comment>
    <comment ref="AK112" authorId="0" shapeId="0" xr:uid="{00000000-0006-0000-0000-00000E000000}">
      <text>
        <r>
          <rPr>
            <sz val="9"/>
            <color indexed="81"/>
            <rFont val="Arial"/>
            <family val="2"/>
          </rPr>
          <t>NREL: renewable energy and supporting site infrastructure; integrated biorefinery research facility; research support facility NREL, excluding O&amp;M and South Table Mtn. traffic upgrades</t>
        </r>
      </text>
    </comment>
    <comment ref="AM112" authorId="5" shapeId="0" xr:uid="{00000000-0006-0000-0000-00000F000000}">
      <text>
        <r>
          <rPr>
            <b/>
            <sz val="9"/>
            <color indexed="81"/>
            <rFont val="Arial"/>
            <family val="2"/>
          </rPr>
          <t>Gallagher, Kelly Sims:</t>
        </r>
        <r>
          <rPr>
            <sz val="9"/>
            <color indexed="81"/>
            <rFont val="Arial"/>
            <family val="2"/>
          </rPr>
          <t xml:space="preserve">
Includes energy systems integration facility NREL, excludes O&amp;M</t>
        </r>
      </text>
    </comment>
    <comment ref="AN115" authorId="2" shapeId="0" xr:uid="{00000000-0006-0000-0000-000010000000}">
      <text>
        <r>
          <rPr>
            <b/>
            <sz val="8"/>
            <color indexed="81"/>
            <rFont val="Tahoma"/>
            <family val="2"/>
          </rPr>
          <t>ldiazan:</t>
        </r>
        <r>
          <rPr>
            <sz val="8"/>
            <color indexed="81"/>
            <rFont val="Tahoma"/>
            <family val="2"/>
          </rPr>
          <t xml:space="preserve">
Includes $53.7m for "strategic programs"</t>
        </r>
      </text>
    </comment>
    <comment ref="AE118" authorId="6" shapeId="0" xr:uid="{00000000-0006-0000-0000-000011000000}">
      <text>
        <r>
          <rPr>
            <b/>
            <sz val="8"/>
            <color indexed="81"/>
            <rFont val="Tahoma"/>
            <family val="2"/>
          </rPr>
          <t>From Control Table by Appropriation</t>
        </r>
        <r>
          <rPr>
            <sz val="8"/>
            <color indexed="81"/>
            <rFont val="Tahoma"/>
            <family val="2"/>
          </rPr>
          <t xml:space="preserve">
</t>
        </r>
      </text>
    </comment>
    <comment ref="AD121" authorId="7" shapeId="0" xr:uid="{00000000-0006-0000-0000-000012000000}">
      <text>
        <r>
          <rPr>
            <b/>
            <sz val="8"/>
            <color indexed="81"/>
            <rFont val="Tahoma"/>
            <family val="2"/>
          </rPr>
          <t>Removed  "intergovernmental activities" which were already included under "policy and management"</t>
        </r>
      </text>
    </comment>
    <comment ref="AL166" authorId="2" shapeId="0" xr:uid="{00000000-0006-0000-0000-000013000000}">
      <text>
        <r>
          <rPr>
            <sz val="8"/>
            <color indexed="81"/>
            <rFont val="Tahoma"/>
            <family val="2"/>
          </rPr>
          <t xml:space="preserve">FY10 - transfer from State Dept. </t>
        </r>
      </text>
    </comment>
    <comment ref="AI192" authorId="2" shapeId="0" xr:uid="{00000000-0006-0000-0000-000014000000}">
      <text>
        <r>
          <rPr>
            <sz val="8"/>
            <color indexed="81"/>
            <rFont val="Tahoma"/>
            <family val="2"/>
          </rPr>
          <t>Total is reduced by $13.3M: $12.2M was transferred to SBIR, and $1.3 to STTR.</t>
        </r>
      </text>
    </comment>
  </commentList>
</comments>
</file>

<file path=xl/sharedStrings.xml><?xml version="1.0" encoding="utf-8"?>
<sst xmlns="http://schemas.openxmlformats.org/spreadsheetml/2006/main" count="757" uniqueCount="468">
  <si>
    <t>Source: DOE FY2005 Budget Request to Congress, Statistical Table by Appropriation, p. 20, column "FY2003 Comparable Approp.", includes the following items: "Energy Conservation / Weatherization &amp; intergovernmental activities / State energy program grants"</t>
  </si>
  <si>
    <t>Total Energy Technology RD&amp;D (including clean coal)</t>
  </si>
  <si>
    <t>Source: DOE FY2005 Budget Request to Congress, Statistical Table by Appropriation, p. 20, column "FY2003 Comparable Approp.", includes the following items: "Energy Conservation / Weatherization &amp; intergovernmental activities / weatherization assistance grants"</t>
  </si>
  <si>
    <t>Source: DOE FY1997 Congressional Budget Request, p. 11, column "FY1995 Comparable Approp.", includes the following items: "Fossil Energy Research And Development / Total, Coal"</t>
  </si>
  <si>
    <t>Source: DOE FY1997 Congressional Budget Request, p. 17, column "FY1995 Comparable Approp.", includes the following items: "Fossil Energy Research And Development / Petroleum"</t>
  </si>
  <si>
    <t>Includes solar building tech, PV, concentrating solar, and international solar program</t>
  </si>
  <si>
    <t>Includes NREL, federal buildings/remote power initiative, and program direction</t>
  </si>
  <si>
    <t>Use of prior year balances</t>
  </si>
  <si>
    <t>Renewables</t>
  </si>
  <si>
    <t>Solar (includes biofuels, wind, ocean up to FY98)</t>
  </si>
  <si>
    <t>Wind (included in solar until FY98)</t>
  </si>
  <si>
    <t>Geothermal (R&amp;D)</t>
  </si>
  <si>
    <t>Hydropower</t>
  </si>
  <si>
    <t>Electrical energy systems (FY97-on combined with energy storage)</t>
  </si>
  <si>
    <t>Indian renewables</t>
  </si>
  <si>
    <t>Prior balances</t>
  </si>
  <si>
    <t>Renewable energy R&amp;D total</t>
  </si>
  <si>
    <t>Renewables (other)</t>
  </si>
  <si>
    <t>Renewables (total all items)</t>
  </si>
  <si>
    <t>Research &amp; Development</t>
  </si>
  <si>
    <t>Program Direction</t>
  </si>
  <si>
    <t>Nuclear Fission</t>
  </si>
  <si>
    <t>Light water reactor</t>
  </si>
  <si>
    <t>Advanced reactor</t>
  </si>
  <si>
    <t>Facilitites</t>
  </si>
  <si>
    <t>University reactors</t>
  </si>
  <si>
    <t>Convertor reactor systems</t>
  </si>
  <si>
    <t>Breeder reactor systems</t>
  </si>
  <si>
    <t>Source: DOE FY2005 Control Table of Appropriation, p.6, column "FY2004 Current Approp.", includes the following items: "Science / Biological and environmental research"</t>
  </si>
  <si>
    <t>Source: DOE FY2005 Control Table by Appropriation, p. 12, column "FY2003 Comparable Approp.", includes the following items: "Fossil Energy Research And Development / Coal and other power systems / President's Coal Research Initiative"</t>
  </si>
  <si>
    <t>Nuclear Fission R&amp;D total</t>
  </si>
  <si>
    <t>Non-fusion Nuclear (total all items)</t>
  </si>
  <si>
    <t>Source: DOE FY2005 Control Table by Appropriation, p. 12, column "FY2003 Comparable Approp.", includes the following items: "Fossil Energy Research And Development / Natural gas technologies"</t>
  </si>
  <si>
    <t>Source: DOE FY2005 Control Table by Appropriation, p. 12, column "FY2003 Comparable Approp.", includes the following items: "Fossil Energy Research And Development / Coal and other power systems / Other power systems"</t>
  </si>
  <si>
    <t>Source: DOE FY2005 Control Table by Appropriation, p. 12, column "FY2003 Comparable Approp.", includes the following items: "Fossil Energy Research And Development / Total, Program direction and management support"</t>
  </si>
  <si>
    <t>2002 Notes</t>
  </si>
  <si>
    <t>2003 Notes</t>
  </si>
  <si>
    <t>2004 Notes</t>
  </si>
  <si>
    <t>Includes program direction, NREL, international renewable program, renewable program support, &amp; renewable energy production incentive program</t>
  </si>
  <si>
    <t>Total prior balances multiplied by nuclear R&amp;D divided by total nuclear</t>
  </si>
  <si>
    <t>(millions of current dollars unless otherwise noted)</t>
  </si>
  <si>
    <t>Source: DOE FY2005 Control Table by Appropriation, p. 12, column "FY2003 Comparable Approp.", includes the following items: "Energy Conservation / Energy efficiency science initiative"</t>
  </si>
  <si>
    <t>Source: DOE FY2005 Control Table by Appropriation, p. 4, column "FY2003 Comparable Approp.", includes the following items: "Energy Supply / Energy Efficiency and Renewable Energy / Solar energy"</t>
  </si>
  <si>
    <t>Nuclear energy technologies (FY05-on, re-labled Nuclear Power 2010)</t>
  </si>
  <si>
    <t>Distributed energy resources (FY03-on, included in efficiency)</t>
  </si>
  <si>
    <t>Source: DOE FY2005 Control Table by Appropriation, p. 4, column "FY2003 Comparable Approp.", includes the following items: "Energy Supply / Energy Efficiency and Renewable Energy / Geothermal technology"</t>
  </si>
  <si>
    <t>Includes solar building technology research, PV, concentrating solar power, international solar, and solar photoconversion</t>
  </si>
  <si>
    <t>Includes program direction, federal building/remote power initiative, renewable energy production incentive program, and NREL</t>
  </si>
  <si>
    <t>Source: DOE FY2001 Statistical Table by Appropriation, p. 8-9, column "FY1999 Current Approp."</t>
  </si>
  <si>
    <t>Source: DOE FY2000 Statistical Table by Appropriation, p. 21-22, column "FY1998 Current Approp."</t>
  </si>
  <si>
    <t>Source: DOE FY2000 Statistical Table by Appropriation, p. 24, column "FY1998 Current Approp."</t>
  </si>
  <si>
    <t>Total building technology, state and community sector non grants</t>
  </si>
  <si>
    <t>Multi-sector</t>
  </si>
  <si>
    <t>Facilities</t>
  </si>
  <si>
    <t>Conservation Weatherization Program</t>
  </si>
  <si>
    <t>Federal Energy Management Program</t>
  </si>
  <si>
    <t>State &amp; local grants</t>
  </si>
  <si>
    <t>Source: DOE FY2000 Statistical Table by Appropriation, p. 5-6, column "FY1998 Current Approp."</t>
  </si>
  <si>
    <t>Program direction and management</t>
  </si>
  <si>
    <t>Plant, capital equipment, and construction</t>
  </si>
  <si>
    <t>Cooperative R&amp;D</t>
  </si>
  <si>
    <t xml:space="preserve">Federal Inspector Alaska Gas Pipeline </t>
  </si>
  <si>
    <t>Feasibility Studies</t>
  </si>
  <si>
    <t>Prior year balances and adjustments</t>
  </si>
  <si>
    <t>Fossil R&amp;D total (excluding CCT demo)</t>
  </si>
  <si>
    <t>Fossil (other non-CCT demo)</t>
  </si>
  <si>
    <t>Fossil (total all items excluding CCT demo)</t>
  </si>
  <si>
    <t>Fossil R&amp;D total (including CCT demo)</t>
  </si>
  <si>
    <t>Transportation (FY03-on: changed to "vehicle technologies")</t>
  </si>
  <si>
    <t>Utility</t>
  </si>
  <si>
    <t>Industry</t>
  </si>
  <si>
    <t>Buildings</t>
  </si>
  <si>
    <t>Conservation (other)</t>
  </si>
  <si>
    <t>Source: DOE FY2000 Control Table of Appropriation, p.7, column "FY1998 Current Approp.", includes the following items: "Science / Biological and environmental research"</t>
  </si>
  <si>
    <t>Source: DOE FY2005 Control Table by Appropriation, p. 4, column "FY2004 Comparable Approp.", includes the following items: "Energy Supply / Infrastructure / Radiological facility management"</t>
  </si>
  <si>
    <t>Civilian waste R&amp;D</t>
  </si>
  <si>
    <t>Civilian R&amp;D</t>
  </si>
  <si>
    <t>Spent fuel storage R&amp;D</t>
  </si>
  <si>
    <t>Nuclear research initiative</t>
  </si>
  <si>
    <t>Nuclear energy plant optimization</t>
  </si>
  <si>
    <t>Generation IV nuclear energy systems initiative</t>
  </si>
  <si>
    <t>Nuclear hydrogen initiative</t>
  </si>
  <si>
    <t>Research (other non-fusion "energy research")</t>
  </si>
  <si>
    <t>Total Research (all non-fusion items)</t>
  </si>
  <si>
    <t>Environmental and biological R&amp;D</t>
  </si>
  <si>
    <t>Environmental R&amp;D</t>
  </si>
  <si>
    <t>Environmental analysis</t>
  </si>
  <si>
    <t>Environmental policy</t>
  </si>
  <si>
    <t>Biological and environmental research (includes human genome project)</t>
  </si>
  <si>
    <t>Environmental and biological R&amp;D total</t>
  </si>
  <si>
    <t>TOTAL ENERGY-TECHNOLOGY R&amp;D + BES + ENV&amp;BIO R&amp;D</t>
  </si>
  <si>
    <t>Fission</t>
  </si>
  <si>
    <t>Fusion</t>
  </si>
  <si>
    <t>Basic Energy Sciences</t>
  </si>
  <si>
    <t>1995 Notes</t>
  </si>
  <si>
    <t>1997 Notes</t>
  </si>
  <si>
    <t>1998 Notes</t>
  </si>
  <si>
    <t>1999 Notes</t>
  </si>
  <si>
    <t>2000 Notes</t>
  </si>
  <si>
    <t>2001 Notes</t>
  </si>
  <si>
    <t>Source: DOE FY2002 Statistical Table by Appropriation, p. 5, column "FY2000 Current Approp."</t>
  </si>
  <si>
    <t>(4) The data for energy-technology deployment programs are not systematically reported, although some of the programs listed above are clearly deployment programs (e.g. weatherization, state energy program grants).</t>
  </si>
  <si>
    <t xml:space="preserve">(5) The nuclear fission figures do not include funding for nuclear facilities (e.g. Idaho facilities management, or radiological facilities management), because because historically, a substantial fraction of this funding has gone to activities that were not directly related to RD&amp;D on new nuclear energy technologies.  As this funding is becoming more important to nuclear energy RD&amp;D, we will incorporate nuclear facilities funding in future editions of the budget database. </t>
  </si>
  <si>
    <t>Source: DOE FY2005 Control Table by Appropriation, p. 4, column "FY2003 Comparable Approp.", includes the following items: "Energy Supply / Energy Efficiency and Renewable Energy / Intergovernmental activities" + "Departmental energy management program" + "Program direction"</t>
  </si>
  <si>
    <t>Source: DOE FY2005 Control Table by Appropriation, p. 4, column "FY2003 Comparable Approp.", includes the following items: "Energy Supply / Energy Efficiency and Renewable Energy / Biomass and biorefinery systems R&amp;D"</t>
  </si>
  <si>
    <t>Source: DOE FY2005 Control Table by Appropriation, p. 4, column "FY2003 Comparable Approp.", includes the following items: "Energy Supply / Energy Efficiency and Renewable Energy / Wind energy"</t>
  </si>
  <si>
    <t>Source: DOE FY2005 Control Table by Appropriation, p. 12, column "FY2004 Comparable Approp.", includes the following items: "Energy Conservation / Distributed energy resources"</t>
  </si>
  <si>
    <t>Source: DOE FY2005 Control Table by Appropriation, p. 4, column "FY2003 Comparable Approp.", includes the following items: "Energy Supply / Energy Efficiency and Renewable Energy / Hydropower"</t>
  </si>
  <si>
    <t>Clean Coal Technology (CCT demonstration program)</t>
  </si>
  <si>
    <t>Fossil energy (excluding clean coal)</t>
  </si>
  <si>
    <t>Petroleum</t>
  </si>
  <si>
    <t>Gas</t>
  </si>
  <si>
    <t>(1) The "US DOE Statistical Table by Appropriation" is the source for the above data, unless noted otherwise.  The FY2010 Statistical Table can be found at http://www.cfo.doe.gov/budget/10budget/Content/Approp_Stat.pdf</t>
  </si>
  <si>
    <t>Source: DOE FY2005 Control Table of Appropriation, p.6, column "FY2004 Current Approp.", includes the following items: "Science / Fusion energy sciences program"</t>
  </si>
  <si>
    <t>Source: DOE FY2005 Control Table of Appropriation, p.7, column "FY2004 Current Approp.", includes the following items: "Departmental Administration / Policy and international affairs / Total, Policy and international affairs"</t>
  </si>
  <si>
    <t>Source: DOE FY2005 Control Table of Appropriation, p.6, column "FY2004 Current Approp.", includes the following items: "Science / Basic energy sciences"</t>
  </si>
  <si>
    <t>Electric Transmission and Distribution RD&amp;D</t>
  </si>
  <si>
    <t>Other ARRA deployment (adv. battery manufacturing, alt. fueled vehicles pilot, tranport electrification, energy efficient appliance rebates)</t>
  </si>
  <si>
    <t>ARPA-E</t>
  </si>
  <si>
    <t>BES and environmental and biological research</t>
  </si>
  <si>
    <t>Advanced technology vehicles manufacturing loans</t>
  </si>
  <si>
    <t>Source: DOE FY2005 Control Table by Appropriation, p. 12, column "FY2004 Comparable Approp.", includes the following items: "Fossil Energy Research And Development / Fossil energy environmental restoration"</t>
  </si>
  <si>
    <t>Source: DOE FY2005 Control Table by Appropriation, p. 4, column "FY2004 Comparable Approp.", includes the following items: "Energy Supply / Energy Efficiency and Renewable Energy / Intergovernmental activities" + "Departmental energy management program" + "Renewable program support" + "Program direction"</t>
  </si>
  <si>
    <t>Source: DOE FY2005 Control Table by Appropriation, p. 4, column "FY2003 Comparable Approp.", includes the following items: "Energy Supply / Energy Efficiency and Renewable Energy / Zero energy buildings" + "Facilities and infrastructure"</t>
  </si>
  <si>
    <t xml:space="preserve">DOE Budget Authority for Energy Research, Development, &amp; Demonstration Database </t>
  </si>
  <si>
    <t>Smart Grid Investment Program (deployment)</t>
  </si>
  <si>
    <t>Smart grid regional and energy storage demos</t>
  </si>
  <si>
    <t>Generation IV nuclear energy systems</t>
  </si>
  <si>
    <t>Fuel cycle R&amp;D</t>
  </si>
  <si>
    <t>Total Energy Technology Deployment</t>
  </si>
  <si>
    <t>Source: DOE FY2005 Control Table by Appropriation, p. 4-5, column "FY2004 Comparable Approp.", equals "Energy Supply / Adjustments / Use of prior year balances (NE)" * ("Total, Nuclear Energy") / ("Subtotal, Energy Supply")</t>
  </si>
  <si>
    <t>Source: DOE FY2004 Budget Request to Congress, Control Table by Appropriation, p. 10, column "FY2002 Comparable Approp.", includes the following items: "Fossil Energy Research And Development / Fossil energy environmental restoration"</t>
  </si>
  <si>
    <t>Source: DOE FY2005 Control Table by Appropriation, p. 12, column "FY2003 Comparable Approp.", includes the following items: "Fossil Energy Research And Development / Fossil energy environmental restoration"</t>
  </si>
  <si>
    <t>Source: DOE FY2005 Control Table by Appropriation, p. 12, column "FY2004 Comparable Approp.", includes the following items: "Energy Conservation / Biomass and biorefinery sytems R&amp;D"</t>
  </si>
  <si>
    <t>Source: DOE FY2000 Control Table by Appropriation, p. 5, column "FY1998 Current Approp.", includes the following items: "Energy Supply / Nuclear Energy / Nuclear energy research and development / Advanced radioisotope power system" + "Test reactor area landlord" + "Termination costs" + "Uranium program" + "Isotope support"</t>
  </si>
  <si>
    <t>Source: DOE FY2000 Control Table of Appropriation, p.7, column "FY1998 Current Approp.", includes the following items: "Science / Basic energy sciences"</t>
  </si>
  <si>
    <t>Distributed energy resources (FY03-on, note it is listed in EDER)</t>
  </si>
  <si>
    <t>Energy efficiency and conservation block grants</t>
  </si>
  <si>
    <t>Source: DOE FY2001 Control Table by Appropriation, p. 5-6, column "FY1999 Current Approp.", equals "Energy Supply / Adjustments / Use of prior year balances (NE)" * ("Total, Nuclear Energy") / ("Subtotal, Energy Supply")</t>
  </si>
  <si>
    <t>Source: DOE FY2002 Control Table of Appropriation, p.7, column "FY2000 Current Approp.", includes the following items: "Science / Biological and environmental research"</t>
  </si>
  <si>
    <t>(3) The estimates for "program direction" for nuclear fission, efficiency and renewables are derived by summing the relevant energy R&amp;DD for that category, dividing this sum by the total expenditure in that category, and multiplying by the total program direction amount reported. The goal is to approximate how much of the program direction in these categories is actually spent on program direction for RD&amp;D.  For energy efficiency and renewable energy, everything is summed except for facilities and infrastructure.</t>
  </si>
  <si>
    <t>Electricity Transmission and Distribution (total all items)</t>
  </si>
  <si>
    <t>Electric Transmission and Distribution RD&amp;DTotal</t>
  </si>
  <si>
    <t>Electric Transmission and Distribution RD&amp;D Total</t>
  </si>
  <si>
    <t>TOTAL Energy Technology Deployment</t>
  </si>
  <si>
    <t>TOTAL ENERGY-TECHNOLOGY R&amp;D + BES + ENV&amp;BIO R&amp;D + POLICY</t>
  </si>
  <si>
    <t>Total Policy and CCTP</t>
  </si>
  <si>
    <t>Climate Change Technology Program (CCTP)</t>
  </si>
  <si>
    <t>Innovative technology loan guarantee program</t>
  </si>
  <si>
    <t>Section 1705 temporary loan guarantee program</t>
  </si>
  <si>
    <t>General Loan Programs (deployment)</t>
  </si>
  <si>
    <t>General Loan Programs (total)</t>
  </si>
  <si>
    <t>Innovative technology loan guarantee program (renewable, adv. fossil, hydrogen fuel cells, adv. nuclear, CCS, efficiency, pollution control, refineries)</t>
  </si>
  <si>
    <t>Section 1705 temporary loan guarantee program (commercial technologies, incl. renewable, electric T&amp;D, innovative biofuels) to be spent by 2011</t>
  </si>
  <si>
    <t>Congressionally directed projects (vehicles, buildings, industrial, weatherization, cross-cutting (which incl. some renewables))</t>
  </si>
  <si>
    <t>Fossil (other non-CCT demo, incl. fossil energy enviro. restoration)</t>
  </si>
  <si>
    <t>Source: DOE FY2004 Budget Request to Congress, Statistical Table by Appropriation, p. 4-5, column "FY2002 Comparable Approp."</t>
  </si>
  <si>
    <t>Hydrogen RD&amp;D Total</t>
  </si>
  <si>
    <t>Hydrogen RD&amp;D TOTAL</t>
  </si>
  <si>
    <t xml:space="preserve">Hydrogen RD&amp;D (EERE -- energy efficiency and renewable energy-related) </t>
  </si>
  <si>
    <t>Source: DOE FY2005 Budget Request to Congress, Statistical Table by Appropriation, p. 20, column "FY2004 Comparable Approp.", includes the following items: "Energy Conservation / Weatherization &amp; intergovernmental activities / weatherization assistance grants"</t>
  </si>
  <si>
    <t>Source: DOE FY2005 Budget Request to Congress, Statistical Table by Appropriation, p. 20, column "FY2004 Comparable Approp.", includes the following items: "Energy Conservation / Weatherization &amp; intergovernmental activities / State energy program grants"</t>
  </si>
  <si>
    <t>Source: DOE FY2005 Budget Request to Congress, Statistical Table by Appropriation, p. 20, column "FY2004 Comparable Approp.", includes the following items: "Energy Conservation / Weatherization &amp; intergovernmental activities / State energy activities" + "Gateway deployment"</t>
  </si>
  <si>
    <t>Environmental and Biological R&amp;D (includes human genome project)</t>
  </si>
  <si>
    <t>Total energy technology R&amp;D + BES + ENV&amp;BIO</t>
  </si>
  <si>
    <t>Black liquor gasification</t>
  </si>
  <si>
    <t>Hydrogen EERE</t>
  </si>
  <si>
    <t>Fossil including CCT demo</t>
  </si>
  <si>
    <t>Energy efficiency science initiative</t>
  </si>
  <si>
    <t>Other</t>
  </si>
  <si>
    <t>Nuclear energy technologies</t>
  </si>
  <si>
    <t>|</t>
  </si>
  <si>
    <t>|  Deployment activities</t>
  </si>
  <si>
    <t>Distributed energy resources (FY03-on)</t>
  </si>
  <si>
    <t>Advanced metallurgial research</t>
  </si>
  <si>
    <t>Program direction policy and management - TOTAL</t>
  </si>
  <si>
    <t>Use of prior balances - TOTAL</t>
  </si>
  <si>
    <t>Use of prior balances - R&amp;D share</t>
  </si>
  <si>
    <t>Nuclear technology R&amp;D</t>
  </si>
  <si>
    <t>FY2008 Notes (1)</t>
  </si>
  <si>
    <t>Source: DOE FY2005 Control Table of Appropriation, p.6, column "FY2003 Current Approp.", includes the following items: "Science / Fusion energy sciences program"</t>
  </si>
  <si>
    <t>Congressionally directed projects (fuel cells)</t>
  </si>
  <si>
    <t xml:space="preserve">Hydrogen RD&amp;D (EERE-related; FY10-on, fuel cell technologies) </t>
  </si>
  <si>
    <t>Source: DOE FY2005 Control Table by Appropriation, p. 2, column "FY2004 Comparable Approp.", includes the following items: "Interior And Related Agencies Appropriation Summary / Clean Coal Technology"</t>
  </si>
  <si>
    <t>Source: DOE FY2005 Control Table by Appropriation, p. 12, column "FY2004 Comparable Approp.", includes the following items: "Energy Conservation / Vehicle technologies"</t>
  </si>
  <si>
    <t>Source: DOE FY2005 Control Table by Appropriation, p. 12, column "FY2004 Comparable Approp.", includes the following items: "Energy Conservation / Industrial technologies"</t>
  </si>
  <si>
    <t>Source: DOE FY2005 Control Table by Appropriation, p. 12, column "FY2004 Comparable Approp.", includes the following items: "Energy Conservation / Building technologies"</t>
  </si>
  <si>
    <t>Source: DOE FY2005 Control Table by Appropriation, p. 12, column "FY2004 Comparable Approp.", includes the following items: "Energy Conservation / Program management"</t>
  </si>
  <si>
    <t>Source: DOE FY2005 Budget Request to Congress, Statistical Table by Appropriation, p. 21, column "FY2003 Comparable Approp.", includes the following items: "Energy Conservation / Federal energy management program"</t>
  </si>
  <si>
    <t xml:space="preserve">Source: DOE FY2005 Control Table by Appropriation, p. 4, column "FY2003 Comparable Approp.", includes the following items: "Energy Supply / Energy Efficiency and Renewable Energy / Zero energy buildings" + "Facilities and infrastructure" </t>
  </si>
  <si>
    <t>http://www.whitehouse.gov/omb/budget/Historicals/</t>
  </si>
  <si>
    <t>Source: DOE FY2005 Budget Request to Congress, Statistical Table by Appropriation, p. 21, column "FY2004 Comparable Approp.", includes the following items: "Energy Conservation / Federal energy management program"</t>
  </si>
  <si>
    <t>Includes "facilities and infrstructure" and "zero energy buildings"</t>
  </si>
  <si>
    <t>Includes "program direction" and "intergovernmental activities" and "departmental energy management program"</t>
  </si>
  <si>
    <t>Source: DOE FY2007 Statistical Table by Appropriation, pgs. 7-8</t>
  </si>
  <si>
    <t>Source: DOE FY2003 Control Table of Appropriation, p.7, column "FY2001 Current Approp.", includes the following items: "Science / Fusion energy sciences program"</t>
  </si>
  <si>
    <t xml:space="preserve">Program direction attributable to energy. Source: DOE FY2004 Budget Request to Congress, Statistical Table by Appropriation, p. 5, column "FY2002 Comparable Approp.", includes the following items: "Energy Supply / Nuclear Energy / Program direction / (Energy (270) function, non-add)." </t>
  </si>
  <si>
    <t>No allocation of percentage attributable to ERD&amp;D because number is too low</t>
  </si>
  <si>
    <t>Source: DOE FY2003 Statistical Table by Appropriation, p. 23-24, column "FY2001 Current Approp."</t>
  </si>
  <si>
    <t>Includes "prior year balances" and "previously appropriated clean coal funds"</t>
  </si>
  <si>
    <t>Policy and management (FY05-on, estimated renewables portion)</t>
  </si>
  <si>
    <t>Source: DOE FY2003 Statistical Table by Appropriation, p. 25-26, column "FY2001 Current Approp."</t>
  </si>
  <si>
    <t>Includes "building research &amp; standards" plus "cooperative program with states" plus management and planning attributable to ERD&amp;D</t>
  </si>
  <si>
    <t>Includes "State energy program" and "community partnerships"</t>
  </si>
  <si>
    <t>Source: DOE FY2003 Statistical Table by Appropriation, p. 5, column "FY2001 Current Approp."</t>
  </si>
  <si>
    <t>Includes "program direction" + "departmental energy management" + "international renewable energy program" + "renewable energy production incentive program" + "renewable program support"</t>
  </si>
  <si>
    <t>Source: DOE FY2003 Statistical Table by Appropriation, p. 5-6, column "FY2001 Current Approp."</t>
  </si>
  <si>
    <t>2009 ARRA</t>
  </si>
  <si>
    <t>Source: DOE FY2004 Control Table of Appropriation, p.4, column "FY2002 Current Approp.", includes the following items: "Science / Basic energy sciences"</t>
  </si>
  <si>
    <t>BES and Environmental and Biological R&amp;D</t>
  </si>
  <si>
    <t>International renewable energy program (Note: for FY09 request, this is directed to Asia Pacific Partnership, from FY 2010 onwards, included in the Program Support line)</t>
    <phoneticPr fontId="0" type="noConversion"/>
  </si>
  <si>
    <t>Source: DOE FY2007 Statistical Table by Appropriation, pg. 5) - "Other" includes state energy activities, gateway deployment, international renewable energy program, tribal energy activities, and the renewable energy production incentive</t>
    <phoneticPr fontId="0" type="noConversion"/>
  </si>
  <si>
    <t>Efficiency (total other)</t>
    <phoneticPr fontId="0" type="noConversion"/>
  </si>
  <si>
    <t>Renewables (other) (includes Renewable Energy Production Incentive from FY09 onwards)</t>
    <phoneticPr fontId="0" type="noConversion"/>
  </si>
  <si>
    <t>Prior balances</t>
    <phoneticPr fontId="0" type="noConversion"/>
  </si>
  <si>
    <t>Other ARRA deployment - energy efficient appliance rebates, advanced battery manufacturing, alternative fueled vehicles pilot grant program, transportation electrification, information and communication efficiency</t>
    <phoneticPr fontId="0" type="noConversion"/>
  </si>
  <si>
    <t>Prior balances</t>
    <phoneticPr fontId="0" type="noConversion"/>
  </si>
  <si>
    <t>Fuel cycle R&amp;D (in FY09 funds correspond to the Advanced Fuel Cycle Initiative, AFCI)</t>
    <phoneticPr fontId="0" type="noConversion"/>
  </si>
  <si>
    <t>International nuclear energy cooperation</t>
    <phoneticPr fontId="0" type="noConversion"/>
  </si>
  <si>
    <t>This database was updated in 2010 with support from the Doris Duke Charitable Foundation, William and Flora Hewlett Foundation, and BP Group</t>
    <phoneticPr fontId="0" type="noConversion"/>
  </si>
  <si>
    <t>Updated February 19 2010.</t>
    <phoneticPr fontId="0" type="noConversion"/>
  </si>
  <si>
    <t>Gas (from FY10-on includes unconventional fossil energy technologies)</t>
    <phoneticPr fontId="0" type="noConversion"/>
  </si>
  <si>
    <t>Excludes fossil energy environmental restoration and import/export authorization</t>
  </si>
  <si>
    <t>1996 Notes</t>
  </si>
  <si>
    <t>Source: DOE FY1998 Statistical Tables by Appropriation, p. 50, column "FY1996 Current Approp."</t>
  </si>
  <si>
    <t>Row 21 + Row 24</t>
  </si>
  <si>
    <t>Buildings sector total minus FEMP</t>
  </si>
  <si>
    <t>Source: DOE FY1998 Statistical Tables by Appropriation, p. 7-8, column "FY1996 Current Approp."</t>
  </si>
  <si>
    <t>Source: DOE FY1997 Control Tables by Appropriation, p. 6, column "FY1996 Current Approp." use of prior year balances (NE)</t>
  </si>
  <si>
    <t>"Program direction" and "policy and management" attributable to energy RD&amp;D</t>
  </si>
  <si>
    <t>Source: DOE FY2004 Budget Request to Congress, Statistical Table by Appropriation, p. 21, column "FY2002 Comparable Approp."</t>
  </si>
  <si>
    <t>(No FY2002 Current Approp. Avail.)</t>
  </si>
  <si>
    <t>Source: DOE FY2004 Budget Request to Congress, Statistical Table by Appropriation, p. 20, column "FY2002 Comparable Approp."</t>
  </si>
  <si>
    <t>Portion of "program management" attributable to ERD&amp;D</t>
  </si>
  <si>
    <t>Nuclear (other)</t>
  </si>
  <si>
    <t>Non-Fusion Nuclear (total all items)</t>
  </si>
  <si>
    <t>Clean Coal Technology (CCT demonstration program, including deferrals)</t>
  </si>
  <si>
    <t>Source: DOE FY2004 Budget Request to Congress, Statistical Table by Appropriation, p. 4, column "FY2002 Comparable Approp."</t>
  </si>
  <si>
    <t>2009 ARRA</t>
    <phoneticPr fontId="0" type="noConversion"/>
  </si>
  <si>
    <t>Source: DOE FY2005 Control Table by Appropriation, p. 4, column "FY2003 Comparable Approp.", includes the following items: "Energy Supply / Nuclear Energy / Research and development / Nuclear hydrogen initiative"</t>
  </si>
  <si>
    <t xml:space="preserve">Source: DOE FY2005 Control Table by Appropriation, p. 5, column "FY2003 Comparable Approp.", equals "Energy Supply / Adjustments / Use of prior year balances (NE)" * ("Total, Nuclear Energy") / ("Subtotal, Energy Supply") </t>
  </si>
  <si>
    <t>FY2009 Notes</t>
  </si>
  <si>
    <t>FY2009 Statistical Table of Appropriation and Detailed Budget Justifications</t>
  </si>
  <si>
    <t>"Program direction" portion attributable to nuclear ERD&amp;D</t>
  </si>
  <si>
    <t>Source: DOE FY2002 Statistical Table by Appropriation, p. 23-24, column "FY2000 Current Approp."</t>
  </si>
  <si>
    <t>Source: DOE FY2002 Statistical Table by Appropriation, p. 26, column "FY2000 Current Approp."</t>
  </si>
  <si>
    <t>Source: DOE FY2005 Control Table by Appropriation, p. 4, column "FY2003 Comparable Approp.", includes the following items: "Energy Supply / Infrastructure / Radiological facility management"</t>
  </si>
  <si>
    <t xml:space="preserve">Smart Grid Investment Program </t>
  </si>
  <si>
    <t>Section 1705 temporary loan guarantee program - commercial technologies, incl. renewable electricity, thermal energy, electric T&amp;D, innovative biofuels - to be spent by 2011</t>
  </si>
  <si>
    <t>Source: DOE FY2002 Control Table of Appropriation, p.7, column "FY2000 Current Approp.", includes the following items: "Science / Basic energy sciences"</t>
  </si>
  <si>
    <t>Source: DOE FY2004 Budget Request to Congress, Statistical Table by Appropriation, p. 18-19, column "FY2002 Comparable Approp."</t>
  </si>
  <si>
    <t>Source: DOE FY1998 Statistical Table by Appropriation, p. 47-48, column "FY1996 Current Approp."</t>
  </si>
  <si>
    <t>Source: DOE FY1998 Statistical Table by Appropriation, p. 6-7, column "FY1996 Current Approp."</t>
  </si>
  <si>
    <t>Called program direction plus NREL</t>
  </si>
  <si>
    <t>Program direction plus policy and management</t>
  </si>
  <si>
    <t>Congressionally directed projects</t>
  </si>
  <si>
    <t>Vehicle technologies (prior to FY03, transportation)</t>
  </si>
  <si>
    <t>Congressionally-directed projects</t>
  </si>
  <si>
    <t>Energy Efficiency</t>
  </si>
  <si>
    <t xml:space="preserve">Energy Efficiency  </t>
  </si>
  <si>
    <t>Efficiency RD&amp;D total</t>
  </si>
  <si>
    <t>2006 Notes</t>
  </si>
  <si>
    <t>FY2007 Notes</t>
  </si>
  <si>
    <t>Source: DOE FY2007 Statistical Table by Appropriation, pgs. 7-8, "Fossil Energy Environmental Restoration"</t>
  </si>
  <si>
    <t>Source: DOE FY2003 Control Table by Appropriation, p. 5, column "FY2001 Current Approp.", includes the following items: "Energy Supply / Nuclear Energy / Advanced radioisotope power system" + "Isotope support and production" + "Infrastructure/Test reactor area landlord" + "Nuclear facilities management" + "Spent fuel pyroprocessing and transmutation"</t>
  </si>
  <si>
    <t>Source: DOE FY2003 Control Table of Appropriation, p.7, column "FY2001 Current Approp.", includes the following items: "Science / Basic energy sciences"</t>
  </si>
  <si>
    <t>Source: DOE FY2003 Control Table of Appropriation, p.7, column "FY2001 Current Approp.", includes the following items: "Science / Biological and environmental research"</t>
  </si>
  <si>
    <t>Source: DOE FY2005 Control Table by Appropriation, p. 4, column "FY2003 Comparable Approp.", includes the following items: "Energy Supply / Nuclear Energy / Research and development / Generation IV nuclear energy systems initiative"</t>
  </si>
  <si>
    <t>Source: DOE FY2005 Control Table by Appropriation, p. 12, column "FY2003 Comparable Approp.", includes the following items: "Energy Conservation / Distributed energy resources"</t>
  </si>
  <si>
    <t>Policy and management (before FY05 EERE had separate program direction and support for energy conservation (EE) and supply (RE), part of them covered support for the hydrogen program)</t>
  </si>
  <si>
    <t>Source: DOE FY2005 Control Table by Appropriation, p. 12, column "FY2003 Comparable Approp.", includes the following items: "Energy Conservation / Biomass and biorefinery sytems R&amp;D"</t>
  </si>
  <si>
    <t xml:space="preserve">Source: DOE FY2005 Control Table by Appropriation, p. 5, column "FY2003 Comparable Approp.", includes the following item: "Energy Supply / Adjustments / Use of prior year balances (NE)" </t>
  </si>
  <si>
    <t>Source: DOE FY2005 Control Table by Appropriation, p. 4, column "FY2003 Comparable Approp.", includes the following items: "Energy Supply / Electric Transmission and Distribution / Research and development"</t>
  </si>
  <si>
    <t>Carbon Sequestration</t>
  </si>
  <si>
    <t>Carbon sequestration</t>
  </si>
  <si>
    <t>Source: DOE FY2005 Control Table by Appropriation, p. 12, column "FY2003 Comparable Approp.", includes the following items: "Fossil Energy Research And Development / Use of prior year balances" + "Use of previously appropriated clean coal funds"</t>
  </si>
  <si>
    <t>Source: DOE FY2005 Control Table by Appropriation, p. 4, column "FY2003 Comparable Approp.", includes the following items: "Energy Supply / Electric Transmission and Distribution / Program direction"</t>
  </si>
  <si>
    <t>Source: DOE FY2005 Control Table by Appropriation, p. 4, column "FY2003 Comparable Approp.", includes the following items: "Energy Supply / Nuclear Energy / University reactor fuel assistance and support"</t>
  </si>
  <si>
    <t>Source: DOE FY2005 Control Table by Appropriation, p. 4, column "FY2003 Comparable Approp.", includes the following items: "Energy Supply / Nuclear Energy / Program direction"</t>
  </si>
  <si>
    <t>Source: DOE FY1999 Statistical Tables by Appropriation, p. 6-7, column "FY1996 Current Approp."</t>
  </si>
  <si>
    <t>Includes NREL</t>
  </si>
  <si>
    <t>Includes solar building tech research, PV, solar thermal energy systems, and international solar program</t>
  </si>
  <si>
    <t>Source: DOE FY1998 Statistical Table by Appropriation, p. 45-46, column "FY1996 Current Approp."</t>
  </si>
  <si>
    <t>Source: DOE FY2007 Statistical Table by Appropriation, pg. 10</t>
  </si>
  <si>
    <t>Source: DOE FY2007 Statistical Table by Appropriation, pg. 6-7</t>
  </si>
  <si>
    <t>Database Notes:</t>
  </si>
  <si>
    <t>(2) Wherever possible, the numbers reported for each fiscal year are derived from the Statistical Table published two years later to account for changes in the appropriated sum.</t>
  </si>
  <si>
    <t>Coal R&amp;D (FY04-on incl. fuels, FY04-on excl. FutureGen and sequestration)</t>
  </si>
  <si>
    <t>Total Energy Technology RD&amp;D (including CCT demo)</t>
  </si>
  <si>
    <t>Efficiency</t>
  </si>
  <si>
    <t>Efficiency (total all items)</t>
  </si>
  <si>
    <t>2005 Notes</t>
  </si>
  <si>
    <t>FutureGen</t>
  </si>
  <si>
    <t>Coal R&amp;D (FY04-on incl. sequestration and fuels, FY05-on excl. FutureGen)</t>
  </si>
  <si>
    <t>Other Power Systems (Pre-FY01: Fuel Cells; FY01-FY04 "other power systems" included sequestration R&amp;D, fuels, etc.; FY-5-on included under coal R&amp;D)</t>
  </si>
  <si>
    <t>Source: DOE FY2005 Control Table by Appropriation, p. 12, column "FY2004 Comparable Approp.", includes the following items: "Fossil Energy Research And Development / Use of prior year balances" + "Use of previously appropriated clean coal funds"</t>
  </si>
  <si>
    <t>Source: DOE FY2005 Control Table by Appropriation, p. 2, column "FY2003 Comparable Approp.", includes the following items: "Interior And Related Agencies Appropriation Summary / Clean Coal Technology"</t>
  </si>
  <si>
    <t>Source: DOE FY2005 Control Table by Appropriation, p. 12, column "FY2003 Comparable Approp.", includes the following items: "Energy Conservation / Vehicle technologies"</t>
  </si>
  <si>
    <t>Source: DOE FY2005 Control Table by Appropriation, p. 12, column "FY2003 Comparable Approp.", includes the following items: "Energy Conservation / Industrial technologies"</t>
  </si>
  <si>
    <t>Source: DOE FY2005 Control Table by Appropriation, p. 12, column "FY2003 Comparable Approp.", includes the following items: "Energy Conservation / Building technologies"</t>
  </si>
  <si>
    <t>Source: DOE FY2005 Control Table by Appropriation, p. 12, column "FY2003 Comparable Approp.", includes the following items: "Energy Conservation / Program management"</t>
  </si>
  <si>
    <t>Source: DOE FY2005 Control Table by Appropriation, p. 4, column "FY2003 Comparable Approp.", includes the following items: "Energy Supply / Energy Efficiency and Renewable Energy / Zero energy buildings" + Facilities and infrastructure" -- Discrepancy with 2002 number for which we included "facilities and infrastructure" in policy and management</t>
  </si>
  <si>
    <t>Source: DOE FY2005 Control Table by Appropriation, p. 5, column "FY2004 Comparable Approp.", includes the following item: "Energy Supply / Adjustments / Use of prior year balances (NE)"</t>
  </si>
  <si>
    <t>Source: DOE FY2005 Control Table by Appropriation, p. 12, column "FY2003 Comparable Approp.", includes the following items: "Fossil Energy Research And Development / Advanced metallurgical processes"</t>
  </si>
  <si>
    <t>Source: DOE FY2005 Control Table by Appropriation, p. 12, column "FY2003 Comparable Approp.", includes the following items: "Fossil Energy Research And Development / Cooperative research and development"</t>
  </si>
  <si>
    <t>Source: DOE FY2005 Control Table by Appropriation, p. 12, column "FY2003 Comparable Approp.", includes the following items: "Fossil Energy Research And Development / Energy efficiency science initiative"</t>
  </si>
  <si>
    <t>Source: DOE FY2005 Control Table by Appropriation, p. 3, column "FY2003 Comparable Approp.", includes the following items: "Energy Supply / Nuclear Energy / Research and development / Advanced fuel cycle initiative"</t>
  </si>
  <si>
    <t xml:space="preserve">Advanced fuel cycle initiative </t>
  </si>
  <si>
    <t>Program direction policy and management - (estimate of R&amp;D share of total nuclear energy)</t>
  </si>
  <si>
    <r>
      <t xml:space="preserve">Source: DOE FY2001 Control Table of Appropriation, p.8, column "FY1999 </t>
    </r>
    <r>
      <rPr>
        <b/>
        <sz val="8"/>
        <rFont val="Arial"/>
        <family val="2"/>
      </rPr>
      <t>Comparable</t>
    </r>
    <r>
      <rPr>
        <sz val="8"/>
        <rFont val="Arial"/>
        <family val="2"/>
      </rPr>
      <t xml:space="preserve"> Approp.", includes the following items: "Departmental Administration / Administrative operations / International affairs / Total, International affairs" </t>
    </r>
  </si>
  <si>
    <t>Source: DOE FY2005 Control Table by Appropriation, p. 12, column "FY2004 Comparable Approp.", includes the following items: "Fossil Energy Research And Development / Total, Program direction and management support"</t>
  </si>
  <si>
    <t>Source: DOE FY2005 Control Table by Appropriation, p. 12, column "FY2004 Comparable Approp.", includes the following items: "Fossil Energy Research And Development / GP-F-100 General plant projects"</t>
  </si>
  <si>
    <t>Source: DOE FY2005 Control Table by Appropriation, p. 12, column "FY2004 Comparable Approp.", includes the following items: "Fossil Energy Research And Development / Advanced metallurgical processes"</t>
  </si>
  <si>
    <t>Source: DOE FY2005 Control Table by Appropriation, p. 12, column "FY2004 Comparable Approp.", includes the following items: "Fossil Energy Research And Development / Cooperative research and development"</t>
  </si>
  <si>
    <t>Source: DOE FY2005 Control Table by Appropriation, p. 12, column "FY2004 Comparable Approp.", includes the following items: "Fossil Energy Research And Development / Energy efficiency science initiative"</t>
  </si>
  <si>
    <t>Source: DOE FY2005 Control Table by Appropriation, p. 4, column "FY2004 Comparable Approp.", includes the following items: "Energy Supply / Energy Efficiency and Renewable Energy / Biomass and biorefinery systems R&amp;D"</t>
  </si>
  <si>
    <t>Source: DOE FY2005 Control Table by Appropriation, p. 3, column "FY2004 Comparable Approp.", includes the following items: "Energy Supply / Nuclear Energy / Research and development / Advanced fuel cycle initiative"</t>
  </si>
  <si>
    <t>Source: DOE FY2005 Control Table by Appropriation, p. 4, column "FY2004 Comparable Approp.", includes the following items: "Energy Supply / Energy Efficiency and Renewable Energy / Zero energy buildings" + Facilities and infrastructure" -- Discrepancy with 2002 number for which we included "facilities and infrastructure" in policy and management</t>
  </si>
  <si>
    <t>Source: DOE FY2005 Control Table by Appropriation, p. 12, column "FY2004 Comparable Approp.", includes the following items: "Fossil Energy Research And Development / Coal and other power systems / President's Coal Research Initiative"</t>
  </si>
  <si>
    <t>Source: DOE FY2001 Control Table by Appropriation, p. 18</t>
  </si>
  <si>
    <t>Prior year balances and adjustments (excludes PODRA adjustments)</t>
  </si>
  <si>
    <t>Source: DOE FY1998 Control Tables by Appropriation, p. 6, column "FY1996 Current Approp." use of prior year balances (EE)</t>
  </si>
  <si>
    <t>Source: DOE FY2000 Control Tables by Appropriation, p. 6, column "FY1998 Current Approp." use of prior year balances (EE)</t>
  </si>
  <si>
    <t>Source: DOE FY1998 Control Tables by Appropriation, p. 6, column "FY1997 Current Approp." use of prior year balances (EE)</t>
  </si>
  <si>
    <t>Source: DOE FY1998 Control Tables by Appropriation, p. 6, column "FY1997 Current Approp." use of prior year balances (NE)</t>
  </si>
  <si>
    <t>Source: DOE FY2005 Control Table by Appropriation, p. 12, column "FY2004 Comparable Approp.", includes the following items: "Fossil Energy Research And Development / Petroleum - Oil technology"</t>
  </si>
  <si>
    <t>Source: DOE FY2003 Control Table of Appropriation, p.8, column "FY2001 Current Approp.", includes the following items: "Departmental Administration / International affairs / Total, International affairs" + "Policy/ Total, Policy"</t>
  </si>
  <si>
    <t>Energy storage (later included in electricity T&amp;D)</t>
  </si>
  <si>
    <t>Electricity Reliability (later included in electricity T&amp;D)</t>
  </si>
  <si>
    <t>Biomass and biorefinery sytems (FY05-on, included in biomass below)</t>
  </si>
  <si>
    <t>Biomass (included in solar until 1998;FY05-on includes biorefinery systems)</t>
  </si>
  <si>
    <t>Source: DOE FY2005 Control Table by Appropriation, p. 12, column "FY2004 Comparable Approp.", includes the following items: "Fossil Energy Research And Development / Natural gas technologies"</t>
  </si>
  <si>
    <t>Source: DOE FY2005 Control Table by Appropriation, p. 12, column "FY2004 Comparable Approp.", includes the following items: "Fossil Energy Research And Development / Coal and other power systems / Other power systems"</t>
  </si>
  <si>
    <t>Source: DOE FY2005 Control Table by Appropriation, p. 4, column "FY2004 Comparable Approp.", includes the following items: "Energy Supply / Nuclear Energy / Research and development / Nuclear energy technologies"</t>
  </si>
  <si>
    <t>Source: DOE FY2005 Control Table by Appropriation, p. 4, column "FY2004 Comparable Approp.", includes the following items: "Energy Supply / Nuclear Energy / Research and development / Generation IV nuclear energy systems initiative"</t>
  </si>
  <si>
    <t>Source: DOE FY2005 Control Table by Appropriation, p. 4, column "FY2004 Comparable Approp.", includes the following items: "Energy Supply / Nuclear Energy / Research and development / Nuclear hydrogen initiative"</t>
  </si>
  <si>
    <t>Source: DOE FY2005 Control Table by Appropriation, p. 4, column "FY2004 Comparable Approp.", includes the following items: "Energy Supply / Energy Efficiency and Renewable Energy / Solar energy"</t>
  </si>
  <si>
    <t>Electricity T&amp;D</t>
  </si>
  <si>
    <t>Source: DOE FY2005 Budget Request to Congress, Statistical Table by Appropriation, p. 20, column "FY2003 Comparable Approp.", includes the following items: "Energy Conservation / Weatherization &amp; intergovernmental activities / State energy activities" + "Gateway deployment"</t>
  </si>
  <si>
    <t>Source: DOE FY2005 Control Table of Appropriation, p.7, column "FY2003 Current Approp.", includes the following items: "Departmental Administration / Policy and international affairs / Total, Policy and international affairs"</t>
  </si>
  <si>
    <t>Source: DOE FY2005 Control Table of Appropriation, p.6, column "FY2003 Current Approp.", includes the following items: "Science / Basic energy sciences"</t>
  </si>
  <si>
    <t>Source: DOE FY2005 Control Table of Appropriation, p.6, column "FY2003 Current Approp.", includes the following items: "Science / Biological and environmental research"</t>
  </si>
  <si>
    <t>Source: DOE FY2005 Control Table by Appropriation, p. 4, column "FY2004 Comparable Approp.", includes the following items: "Energy Supply / Electric Transmission and Distribution / Program direction"</t>
  </si>
  <si>
    <t>Source: DOE FY2005 Control Table by Appropriation, p. 4, column "FY2004 Comparable Approp.", includes the following items: "Energy Supply / Nuclear Energy / University reactor fuel assistance and support"</t>
  </si>
  <si>
    <t>Policy and management (FY05-on, for energy efficiency and renewable energy)</t>
  </si>
  <si>
    <t>Source: DOE FY2007 Statistical Table by Appropriation, pg. 5)</t>
  </si>
  <si>
    <t>Source: DOE FY2007 Statistical Table by Appropriation, pg. 6)</t>
  </si>
  <si>
    <t>Source: DOE FY2001 Control Table of Appropriation, p.7, column "FY1999 Current Approp.", includes the following items: "Science / Biological and environmental research"</t>
  </si>
  <si>
    <t>Source: DOE FY2001 Control Table by Appropriation, p. 6, column "FY1999 Current Approp.", includes the following item: "Energy Supply / Adjustments / Use of prior year balances (NE)"</t>
  </si>
  <si>
    <t>Source: DOE FY2001 Control Table of Appropriation, p.7, column "FY1999 Current Approp.", includes the following items: "Science / Fusion energy sciences program"</t>
  </si>
  <si>
    <t>Source: DOE FY2005 Control Table by Appropriation, p. 4, column "FY2004 Comparable Approp.", includes the following items: "Energy Supply / Program direction"</t>
  </si>
  <si>
    <t>Source: DOE FY2005 Control Table by Appropriation, p. 4, column "FY2004 Comparable Approp.", includes the following items: "Energy Supply / Nuclear Energy / Research and development / Nuclear energy research initiative"</t>
  </si>
  <si>
    <t>Source: DOE FY2005 Control Table by Appropriation, p. 4, column "FY2004 Comparable Approp.", includes the following items: "Energy Supply / Nuclear Energy / Research and development / Nuclear energy plant optimization"</t>
  </si>
  <si>
    <t>Source: DOE FY2005 Control Table by Appropriation, p. 4, column "FY2003 Comparable Approp.", includes the following items: "Energy Supply / Nuclear Energy / Research and development / Nuclear energy plant optimization"</t>
  </si>
  <si>
    <t>Source: DOE FY2005 Control Table by Appropriation, p. 4, column "FY2003 Comparable Approp.", includes the following items: "Energy Supply / Nuclear Energy / Research and development / Nuclear energy technologies"</t>
  </si>
  <si>
    <t>Source: DOE FY2005 Control Table by Appropriation, p. 4, column "FY2003 Comparable Approp.", includes the following items: "Energy Supply / Nuclear Energy / Research and development / Nuclear energy research initiative"</t>
  </si>
  <si>
    <t>Source: DOE FY2005 Control Table by Appropriation, p. 12, column "FY2004 Comparable Approp.", includes the following items: "Energy Conservation / Energy efficiency science initiative"</t>
  </si>
  <si>
    <t>Source: DOE FY2000 Control Table of Appropriation, p.8, column "FY1998 Current Approp.", includes the following items: "Departmental Administration / Administrative operations / Policy and International affairs / Total, Policy and international affairs"</t>
  </si>
  <si>
    <t>Source: DOE FY2005 Control Table by Appropriation, p. 4, column "FY2004 Comparable Approp.", includes the following items: "Energy Supply / Energy Efficiency and Renewable Energy / Wind energy"</t>
  </si>
  <si>
    <t>Source: DOE FY2005 Control Table by Appropriation, p. 4, column "FY2004 Comparable Approp.", includes the following items: "Energy Supply / Energy Efficiency and Renewable Energy / Geothermal technology"</t>
  </si>
  <si>
    <t>Source: DOE FY2005 Control Table by Appropriation, p. 4, column "FY2004 Comparable Approp.", includes the following items: "Energy Supply / Energy Efficiency and Renewable Energy / Hydropower"</t>
  </si>
  <si>
    <t>Source: DOE FY2005 Control Table by Appropriation, p. 4, column "FY2004 Comparable Approp.", includes the following items: "Energy Supply / Electric Transmission and Distribution / Research and development"</t>
  </si>
  <si>
    <t>Source: DOE FY2001 Control Table by Appropriation, p. 5, column "FY1999 Current Approp.", includes the following items: "Energy Supply / Nuclear Energy / Nuclear energy research and development / Advanced radioisotope power system" + "Test reactor area landlord" + "Termination costs" + "Uranium program" + "Isotope support"</t>
  </si>
  <si>
    <t>Source: DOE FY2001 Control Table of Appropriation, p.8, column "FY1999 Current Approp.", includes the following items: "Departmental Administration / Administrative operations / International affairs / Total, International affairs" + "Policy/ Total, Policy"</t>
  </si>
  <si>
    <t>Source: DOE FY2000 Statistical Table by Appropriation, p. 6-7, column "FY1998 Current Approp."</t>
  </si>
  <si>
    <t>Source: DOE FY1999 Statistical Table by Appropriation, p. 27-28, column "FY1997 Current Approp."</t>
  </si>
  <si>
    <t>Source: DOE FY1999 Statistical Table by Appropriation, p. 29, column "FY1997 Current Approp."</t>
  </si>
  <si>
    <t>Source: DOE FY2001 Control Table of Appropriation, p.7, column "FY1999 Current Approp.", includes the following items: "Science / Basic energy sciences"</t>
  </si>
  <si>
    <t>Nuclear Fusion R&amp;D</t>
  </si>
  <si>
    <t>Policy &amp; International Affairs</t>
  </si>
  <si>
    <t>(international component included above)</t>
  </si>
  <si>
    <t>Basic energy sciences (BES)</t>
  </si>
  <si>
    <t>Research ("general science")</t>
  </si>
  <si>
    <t>Source: DOE FY2005 Control Table by Appropriation, p. 12, column "FY2003 Comparable Approp.", includes the following items: "Fossil Energy Research And Development / Petroleum - Oil technology"</t>
  </si>
  <si>
    <t>Source: DOE FY2002 Control Table of Appropriation, p.8, column "FY2000 Current Approp.", includes the following items: "Departmental Administration / International affairs / Total, International affairs" + "Policy/ Total, Policy"</t>
  </si>
  <si>
    <t>Source: DOE FY2002 Statistical Table by Appropriation, p. 5-6, column "FY2000 Current Approp."</t>
  </si>
  <si>
    <t>Source: DOE FY2005 Control Table by Appropriation, p. 12, column "FY2003 Comparable Approp.", includes the following items: "Fossil Energy Research And Development / GP-F-100 General plant projects"</t>
  </si>
  <si>
    <t>Source: DOE FY2000 Control Table by Appropriation, p. 5, column "FY1998 Current Approp.", includes the following items: "Energy Supply / Other Energy Supply / Fusion energy"</t>
  </si>
  <si>
    <t>Water Power (Prior to FY08- hydropower, now includes tidal)</t>
  </si>
  <si>
    <t>Source: DOE FY2001 Statistical Table by Appropriation, p. 34-5, column "FY1999 Current Approp."</t>
  </si>
  <si>
    <t>Source: DOE FY2001 Statistical Table by Appropriation, p. 30-33, column "FY1999 Current Approp."</t>
  </si>
  <si>
    <t>Includes "building research &amp; standards" plus "codes and standards" plus "building equipment and materials" plus "cooperative program with states" plus management and planning attributable to ERD&amp;D</t>
  </si>
  <si>
    <t>Source: DOE FY2001 Statistical Table by Appropriation, p. 6-7, column "FY1999 Current Approp."</t>
  </si>
  <si>
    <t>Other Power Systems (Pre-FY01: Fuel Cells; FY01-FY04 "other power systems" included sequestration R&amp;D, fuels, etc.; FY05-on included under coal R&amp;D)</t>
  </si>
  <si>
    <t>Policy and management (FY05-estimated efficiency portion; FY13 on, includes 'Strategic Programs')</t>
  </si>
  <si>
    <t>Industry (FY13 on, includes 'Advanced manufacturing')</t>
  </si>
  <si>
    <t>Home Energy Retrofit Rebate Program (HomeStar)</t>
  </si>
  <si>
    <t>Advanced Vehicles Community Development Challenge</t>
  </si>
  <si>
    <t>Program direction</t>
  </si>
  <si>
    <t>ARPA-E Total</t>
  </si>
  <si>
    <t>Other T&amp;D deployment (workforce training, interoperability standards and framework, interconnection planning and analysis, state assistance on electricity policy, enhancing state and local gov't energy assurance, and "other")</t>
  </si>
  <si>
    <t>Nuclear (other - includes advanced radioisotope power system, isotope support and production, nuclear facilities, MOX facilities, uranium programs; FY13 on-'Radiological Facilities Management')</t>
  </si>
  <si>
    <t>Biomass (included in solar until 1998;FY05-on includes biorefinery systems; FY15-on referred to as bioenergy)</t>
  </si>
  <si>
    <t>Prior balances (for FY14 they are credited to efficiency)</t>
  </si>
  <si>
    <t>Race to the Top for Energy Efficiency and Grid Modernization</t>
  </si>
  <si>
    <t>Other (FY10 on- includes permitting, siting, analysis; infrastructure security &amp; energy restoration; FY14-on also includes national electricity delivery)</t>
  </si>
  <si>
    <t>University reactors (FY12-on 'Integrated University Program')</t>
  </si>
  <si>
    <t>Updated by Kelly Gallagher, February 2005, February 2006, February 2007, January 2008, February 2008, June 2008.</t>
  </si>
  <si>
    <t>Updated by Kelly Gallagher, Ambuj Sagar, and Diane Segal, July 2004.</t>
  </si>
  <si>
    <t>Data from 1978-1996 from spreadsheet by Paul de Sa and John Holdren dated May 2, 1997.</t>
  </si>
  <si>
    <t>RD&amp;D Totals for Renewables in 2010$</t>
  </si>
  <si>
    <t>RD&amp;D Totals for Efficiency in 2010$</t>
  </si>
  <si>
    <t>RD&amp;D Totals for Fossil in 2010$</t>
  </si>
  <si>
    <t>R&amp;D Totals in 2010$</t>
  </si>
  <si>
    <t>Table 10.1</t>
  </si>
  <si>
    <t>Petroleum (FY15-on inc. unconventional fossil from petroleum/oil)</t>
  </si>
  <si>
    <t>Use of prior balances - R&amp;D share (in FY13 inc. transfer from State Department)</t>
  </si>
  <si>
    <t>Nuclear Fusion R&amp;D (FY14-on inc. contribution to ITER)</t>
  </si>
  <si>
    <t>Policy &amp; International Affairs (from FY14-on ONLY includes International Affairs)</t>
  </si>
  <si>
    <t>Storage (FY14 on-separated from Research &amp; Development)</t>
  </si>
  <si>
    <t>State Energy Reliability and Assurance Grants</t>
  </si>
  <si>
    <t>Nuclear energy enabling technologies (FY15 on- includes Step R&amp;D)</t>
  </si>
  <si>
    <t>Policy Analysis and Studies (includes 'Environmental Policy') (FY14 on-included in Energy Policy and Systems Analysis)</t>
  </si>
  <si>
    <t>Indian renewables (from FY09 onwards: tribal energy activities; from FY15-on inc. energy and development partnerships; from FY16 on includes Indian Energy Programs)</t>
  </si>
  <si>
    <t>Storage (from FY14 on separate from R&amp;D)</t>
  </si>
  <si>
    <t>Plant, capital equipment, and construction (FY17-on, inc. NETL infrastructure)</t>
  </si>
  <si>
    <t>Multi-sector (FY17-on, inc. Cross-cutting Innovation Initiatives)</t>
  </si>
  <si>
    <t>State energy program grants (FY17 on inc. Cities, Counties and Communities)</t>
  </si>
  <si>
    <t>Nuclear energy plant optimization (FY15 on, refers to System Analysis and Integration)</t>
  </si>
  <si>
    <t>Civilian waste R&amp;D (FY15 on refers to Used Nuclear Fuel Disposition, Consent Based Siting)</t>
  </si>
  <si>
    <t>Advanced fuel cycle initiative (FY17 on, refers to Advanced Fuels and Fuel Resources)</t>
  </si>
  <si>
    <t>Materials Protection Accounting and Control Technology</t>
  </si>
  <si>
    <t>21st Century Clean Transportation Plan Investments</t>
  </si>
  <si>
    <r>
      <t xml:space="preserve">Projects </t>
    </r>
    <r>
      <rPr>
        <sz val="8"/>
        <rFont val="Arial"/>
        <family val="2"/>
      </rPr>
      <t>(FY17 on, inc. ARPA-E mandatory funding)</t>
    </r>
  </si>
  <si>
    <t>ALL FIGURES BELOW THIS LINE ARE IN 2015 DOLLARS</t>
  </si>
  <si>
    <t>Sum of BES and Fusion</t>
  </si>
  <si>
    <t>Reagan FY89/FY81</t>
  </si>
  <si>
    <t>Research &amp; Development (excluding Renewable and Distributed Systems Integration; FY10-on programs include clean energy; transmission and reliability, smart grid R&amp;D, energy storage, and cyber security for energy delivery; FY13 on-includes Electricity Systems Innovation Hub; FY14-on  referred to as Electricity Delivery and Energy Reliability, including also advanced modelling grid research, energy systems risk and predictive capability, and transformer resilience and advanced components, but storage moved to its own category just below) FY18: total minus storage, direction, permitting and reliability, and infrastructure security, included in other categories. From FY19 on, includes separate Office of Cybersecurity, Energy Security, and Emergency Response)</t>
  </si>
  <si>
    <t>Prior year balances (cancellation of prior year balance)</t>
  </si>
  <si>
    <t>Energy Policy and Systems Analysis (FY18 on - incl. Office of Policy, Technology Transitions and Strategic Partnership Projects)</t>
  </si>
  <si>
    <t>Carbon Sequestration (FY12-on it incl. carbon capture and carbon storage, FY15-on inc. natural gas CCS, and STEP (supercritical CO2); FY20-on, renamed Carbon Capture Utilization and Storage))</t>
  </si>
  <si>
    <t>Coal R&amp;D (FY04-on incl. fuels and power systems, FY04-on excl. FutureGen and sequestration, incl. clean coal power initiative, FY09-CCPI Round 3 incl. some sequestration demo, FY12-on incl. advanced energy systems, and cross-cutting research; FY14-on incl. advanced energy systems, cross-cutting research, and NETL coal R&amp;D; FY17-on: incl. fuel supply impact mitigation; FY16 on: advanced energy systems, cross-cutting research, and NETL coal R&amp;D;FY18 on: includes "NETL R&amp;D":FY20-order Advanced Energy Systems, Cross-cutting Research, NETL Coal R&amp;D, Supercritical Transformational Electric Power, and Tranformational Coal Pilots)</t>
  </si>
  <si>
    <t>Updated by Kelly Gallagher and Laura Diaz Anadon May 2009, February 2010, March 2011, February 2012, April 2013, March 2014, September 2015, March 2016, June 2017, March 2018, August 2019, July 2020, July 2021</t>
  </si>
  <si>
    <t>2022R</t>
  </si>
  <si>
    <t>Conservation Weatherization Program  - excluding training and technical assistance</t>
  </si>
  <si>
    <t>Weatherization Readiness Fund</t>
  </si>
  <si>
    <t>Build Back Better Challenge Grants</t>
  </si>
  <si>
    <t>Local Government Clean Energy Workforce Program</t>
  </si>
  <si>
    <t>Light water reactor, SMRs and other (FY12 on-LWR SMR (Small Modular Reactor) Licensing Technical Support)</t>
  </si>
  <si>
    <t>Reactor concepts RD&amp;D (including SMRs from at least 2020)</t>
  </si>
  <si>
    <t>Advanced Reactor Demonstration Program</t>
  </si>
  <si>
    <t>Mineral Sustainability</t>
  </si>
  <si>
    <t>Carbon Dioxide Removal</t>
  </si>
  <si>
    <t>Advanced Coal Energy Systems and CCUS</t>
  </si>
  <si>
    <t>Projects</t>
  </si>
  <si>
    <t>ARPA-C</t>
  </si>
  <si>
    <t>Office of Clean Energy Demonstration</t>
  </si>
  <si>
    <t>Demonstration activities</t>
  </si>
  <si>
    <t>OCED Total</t>
  </si>
  <si>
    <t>Office of Technology Transitions</t>
  </si>
  <si>
    <t>Title 17 - Innovative technology loan guarantee program - renewable, adv. fossil, hydrogen fuel cells, adv. nuclear, CCS, efficiency, pollution control, refineries; FY22 on incl. Loan Guarantee Credit Subsidy</t>
  </si>
  <si>
    <t>Efficiency deployment</t>
  </si>
  <si>
    <t>Efficiency, sume of deployment</t>
  </si>
  <si>
    <t>GDP deflator to 2012$ (from FY21 OMB Historical Tables)</t>
  </si>
  <si>
    <t>GDP deflator to 2020$ (from FY21 OMB Historical Tables)</t>
  </si>
  <si>
    <t>https://www.whitehouse.gov/omb/historical-tables/</t>
  </si>
  <si>
    <t>ARPA-C Total</t>
  </si>
  <si>
    <t>ARPA-Climate</t>
  </si>
  <si>
    <t>ARPA-Energy</t>
  </si>
  <si>
    <t>OCDE</t>
  </si>
  <si>
    <t>ALL FIGURES BELOW THIS LINE ARE IN 2020 DOLLARS</t>
  </si>
  <si>
    <t xml:space="preserve">Sum of 1985-2022R </t>
  </si>
  <si>
    <t>RD&amp;D Totals for Fossil in 2020$</t>
  </si>
  <si>
    <t>RD&amp;D Totals for Efficiency in 2020$</t>
  </si>
  <si>
    <t>RD&amp;D Totals for Renewables in 2020$</t>
  </si>
  <si>
    <t>Electricity T&amp;D in 2020$</t>
  </si>
  <si>
    <t xml:space="preserve">       Rescision of Emergency Funding (for Title 17 and Advanced Technology Vehicle Manufacturing Loan Program)</t>
  </si>
  <si>
    <t>2022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</si>
</sst>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0000"/>
    <numFmt numFmtId="168" formatCode="0.000"/>
    <numFmt numFmtId="169" formatCode="##,##0.0000"/>
  </numFmts>
  <fonts count="74" x14ac:knownFonts="1">
    <font>
      <sz val="10"/>
      <name val="Arial"/>
    </font>
    <font>
      <sz val="11"/>
      <color theme="1"/>
      <name val="Calibri"/>
      <family val="2"/>
      <scheme val="minor"/>
    </font>
    <font>
      <u/>
      <sz val="10"/>
      <color indexed="12"/>
      <name val="Arial"/>
      <family val="2"/>
    </font>
    <font>
      <b/>
      <sz val="8"/>
      <name val="Arial"/>
      <family val="2"/>
    </font>
    <font>
      <sz val="8"/>
      <name val="Arial"/>
      <family val="2"/>
    </font>
    <font>
      <b/>
      <u/>
      <sz val="8"/>
      <name val="Arial"/>
      <family val="2"/>
    </font>
    <font>
      <sz val="8"/>
      <color indexed="10"/>
      <name val="Arial"/>
      <family val="2"/>
    </font>
    <font>
      <sz val="8"/>
      <color indexed="81"/>
      <name val="Tahoma"/>
      <family val="2"/>
    </font>
    <font>
      <b/>
      <sz val="8"/>
      <color indexed="81"/>
      <name val="Tahoma"/>
      <family val="2"/>
    </font>
    <font>
      <b/>
      <sz val="8"/>
      <color indexed="10"/>
      <name val="Arial"/>
      <family val="2"/>
    </font>
    <font>
      <sz val="8"/>
      <color indexed="8"/>
      <name val="Arial"/>
      <family val="2"/>
    </font>
    <font>
      <sz val="8"/>
      <color indexed="47"/>
      <name val="Arial"/>
      <family val="2"/>
    </font>
    <font>
      <b/>
      <sz val="8"/>
      <color indexed="8"/>
      <name val="Arial"/>
      <family val="2"/>
    </font>
    <font>
      <b/>
      <u/>
      <sz val="8"/>
      <color indexed="10"/>
      <name val="Arial"/>
      <family val="2"/>
    </font>
    <font>
      <u/>
      <sz val="8"/>
      <color indexed="10"/>
      <name val="Arial"/>
      <family val="2"/>
    </font>
    <font>
      <sz val="8"/>
      <color indexed="12"/>
      <name val="Arial"/>
      <family val="2"/>
    </font>
    <font>
      <u/>
      <sz val="8"/>
      <color indexed="12"/>
      <name val="Arial"/>
      <family val="2"/>
    </font>
    <font>
      <i/>
      <sz val="8"/>
      <name val="Arial"/>
      <family val="2"/>
    </font>
    <font>
      <b/>
      <sz val="16"/>
      <color indexed="18"/>
      <name val="Arial"/>
      <family val="2"/>
    </font>
    <font>
      <sz val="9"/>
      <color indexed="81"/>
      <name val="Arial"/>
      <family val="2"/>
    </font>
    <font>
      <b/>
      <sz val="9"/>
      <color indexed="81"/>
      <name val="Arial"/>
      <family val="2"/>
    </font>
    <font>
      <b/>
      <u/>
      <sz val="8"/>
      <color indexed="8"/>
      <name val="Arial"/>
      <family val="2"/>
    </font>
    <font>
      <sz val="8"/>
      <color indexed="20"/>
      <name val="Arial"/>
      <family val="2"/>
    </font>
    <font>
      <b/>
      <u/>
      <sz val="8"/>
      <color indexed="20"/>
      <name val="Arial"/>
      <family val="2"/>
    </font>
    <font>
      <b/>
      <sz val="8"/>
      <color indexed="20"/>
      <name val="Arial"/>
      <family val="2"/>
    </font>
    <font>
      <sz val="10"/>
      <name val="Arial"/>
      <family val="2"/>
    </font>
    <font>
      <u/>
      <sz val="8"/>
      <name val="Arial"/>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name val="Arial"/>
      <family val="2"/>
    </font>
    <font>
      <sz val="7"/>
      <color indexed="81"/>
      <name val="Tahoma"/>
      <family val="2"/>
    </font>
    <font>
      <sz val="8"/>
      <color indexed="20"/>
      <name val="Arial"/>
      <family val="2"/>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rgb="FF7030A0"/>
      <name val="Arial"/>
      <family val="2"/>
    </font>
    <font>
      <sz val="10"/>
      <name val="Arial"/>
      <family val="2"/>
    </font>
    <font>
      <sz val="8"/>
      <color rgb="FFFF0000"/>
      <name val="Arial"/>
      <family val="2"/>
    </font>
    <font>
      <sz val="8"/>
      <color rgb="FF3366FF"/>
      <name val="Arial"/>
      <family val="2"/>
    </font>
    <font>
      <sz val="8"/>
      <color theme="0" tint="-0.499984740745262"/>
      <name val="Arial"/>
      <family val="2"/>
    </font>
    <font>
      <sz val="8"/>
      <color theme="4"/>
      <name val="Arial"/>
      <family val="2"/>
    </font>
    <font>
      <sz val="8"/>
      <color theme="7"/>
      <name val="Arial"/>
      <family val="2"/>
    </font>
    <font>
      <sz val="11"/>
      <color indexed="8"/>
      <name val="Calibri"/>
      <family val="2"/>
      <scheme val="minor"/>
    </font>
    <font>
      <sz val="10"/>
      <color indexed="8"/>
      <name val="Times New Roman"/>
      <family val="1"/>
    </font>
    <font>
      <b/>
      <u/>
      <sz val="8"/>
      <color rgb="FF7030A0"/>
      <name val="Arial"/>
      <family val="2"/>
    </font>
  </fonts>
  <fills count="5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double">
        <color auto="1"/>
      </bottom>
      <diagonal/>
    </border>
    <border>
      <left style="hair">
        <color auto="1"/>
      </left>
      <right style="hair">
        <color auto="1"/>
      </right>
      <top style="hair">
        <color auto="1"/>
      </top>
      <bottom/>
      <diagonal/>
    </border>
    <border>
      <left/>
      <right/>
      <top style="double">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double">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style="hair">
        <color auto="1"/>
      </right>
      <top/>
      <bottom style="double">
        <color auto="1"/>
      </bottom>
      <diagonal/>
    </border>
    <border>
      <left/>
      <right/>
      <top/>
      <bottom style="thin">
        <color auto="1"/>
      </bottom>
      <diagonal/>
    </border>
    <border>
      <left style="hair">
        <color auto="1"/>
      </left>
      <right/>
      <top/>
      <bottom style="double">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hair">
        <color auto="1"/>
      </top>
      <bottom style="medium">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style="hair">
        <color auto="1"/>
      </right>
      <top/>
      <bottom/>
      <diagonal/>
    </border>
    <border>
      <left/>
      <right/>
      <top/>
      <bottom style="medium">
        <color auto="1"/>
      </bottom>
      <diagonal/>
    </border>
    <border>
      <left style="hair">
        <color auto="1"/>
      </left>
      <right/>
      <top/>
      <bottom/>
      <diagonal/>
    </border>
    <border>
      <left/>
      <right/>
      <top style="medium">
        <color auto="1"/>
      </top>
      <bottom style="medium">
        <color auto="1"/>
      </bottom>
      <diagonal/>
    </border>
    <border>
      <left/>
      <right style="thin">
        <color rgb="FF000000"/>
      </right>
      <top/>
      <bottom/>
      <diagonal/>
    </border>
  </borders>
  <cellStyleXfs count="8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3"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8" fillId="10"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10" borderId="0" applyNumberFormat="0" applyBorder="0" applyAlignment="0" applyProtection="0"/>
    <xf numFmtId="0" fontId="28" fillId="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30" fillId="2" borderId="1" applyNumberFormat="0" applyAlignment="0" applyProtection="0"/>
    <xf numFmtId="0" fontId="31" fillId="15" borderId="2" applyNumberFormat="0" applyAlignment="0" applyProtection="0"/>
    <xf numFmtId="0" fontId="32" fillId="0" borderId="0" applyNumberFormat="0" applyFill="0" applyBorder="0" applyAlignment="0" applyProtection="0"/>
    <xf numFmtId="0" fontId="33" fillId="1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2" fillId="0" borderId="0" applyNumberFormat="0" applyFill="0" applyBorder="0" applyAlignment="0" applyProtection="0">
      <alignment vertical="top"/>
      <protection locked="0"/>
    </xf>
    <xf numFmtId="0" fontId="37" fillId="3" borderId="1" applyNumberFormat="0" applyAlignment="0" applyProtection="0"/>
    <xf numFmtId="0" fontId="38" fillId="0" borderId="6" applyNumberFormat="0" applyFill="0" applyAlignment="0" applyProtection="0"/>
    <xf numFmtId="0" fontId="39" fillId="8" borderId="0" applyNumberFormat="0" applyBorder="0" applyAlignment="0" applyProtection="0"/>
    <xf numFmtId="0" fontId="25" fillId="4" borderId="7" applyNumberFormat="0" applyFont="0" applyAlignment="0" applyProtection="0"/>
    <xf numFmtId="0" fontId="40" fillId="2"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1" fillId="0" borderId="0"/>
    <xf numFmtId="0" fontId="47" fillId="0" borderId="0" applyNumberFormat="0" applyFill="0" applyBorder="0" applyAlignment="0" applyProtection="0"/>
    <xf numFmtId="0" fontId="48" fillId="0" borderId="0"/>
    <xf numFmtId="0" fontId="48" fillId="30" borderId="0" applyNumberFormat="0" applyBorder="0" applyAlignment="0" applyProtection="0"/>
    <xf numFmtId="0" fontId="48" fillId="34" borderId="0" applyNumberFormat="0" applyBorder="0" applyAlignment="0" applyProtection="0"/>
    <xf numFmtId="0" fontId="48" fillId="38" borderId="0" applyNumberFormat="0" applyBorder="0" applyAlignment="0" applyProtection="0"/>
    <xf numFmtId="0" fontId="48" fillId="42" borderId="0" applyNumberFormat="0" applyBorder="0" applyAlignment="0" applyProtection="0"/>
    <xf numFmtId="0" fontId="48" fillId="46" borderId="0" applyNumberFormat="0" applyBorder="0" applyAlignment="0" applyProtection="0"/>
    <xf numFmtId="0" fontId="48" fillId="50" borderId="0" applyNumberFormat="0" applyBorder="0" applyAlignment="0" applyProtection="0"/>
    <xf numFmtId="0" fontId="48" fillId="31" borderId="0" applyNumberFormat="0" applyBorder="0" applyAlignment="0" applyProtection="0"/>
    <xf numFmtId="0" fontId="48" fillId="35"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63" fillId="32" borderId="0" applyNumberFormat="0" applyBorder="0" applyAlignment="0" applyProtection="0"/>
    <xf numFmtId="0" fontId="63" fillId="36" borderId="0" applyNumberFormat="0" applyBorder="0" applyAlignment="0" applyProtection="0"/>
    <xf numFmtId="0" fontId="63" fillId="40" borderId="0" applyNumberFormat="0" applyBorder="0" applyAlignment="0" applyProtection="0"/>
    <xf numFmtId="0" fontId="63" fillId="44" borderId="0" applyNumberFormat="0" applyBorder="0" applyAlignment="0" applyProtection="0"/>
    <xf numFmtId="0" fontId="63" fillId="48" borderId="0" applyNumberFormat="0" applyBorder="0" applyAlignment="0" applyProtection="0"/>
    <xf numFmtId="0" fontId="63" fillId="52" borderId="0" applyNumberFormat="0" applyBorder="0" applyAlignment="0" applyProtection="0"/>
    <xf numFmtId="0" fontId="63" fillId="29" borderId="0" applyNumberFormat="0" applyBorder="0" applyAlignment="0" applyProtection="0"/>
    <xf numFmtId="0" fontId="63" fillId="33" borderId="0" applyNumberFormat="0" applyBorder="0" applyAlignment="0" applyProtection="0"/>
    <xf numFmtId="0" fontId="63" fillId="37" borderId="0" applyNumberFormat="0" applyBorder="0" applyAlignment="0" applyProtection="0"/>
    <xf numFmtId="0" fontId="63" fillId="41" borderId="0" applyNumberFormat="0" applyBorder="0" applyAlignment="0" applyProtection="0"/>
    <xf numFmtId="0" fontId="63" fillId="45" borderId="0" applyNumberFormat="0" applyBorder="0" applyAlignment="0" applyProtection="0"/>
    <xf numFmtId="0" fontId="63" fillId="49" borderId="0" applyNumberFormat="0" applyBorder="0" applyAlignment="0" applyProtection="0"/>
    <xf numFmtId="0" fontId="53" fillId="23" borderId="0" applyNumberFormat="0" applyBorder="0" applyAlignment="0" applyProtection="0"/>
    <xf numFmtId="0" fontId="57" fillId="26" borderId="35" applyNumberFormat="0" applyAlignment="0" applyProtection="0"/>
    <xf numFmtId="0" fontId="59" fillId="27" borderId="38" applyNumberFormat="0" applyAlignment="0" applyProtection="0"/>
    <xf numFmtId="0" fontId="61" fillId="0" borderId="0" applyNumberFormat="0" applyFill="0" applyBorder="0" applyAlignment="0" applyProtection="0"/>
    <xf numFmtId="0" fontId="52" fillId="22" borderId="0" applyNumberFormat="0" applyBorder="0" applyAlignment="0" applyProtection="0"/>
    <xf numFmtId="0" fontId="49" fillId="0" borderId="32" applyNumberFormat="0" applyFill="0" applyAlignment="0" applyProtection="0"/>
    <xf numFmtId="0" fontId="50" fillId="0" borderId="33" applyNumberFormat="0" applyFill="0" applyAlignment="0" applyProtection="0"/>
    <xf numFmtId="0" fontId="51" fillId="0" borderId="34" applyNumberFormat="0" applyFill="0" applyAlignment="0" applyProtection="0"/>
    <xf numFmtId="0" fontId="51" fillId="0" borderId="0" applyNumberFormat="0" applyFill="0" applyBorder="0" applyAlignment="0" applyProtection="0"/>
    <xf numFmtId="0" fontId="55" fillId="25" borderId="35" applyNumberFormat="0" applyAlignment="0" applyProtection="0"/>
    <xf numFmtId="0" fontId="58" fillId="0" borderId="37" applyNumberFormat="0" applyFill="0" applyAlignment="0" applyProtection="0"/>
    <xf numFmtId="0" fontId="54" fillId="24" borderId="0" applyNumberFormat="0" applyBorder="0" applyAlignment="0" applyProtection="0"/>
    <xf numFmtId="0" fontId="48" fillId="28" borderId="39" applyNumberFormat="0" applyFont="0" applyAlignment="0" applyProtection="0"/>
    <xf numFmtId="0" fontId="56" fillId="26" borderId="36" applyNumberFormat="0" applyAlignment="0" applyProtection="0"/>
    <xf numFmtId="0" fontId="62" fillId="0" borderId="40" applyNumberFormat="0" applyFill="0" applyAlignment="0" applyProtection="0"/>
    <xf numFmtId="0" fontId="60" fillId="0" borderId="0" applyNumberFormat="0" applyFill="0" applyBorder="0" applyAlignment="0" applyProtection="0"/>
    <xf numFmtId="9" fontId="65" fillId="0" borderId="0" applyFont="0" applyFill="0" applyBorder="0" applyAlignment="0" applyProtection="0"/>
    <xf numFmtId="0" fontId="71" fillId="0" borderId="0"/>
  </cellStyleXfs>
  <cellXfs count="345">
    <xf numFmtId="0" fontId="0" fillId="0" borderId="0" xfId="0"/>
    <xf numFmtId="0" fontId="3" fillId="0" borderId="0" xfId="0" applyFont="1"/>
    <xf numFmtId="0" fontId="4" fillId="0" borderId="0" xfId="0" applyFont="1"/>
    <xf numFmtId="0" fontId="6" fillId="0" borderId="0" xfId="0" applyFont="1"/>
    <xf numFmtId="0" fontId="10" fillId="0" borderId="0" xfId="0" applyFont="1"/>
    <xf numFmtId="0" fontId="4" fillId="0" borderId="0" xfId="0" applyFont="1" applyFill="1" applyBorder="1"/>
    <xf numFmtId="0" fontId="4" fillId="17" borderId="0" xfId="0" applyFont="1" applyFill="1"/>
    <xf numFmtId="0" fontId="4" fillId="17" borderId="0" xfId="0" applyFont="1" applyFill="1" applyBorder="1"/>
    <xf numFmtId="0" fontId="3" fillId="17" borderId="0" xfId="0" applyFont="1" applyFill="1"/>
    <xf numFmtId="0" fontId="3" fillId="17" borderId="0" xfId="0" applyFont="1" applyFill="1" applyBorder="1"/>
    <xf numFmtId="0" fontId="4" fillId="0" borderId="0" xfId="0" applyFont="1" applyBorder="1"/>
    <xf numFmtId="0" fontId="3" fillId="0" borderId="0" xfId="0" applyFont="1" applyBorder="1"/>
    <xf numFmtId="164" fontId="6" fillId="0" borderId="0" xfId="0" applyNumberFormat="1" applyFont="1" applyBorder="1"/>
    <xf numFmtId="164" fontId="15" fillId="0" borderId="0" xfId="0" applyNumberFormat="1" applyFont="1" applyBorder="1"/>
    <xf numFmtId="0" fontId="16" fillId="0" borderId="0" xfId="0" applyNumberFormat="1" applyFont="1" applyBorder="1"/>
    <xf numFmtId="0" fontId="10" fillId="0" borderId="0"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0" xfId="0" applyFont="1" applyBorder="1" applyAlignment="1">
      <alignment wrapText="1"/>
    </xf>
    <xf numFmtId="0" fontId="4" fillId="0" borderId="13" xfId="0" applyFont="1" applyBorder="1" applyAlignment="1">
      <alignment wrapText="1"/>
    </xf>
    <xf numFmtId="0" fontId="5" fillId="0" borderId="12" xfId="0" applyFont="1" applyBorder="1"/>
    <xf numFmtId="0" fontId="5" fillId="0" borderId="0" xfId="0" applyFont="1" applyBorder="1"/>
    <xf numFmtId="0" fontId="9" fillId="0" borderId="0" xfId="0" applyFont="1" applyBorder="1"/>
    <xf numFmtId="0" fontId="10" fillId="0" borderId="0" xfId="0" applyFont="1" applyFill="1" applyBorder="1"/>
    <xf numFmtId="0" fontId="11" fillId="0" borderId="0" xfId="0" applyFont="1" applyFill="1" applyBorder="1"/>
    <xf numFmtId="0" fontId="4" fillId="0" borderId="12" xfId="0" applyFont="1" applyFill="1" applyBorder="1"/>
    <xf numFmtId="0" fontId="12" fillId="0" borderId="12" xfId="0" applyFont="1" applyBorder="1"/>
    <xf numFmtId="0" fontId="3" fillId="0" borderId="0" xfId="0" applyFont="1" applyFill="1" applyBorder="1"/>
    <xf numFmtId="0" fontId="3" fillId="0" borderId="13" xfId="0" applyFont="1" applyBorder="1"/>
    <xf numFmtId="0" fontId="4" fillId="17" borderId="12" xfId="0" applyFont="1" applyFill="1" applyBorder="1"/>
    <xf numFmtId="0" fontId="12" fillId="17" borderId="12" xfId="0" applyFont="1" applyFill="1" applyBorder="1"/>
    <xf numFmtId="0" fontId="3" fillId="17" borderId="13" xfId="0" applyFont="1" applyFill="1" applyBorder="1"/>
    <xf numFmtId="0" fontId="3" fillId="0" borderId="12" xfId="0" applyFont="1" applyBorder="1"/>
    <xf numFmtId="0" fontId="6" fillId="0" borderId="0" xfId="0" applyFont="1" applyBorder="1"/>
    <xf numFmtId="164" fontId="4" fillId="0" borderId="0" xfId="0" applyNumberFormat="1" applyFont="1" applyFill="1" applyBorder="1"/>
    <xf numFmtId="0" fontId="6" fillId="17" borderId="0" xfId="0" applyFont="1" applyFill="1" applyBorder="1"/>
    <xf numFmtId="0" fontId="4" fillId="17" borderId="13" xfId="0" applyFont="1" applyFill="1" applyBorder="1"/>
    <xf numFmtId="0" fontId="3" fillId="17" borderId="12" xfId="0" applyFont="1" applyFill="1" applyBorder="1"/>
    <xf numFmtId="0" fontId="10" fillId="0" borderId="12" xfId="0" applyFont="1" applyBorder="1"/>
    <xf numFmtId="0" fontId="13" fillId="0" borderId="0" xfId="0" applyFont="1" applyBorder="1"/>
    <xf numFmtId="0" fontId="9" fillId="0" borderId="12" xfId="0" applyFont="1" applyBorder="1"/>
    <xf numFmtId="164" fontId="6" fillId="0" borderId="0" xfId="0" applyNumberFormat="1" applyFont="1" applyFill="1" applyBorder="1"/>
    <xf numFmtId="0" fontId="14" fillId="0" borderId="0" xfId="0" applyFont="1" applyBorder="1"/>
    <xf numFmtId="0" fontId="14" fillId="0" borderId="0" xfId="0" applyFont="1" applyFill="1" applyBorder="1"/>
    <xf numFmtId="0" fontId="6" fillId="0" borderId="0" xfId="0" applyFont="1" applyFill="1" applyBorder="1"/>
    <xf numFmtId="0" fontId="6" fillId="0" borderId="13" xfId="0" applyFont="1" applyBorder="1"/>
    <xf numFmtId="0" fontId="6" fillId="0" borderId="12" xfId="0" applyFont="1" applyBorder="1"/>
    <xf numFmtId="1" fontId="6" fillId="0" borderId="0" xfId="0" applyNumberFormat="1" applyFont="1" applyBorder="1"/>
    <xf numFmtId="9" fontId="6" fillId="0" borderId="0" xfId="0" applyNumberFormat="1" applyFont="1" applyFill="1" applyBorder="1"/>
    <xf numFmtId="0" fontId="14" fillId="0" borderId="12" xfId="0" applyFont="1" applyBorder="1"/>
    <xf numFmtId="9" fontId="6" fillId="0" borderId="0" xfId="0" applyNumberFormat="1" applyFont="1" applyBorder="1"/>
    <xf numFmtId="164" fontId="4" fillId="0" borderId="0" xfId="0" applyNumberFormat="1" applyFont="1" applyBorder="1"/>
    <xf numFmtId="0" fontId="4" fillId="0" borderId="14" xfId="0" applyFont="1" applyBorder="1"/>
    <xf numFmtId="0" fontId="4" fillId="0" borderId="14" xfId="0" applyFont="1" applyFill="1" applyBorder="1"/>
    <xf numFmtId="0" fontId="4" fillId="18" borderId="14" xfId="0" applyFont="1" applyFill="1" applyBorder="1"/>
    <xf numFmtId="0" fontId="10" fillId="0" borderId="14" xfId="0" applyFont="1" applyFill="1" applyBorder="1"/>
    <xf numFmtId="0" fontId="3" fillId="0" borderId="14" xfId="0" applyFont="1" applyBorder="1"/>
    <xf numFmtId="0" fontId="3" fillId="0" borderId="14" xfId="0" applyFont="1" applyFill="1" applyBorder="1"/>
    <xf numFmtId="0" fontId="4" fillId="17" borderId="14" xfId="0" applyFont="1" applyFill="1" applyBorder="1"/>
    <xf numFmtId="0" fontId="3" fillId="17" borderId="14" xfId="0" applyFont="1" applyFill="1" applyBorder="1"/>
    <xf numFmtId="0" fontId="10" fillId="18" borderId="14" xfId="0" applyFont="1" applyFill="1" applyBorder="1"/>
    <xf numFmtId="0" fontId="10" fillId="0" borderId="14" xfId="0" applyFont="1" applyBorder="1"/>
    <xf numFmtId="164" fontId="4" fillId="0" borderId="14" xfId="0" applyNumberFormat="1" applyFont="1" applyFill="1" applyBorder="1"/>
    <xf numFmtId="0" fontId="10" fillId="17" borderId="14" xfId="0" applyFont="1" applyFill="1" applyBorder="1"/>
    <xf numFmtId="0" fontId="3" fillId="0" borderId="14" xfId="0" applyFont="1" applyBorder="1" applyAlignment="1">
      <alignment horizontal="center"/>
    </xf>
    <xf numFmtId="164" fontId="6" fillId="0" borderId="14" xfId="0" applyNumberFormat="1" applyFont="1" applyBorder="1"/>
    <xf numFmtId="164" fontId="6" fillId="0" borderId="14" xfId="0" applyNumberFormat="1" applyFont="1" applyFill="1" applyBorder="1"/>
    <xf numFmtId="164" fontId="6" fillId="18" borderId="14" xfId="0" applyNumberFormat="1" applyFont="1" applyFill="1" applyBorder="1"/>
    <xf numFmtId="164" fontId="4" fillId="0" borderId="14" xfId="0" applyNumberFormat="1" applyFont="1" applyBorder="1"/>
    <xf numFmtId="164" fontId="4" fillId="18" borderId="14" xfId="0" applyNumberFormat="1" applyFont="1" applyFill="1" applyBorder="1"/>
    <xf numFmtId="0" fontId="17" fillId="0" borderId="12" xfId="0" applyFont="1" applyBorder="1"/>
    <xf numFmtId="0" fontId="18" fillId="0" borderId="15" xfId="0" applyFont="1" applyBorder="1"/>
    <xf numFmtId="0" fontId="4" fillId="0" borderId="16" xfId="0" applyFont="1" applyBorder="1"/>
    <xf numFmtId="0" fontId="4" fillId="0" borderId="16" xfId="0" applyFont="1" applyFill="1" applyBorder="1"/>
    <xf numFmtId="0" fontId="4" fillId="18" borderId="16" xfId="0" applyFont="1" applyFill="1" applyBorder="1"/>
    <xf numFmtId="0" fontId="3" fillId="18" borderId="14" xfId="0" applyFont="1" applyFill="1" applyBorder="1"/>
    <xf numFmtId="0" fontId="10" fillId="17" borderId="0" xfId="0" applyFont="1" applyFill="1" applyBorder="1"/>
    <xf numFmtId="0" fontId="3" fillId="20" borderId="12" xfId="0" applyFont="1" applyFill="1" applyBorder="1"/>
    <xf numFmtId="0" fontId="3" fillId="20" borderId="0" xfId="0" applyFont="1" applyFill="1" applyBorder="1"/>
    <xf numFmtId="0" fontId="3" fillId="20" borderId="14" xfId="0" applyFont="1" applyFill="1" applyBorder="1"/>
    <xf numFmtId="0" fontId="4" fillId="20" borderId="14" xfId="0" applyFont="1" applyFill="1" applyBorder="1"/>
    <xf numFmtId="0" fontId="5" fillId="20" borderId="0" xfId="0" applyFont="1" applyFill="1" applyBorder="1"/>
    <xf numFmtId="0" fontId="4" fillId="20" borderId="0" xfId="0" applyFont="1" applyFill="1" applyBorder="1"/>
    <xf numFmtId="9" fontId="14" fillId="0" borderId="0" xfId="0" applyNumberFormat="1" applyFont="1" applyFill="1" applyBorder="1"/>
    <xf numFmtId="164" fontId="14" fillId="0" borderId="0" xfId="0" applyNumberFormat="1" applyFont="1" applyBorder="1"/>
    <xf numFmtId="0" fontId="4" fillId="0" borderId="18" xfId="0" applyFont="1" applyBorder="1"/>
    <xf numFmtId="0" fontId="4" fillId="0" borderId="19" xfId="0" applyFont="1" applyBorder="1"/>
    <xf numFmtId="0" fontId="4" fillId="18" borderId="0" xfId="0" applyFont="1" applyFill="1" applyBorder="1"/>
    <xf numFmtId="164" fontId="3" fillId="20" borderId="14" xfId="0" applyNumberFormat="1" applyFont="1" applyFill="1" applyBorder="1"/>
    <xf numFmtId="0" fontId="4" fillId="18" borderId="12" xfId="0" applyFont="1" applyFill="1" applyBorder="1"/>
    <xf numFmtId="0" fontId="3" fillId="18" borderId="12" xfId="0" applyFont="1" applyFill="1" applyBorder="1"/>
    <xf numFmtId="0" fontId="3" fillId="18" borderId="0" xfId="0" applyFont="1" applyFill="1" applyBorder="1"/>
    <xf numFmtId="0" fontId="5" fillId="18" borderId="0" xfId="0" applyFont="1" applyFill="1" applyBorder="1"/>
    <xf numFmtId="164" fontId="12" fillId="20" borderId="14" xfId="0" applyNumberFormat="1" applyFont="1" applyFill="1" applyBorder="1"/>
    <xf numFmtId="0" fontId="22" fillId="0" borderId="12" xfId="0" applyFont="1" applyBorder="1"/>
    <xf numFmtId="0" fontId="22" fillId="0" borderId="0" xfId="0" applyFont="1" applyBorder="1"/>
    <xf numFmtId="0" fontId="22" fillId="0" borderId="14" xfId="0" applyFont="1" applyBorder="1"/>
    <xf numFmtId="0" fontId="22" fillId="0" borderId="14" xfId="0" applyFont="1" applyFill="1" applyBorder="1"/>
    <xf numFmtId="0" fontId="22" fillId="18" borderId="14" xfId="0" applyFont="1" applyFill="1" applyBorder="1"/>
    <xf numFmtId="0" fontId="22" fillId="0" borderId="0" xfId="0" applyFont="1"/>
    <xf numFmtId="0" fontId="23" fillId="0" borderId="0" xfId="0" applyFont="1" applyBorder="1"/>
    <xf numFmtId="0" fontId="24" fillId="0" borderId="0" xfId="0" applyFont="1" applyBorder="1"/>
    <xf numFmtId="0" fontId="24" fillId="0" borderId="14" xfId="0" applyFont="1" applyBorder="1"/>
    <xf numFmtId="0" fontId="24" fillId="0" borderId="14" xfId="0" applyFont="1" applyFill="1" applyBorder="1"/>
    <xf numFmtId="0" fontId="24" fillId="0" borderId="0" xfId="0" applyFont="1"/>
    <xf numFmtId="0" fontId="22" fillId="18" borderId="0" xfId="0" applyFont="1" applyFill="1" applyBorder="1"/>
    <xf numFmtId="0" fontId="24" fillId="18" borderId="0" xfId="0" applyFont="1" applyFill="1" applyBorder="1"/>
    <xf numFmtId="0" fontId="24" fillId="18" borderId="14" xfId="0" applyFont="1" applyFill="1" applyBorder="1"/>
    <xf numFmtId="0" fontId="23" fillId="0" borderId="0" xfId="0" applyFont="1"/>
    <xf numFmtId="164" fontId="3" fillId="0" borderId="14" xfId="0" applyNumberFormat="1" applyFont="1" applyBorder="1"/>
    <xf numFmtId="0" fontId="3" fillId="17" borderId="20" xfId="0" applyFont="1" applyFill="1" applyBorder="1"/>
    <xf numFmtId="164" fontId="3" fillId="17" borderId="14" xfId="0" applyNumberFormat="1" applyFont="1" applyFill="1" applyBorder="1"/>
    <xf numFmtId="1" fontId="4" fillId="0" borderId="14" xfId="0" applyNumberFormat="1" applyFont="1" applyBorder="1"/>
    <xf numFmtId="164" fontId="22" fillId="0" borderId="14" xfId="0" applyNumberFormat="1" applyFont="1" applyBorder="1"/>
    <xf numFmtId="0" fontId="4" fillId="18" borderId="21" xfId="0" applyFont="1" applyFill="1" applyBorder="1"/>
    <xf numFmtId="0" fontId="24" fillId="0" borderId="23" xfId="0" applyFont="1" applyBorder="1"/>
    <xf numFmtId="0" fontId="24" fillId="0" borderId="23" xfId="0" applyFont="1" applyFill="1" applyBorder="1"/>
    <xf numFmtId="0" fontId="4" fillId="0" borderId="22" xfId="0" applyFont="1" applyFill="1" applyBorder="1"/>
    <xf numFmtId="0" fontId="22" fillId="0" borderId="23" xfId="0" applyFont="1" applyFill="1" applyBorder="1"/>
    <xf numFmtId="0" fontId="3" fillId="0" borderId="24" xfId="0" applyFont="1" applyFill="1" applyBorder="1"/>
    <xf numFmtId="0" fontId="4" fillId="0" borderId="24" xfId="0" applyFont="1" applyFill="1" applyBorder="1"/>
    <xf numFmtId="164" fontId="3" fillId="0" borderId="14" xfId="0" applyNumberFormat="1" applyFont="1" applyFill="1" applyBorder="1"/>
    <xf numFmtId="0" fontId="4" fillId="0" borderId="22" xfId="0" applyFont="1" applyBorder="1"/>
    <xf numFmtId="0" fontId="4" fillId="0" borderId="23" xfId="0" applyFont="1" applyBorder="1"/>
    <xf numFmtId="0" fontId="4" fillId="0" borderId="23" xfId="0" applyFont="1" applyFill="1" applyBorder="1"/>
    <xf numFmtId="164" fontId="10" fillId="0" borderId="14" xfId="0" applyNumberFormat="1" applyFont="1" applyBorder="1"/>
    <xf numFmtId="0" fontId="3" fillId="20" borderId="18" xfId="0" applyFont="1" applyFill="1" applyBorder="1"/>
    <xf numFmtId="0" fontId="3" fillId="17" borderId="25" xfId="0" applyFont="1" applyFill="1" applyBorder="1"/>
    <xf numFmtId="0" fontId="3" fillId="20" borderId="25" xfId="0" applyFont="1" applyFill="1" applyBorder="1"/>
    <xf numFmtId="165" fontId="6" fillId="0" borderId="14" xfId="0" applyNumberFormat="1" applyFont="1" applyBorder="1"/>
    <xf numFmtId="10" fontId="4" fillId="0" borderId="0" xfId="0" applyNumberFormat="1" applyFont="1" applyFill="1" applyBorder="1"/>
    <xf numFmtId="166" fontId="4" fillId="0" borderId="0" xfId="0" applyNumberFormat="1" applyFont="1" applyFill="1" applyBorder="1"/>
    <xf numFmtId="164" fontId="4" fillId="17" borderId="14" xfId="0" applyNumberFormat="1" applyFont="1" applyFill="1" applyBorder="1"/>
    <xf numFmtId="2" fontId="4" fillId="0" borderId="14" xfId="0" applyNumberFormat="1" applyFont="1" applyFill="1" applyBorder="1"/>
    <xf numFmtId="164" fontId="3" fillId="0" borderId="0" xfId="0" applyNumberFormat="1" applyFont="1" applyBorder="1"/>
    <xf numFmtId="168" fontId="4" fillId="0" borderId="0" xfId="0" applyNumberFormat="1" applyFont="1" applyBorder="1"/>
    <xf numFmtId="3" fontId="4" fillId="0" borderId="14" xfId="0" applyNumberFormat="1" applyFont="1" applyBorder="1"/>
    <xf numFmtId="164" fontId="3" fillId="0" borderId="0" xfId="0" applyNumberFormat="1" applyFont="1" applyFill="1" applyBorder="1"/>
    <xf numFmtId="1" fontId="4" fillId="0" borderId="0" xfId="0" applyNumberFormat="1" applyFont="1" applyBorder="1"/>
    <xf numFmtId="3" fontId="0" fillId="0" borderId="0" xfId="0" applyNumberFormat="1"/>
    <xf numFmtId="164" fontId="16" fillId="0" borderId="0" xfId="0" applyNumberFormat="1" applyFont="1" applyBorder="1"/>
    <xf numFmtId="0" fontId="15" fillId="0" borderId="0" xfId="0" applyFont="1" applyBorder="1"/>
    <xf numFmtId="166" fontId="15" fillId="0" borderId="0" xfId="0" applyNumberFormat="1" applyFont="1" applyBorder="1"/>
    <xf numFmtId="0" fontId="26" fillId="0" borderId="0" xfId="0" applyFont="1" applyFill="1" applyBorder="1"/>
    <xf numFmtId="0" fontId="26" fillId="0" borderId="0" xfId="0" applyFont="1" applyBorder="1"/>
    <xf numFmtId="9" fontId="4" fillId="0" borderId="0" xfId="0" applyNumberFormat="1" applyFont="1" applyFill="1" applyBorder="1"/>
    <xf numFmtId="0" fontId="17" fillId="0" borderId="0" xfId="0" applyFont="1" applyBorder="1"/>
    <xf numFmtId="0" fontId="17" fillId="0" borderId="0" xfId="0" applyFont="1" applyFill="1" applyBorder="1"/>
    <xf numFmtId="0" fontId="6" fillId="0" borderId="0" xfId="0" applyFont="1" applyFill="1"/>
    <xf numFmtId="0" fontId="22" fillId="0" borderId="0" xfId="0" applyFont="1" applyFill="1"/>
    <xf numFmtId="0" fontId="4" fillId="0" borderId="0" xfId="0" applyFont="1" applyFill="1"/>
    <xf numFmtId="164" fontId="6" fillId="0" borderId="22" xfId="0" applyNumberFormat="1" applyFont="1" applyBorder="1"/>
    <xf numFmtId="164" fontId="6" fillId="0" borderId="22" xfId="0" applyNumberFormat="1" applyFont="1" applyFill="1" applyBorder="1"/>
    <xf numFmtId="164" fontId="6" fillId="18" borderId="22" xfId="0" applyNumberFormat="1" applyFont="1" applyFill="1" applyBorder="1"/>
    <xf numFmtId="0" fontId="6" fillId="0" borderId="22" xfId="0" applyFont="1" applyBorder="1"/>
    <xf numFmtId="164" fontId="6" fillId="18" borderId="0" xfId="0" applyNumberFormat="1" applyFont="1" applyFill="1" applyBorder="1"/>
    <xf numFmtId="164" fontId="6" fillId="0" borderId="23" xfId="0" applyNumberFormat="1" applyFont="1" applyBorder="1"/>
    <xf numFmtId="164" fontId="6" fillId="0" borderId="23" xfId="0" applyNumberFormat="1" applyFont="1" applyFill="1" applyBorder="1"/>
    <xf numFmtId="164" fontId="6" fillId="18" borderId="23" xfId="0" applyNumberFormat="1" applyFont="1" applyFill="1" applyBorder="1"/>
    <xf numFmtId="0" fontId="6" fillId="0" borderId="23" xfId="0" applyFont="1" applyBorder="1"/>
    <xf numFmtId="0" fontId="6" fillId="0" borderId="14" xfId="0" applyFont="1" applyBorder="1"/>
    <xf numFmtId="0" fontId="6" fillId="0" borderId="22" xfId="0" applyFont="1" applyFill="1" applyBorder="1"/>
    <xf numFmtId="0" fontId="14" fillId="0" borderId="23" xfId="0" applyNumberFormat="1" applyFont="1" applyBorder="1"/>
    <xf numFmtId="0" fontId="14" fillId="0" borderId="23" xfId="0" applyNumberFormat="1" applyFont="1" applyFill="1" applyBorder="1"/>
    <xf numFmtId="0" fontId="6" fillId="0" borderId="23" xfId="0" applyNumberFormat="1" applyFont="1" applyFill="1" applyBorder="1"/>
    <xf numFmtId="164" fontId="22" fillId="0" borderId="0" xfId="0" applyNumberFormat="1" applyFont="1" applyBorder="1"/>
    <xf numFmtId="164" fontId="22" fillId="0" borderId="14" xfId="0" applyNumberFormat="1" applyFont="1" applyFill="1" applyBorder="1"/>
    <xf numFmtId="168" fontId="6" fillId="0" borderId="14" xfId="0" applyNumberFormat="1" applyFont="1" applyBorder="1"/>
    <xf numFmtId="165" fontId="6" fillId="0" borderId="0" xfId="0" applyNumberFormat="1" applyFont="1" applyBorder="1"/>
    <xf numFmtId="0" fontId="22" fillId="0" borderId="20" xfId="0" applyFont="1" applyBorder="1"/>
    <xf numFmtId="164" fontId="22" fillId="0" borderId="20" xfId="0" applyNumberFormat="1" applyFont="1" applyBorder="1"/>
    <xf numFmtId="0" fontId="4" fillId="17" borderId="20" xfId="0" applyFont="1" applyFill="1" applyBorder="1"/>
    <xf numFmtId="0" fontId="3" fillId="0" borderId="20" xfId="0" applyFont="1" applyBorder="1"/>
    <xf numFmtId="0" fontId="3" fillId="0" borderId="20" xfId="0" applyFont="1" applyFill="1" applyBorder="1"/>
    <xf numFmtId="0" fontId="4" fillId="0" borderId="20" xfId="0" applyFont="1" applyFill="1" applyBorder="1"/>
    <xf numFmtId="0" fontId="4" fillId="0" borderId="20" xfId="0" applyFont="1" applyBorder="1"/>
    <xf numFmtId="164" fontId="4" fillId="0" borderId="20" xfId="0" applyNumberFormat="1" applyFont="1" applyFill="1" applyBorder="1"/>
    <xf numFmtId="164" fontId="4" fillId="0" borderId="20" xfId="0" applyNumberFormat="1" applyFont="1" applyBorder="1"/>
    <xf numFmtId="164" fontId="3" fillId="20" borderId="20" xfId="0" applyNumberFormat="1" applyFont="1" applyFill="1" applyBorder="1"/>
    <xf numFmtId="0" fontId="22" fillId="18" borderId="20" xfId="0" applyFont="1" applyFill="1" applyBorder="1"/>
    <xf numFmtId="164" fontId="4" fillId="17" borderId="20" xfId="0" applyNumberFormat="1" applyFont="1" applyFill="1" applyBorder="1"/>
    <xf numFmtId="164" fontId="10" fillId="0" borderId="20" xfId="0" applyNumberFormat="1" applyFont="1" applyBorder="1"/>
    <xf numFmtId="0" fontId="10" fillId="0" borderId="20" xfId="0" applyFont="1" applyBorder="1"/>
    <xf numFmtId="164" fontId="3" fillId="0" borderId="20" xfId="0" applyNumberFormat="1" applyFont="1" applyBorder="1"/>
    <xf numFmtId="0" fontId="22" fillId="0" borderId="0" xfId="0" applyFont="1" applyFill="1" applyBorder="1"/>
    <xf numFmtId="0" fontId="6" fillId="0" borderId="12" xfId="0" applyFont="1" applyFill="1" applyBorder="1"/>
    <xf numFmtId="164" fontId="4" fillId="20" borderId="14" xfId="0" applyNumberFormat="1" applyFont="1" applyFill="1" applyBorder="1"/>
    <xf numFmtId="164" fontId="3" fillId="18" borderId="0" xfId="0" applyNumberFormat="1" applyFont="1" applyFill="1" applyBorder="1"/>
    <xf numFmtId="0" fontId="3" fillId="0" borderId="13" xfId="0" applyFont="1" applyFill="1" applyBorder="1"/>
    <xf numFmtId="0" fontId="3" fillId="0" borderId="0" xfId="0" applyFont="1" applyFill="1"/>
    <xf numFmtId="0" fontId="4" fillId="0" borderId="13" xfId="0" applyFont="1" applyFill="1" applyBorder="1"/>
    <xf numFmtId="164" fontId="4" fillId="20" borderId="16" xfId="0" applyNumberFormat="1" applyFont="1" applyFill="1" applyBorder="1"/>
    <xf numFmtId="0" fontId="24" fillId="0" borderId="0" xfId="0" applyFont="1" applyFill="1"/>
    <xf numFmtId="0" fontId="24" fillId="0" borderId="0" xfId="0" applyFont="1" applyFill="1" applyBorder="1"/>
    <xf numFmtId="0" fontId="3" fillId="0" borderId="12" xfId="0" applyFont="1" applyFill="1" applyBorder="1"/>
    <xf numFmtId="0" fontId="5" fillId="0" borderId="0" xfId="0" applyFont="1" applyFill="1" applyBorder="1"/>
    <xf numFmtId="0" fontId="22" fillId="0" borderId="20" xfId="0" applyFont="1" applyFill="1" applyBorder="1"/>
    <xf numFmtId="164" fontId="3" fillId="17" borderId="20" xfId="0" applyNumberFormat="1" applyFont="1" applyFill="1" applyBorder="1"/>
    <xf numFmtId="164" fontId="3" fillId="20" borderId="28" xfId="0" applyNumberFormat="1" applyFont="1" applyFill="1" applyBorder="1"/>
    <xf numFmtId="164" fontId="22" fillId="0" borderId="20" xfId="0" applyNumberFormat="1" applyFont="1" applyFill="1" applyBorder="1"/>
    <xf numFmtId="164" fontId="4" fillId="0" borderId="27" xfId="0" applyNumberFormat="1" applyFont="1" applyBorder="1"/>
    <xf numFmtId="164" fontId="4" fillId="0" borderId="16" xfId="0" applyNumberFormat="1" applyFont="1" applyBorder="1"/>
    <xf numFmtId="0" fontId="4" fillId="0" borderId="27" xfId="0" applyFont="1" applyBorder="1"/>
    <xf numFmtId="164" fontId="4" fillId="0" borderId="22" xfId="0" applyNumberFormat="1" applyFont="1" applyFill="1" applyBorder="1"/>
    <xf numFmtId="0" fontId="3" fillId="0" borderId="18" xfId="0" applyFont="1" applyBorder="1"/>
    <xf numFmtId="0" fontId="3" fillId="0" borderId="18" xfId="0" applyFont="1" applyFill="1" applyBorder="1"/>
    <xf numFmtId="0" fontId="4" fillId="18" borderId="18" xfId="0" applyFont="1" applyFill="1" applyBorder="1"/>
    <xf numFmtId="0" fontId="4" fillId="0" borderId="18" xfId="0" applyFont="1" applyFill="1" applyBorder="1"/>
    <xf numFmtId="0" fontId="3" fillId="18" borderId="21" xfId="0" applyFont="1" applyFill="1" applyBorder="1"/>
    <xf numFmtId="164" fontId="3" fillId="18" borderId="21" xfId="0" applyNumberFormat="1" applyFont="1" applyFill="1" applyBorder="1"/>
    <xf numFmtId="2" fontId="3" fillId="18" borderId="0" xfId="0" applyNumberFormat="1" applyFont="1" applyFill="1" applyBorder="1"/>
    <xf numFmtId="164" fontId="24" fillId="0" borderId="14" xfId="0" applyNumberFormat="1" applyFont="1" applyBorder="1"/>
    <xf numFmtId="0" fontId="3" fillId="0" borderId="25" xfId="0" applyFont="1" applyBorder="1"/>
    <xf numFmtId="164" fontId="6" fillId="0" borderId="16" xfId="0" applyNumberFormat="1" applyFont="1" applyBorder="1"/>
    <xf numFmtId="0" fontId="4" fillId="19" borderId="29" xfId="0" applyFont="1" applyFill="1" applyBorder="1"/>
    <xf numFmtId="0" fontId="4" fillId="19" borderId="29" xfId="0" applyFont="1" applyFill="1" applyBorder="1" applyAlignment="1">
      <alignment wrapText="1"/>
    </xf>
    <xf numFmtId="0" fontId="2" fillId="0" borderId="12" xfId="34" applyFill="1" applyBorder="1" applyAlignment="1" applyProtection="1"/>
    <xf numFmtId="0" fontId="13" fillId="0" borderId="12" xfId="0" applyFont="1" applyFill="1" applyBorder="1"/>
    <xf numFmtId="164" fontId="6" fillId="0" borderId="16" xfId="0" applyNumberFormat="1" applyFont="1" applyFill="1" applyBorder="1"/>
    <xf numFmtId="164" fontId="6" fillId="18" borderId="16" xfId="0" applyNumberFormat="1" applyFont="1" applyFill="1" applyBorder="1"/>
    <xf numFmtId="0" fontId="14" fillId="0" borderId="0" xfId="0" applyNumberFormat="1" applyFont="1" applyBorder="1"/>
    <xf numFmtId="167" fontId="44" fillId="0" borderId="0" xfId="0" applyNumberFormat="1" applyFont="1" applyBorder="1" applyAlignment="1" applyProtection="1">
      <alignment horizontal="right" wrapText="1"/>
    </xf>
    <xf numFmtId="0" fontId="21" fillId="0" borderId="0" xfId="0" applyFont="1" applyFill="1" applyBorder="1"/>
    <xf numFmtId="0" fontId="12" fillId="0" borderId="0" xfId="0" applyFont="1" applyFill="1" applyBorder="1"/>
    <xf numFmtId="0" fontId="12" fillId="0" borderId="14" xfId="0" applyFont="1" applyFill="1" applyBorder="1"/>
    <xf numFmtId="0" fontId="12" fillId="0" borderId="20" xfId="0" applyFont="1" applyFill="1" applyBorder="1"/>
    <xf numFmtId="0" fontId="4" fillId="21" borderId="0" xfId="0" applyFont="1" applyFill="1" applyBorder="1"/>
    <xf numFmtId="0" fontId="3" fillId="21" borderId="0" xfId="0" applyFont="1" applyFill="1" applyBorder="1"/>
    <xf numFmtId="0" fontId="3" fillId="21" borderId="14" xfId="0" applyFont="1" applyFill="1" applyBorder="1"/>
    <xf numFmtId="164" fontId="4" fillId="0" borderId="16" xfId="0" applyNumberFormat="1" applyFont="1" applyFill="1" applyBorder="1"/>
    <xf numFmtId="0" fontId="5" fillId="21" borderId="0" xfId="0" applyFont="1" applyFill="1" applyBorder="1"/>
    <xf numFmtId="0" fontId="46" fillId="18" borderId="0" xfId="0" applyFont="1" applyFill="1" applyBorder="1"/>
    <xf numFmtId="2" fontId="4" fillId="0" borderId="20" xfId="0" applyNumberFormat="1" applyFont="1" applyFill="1" applyBorder="1"/>
    <xf numFmtId="164" fontId="22" fillId="0" borderId="22" xfId="0" applyNumberFormat="1" applyFont="1" applyBorder="1"/>
    <xf numFmtId="1" fontId="4" fillId="0" borderId="20" xfId="0" applyNumberFormat="1" applyFont="1" applyBorder="1"/>
    <xf numFmtId="0" fontId="24" fillId="0" borderId="20" xfId="0" applyFont="1" applyBorder="1"/>
    <xf numFmtId="164" fontId="4" fillId="18" borderId="20" xfId="0" applyNumberFormat="1" applyFont="1" applyFill="1" applyBorder="1"/>
    <xf numFmtId="164" fontId="4" fillId="20" borderId="20" xfId="0" applyNumberFormat="1" applyFont="1" applyFill="1" applyBorder="1"/>
    <xf numFmtId="164" fontId="24" fillId="0" borderId="20" xfId="0" applyNumberFormat="1" applyFont="1" applyBorder="1"/>
    <xf numFmtId="0" fontId="3" fillId="0" borderId="28" xfId="0" applyFont="1" applyBorder="1"/>
    <xf numFmtId="2" fontId="4" fillId="0" borderId="14" xfId="0" applyNumberFormat="1" applyFont="1" applyBorder="1"/>
    <xf numFmtId="168" fontId="4" fillId="0" borderId="14" xfId="0" applyNumberFormat="1" applyFont="1" applyBorder="1"/>
    <xf numFmtId="0" fontId="4" fillId="19" borderId="17" xfId="0" applyFont="1" applyFill="1" applyBorder="1" applyAlignment="1">
      <alignment horizontal="center"/>
    </xf>
    <xf numFmtId="0" fontId="4" fillId="19" borderId="17" xfId="0" applyFont="1" applyFill="1" applyBorder="1" applyAlignment="1">
      <alignment horizontal="center" wrapText="1"/>
    </xf>
    <xf numFmtId="0" fontId="4" fillId="19" borderId="26" xfId="0" applyFont="1" applyFill="1" applyBorder="1" applyAlignment="1">
      <alignment horizontal="center" wrapText="1"/>
    </xf>
    <xf numFmtId="164" fontId="3" fillId="20" borderId="0" xfId="0" applyNumberFormat="1" applyFont="1" applyFill="1" applyBorder="1"/>
    <xf numFmtId="2" fontId="4" fillId="0" borderId="0" xfId="0" applyNumberFormat="1" applyFont="1" applyBorder="1"/>
    <xf numFmtId="164" fontId="4" fillId="17" borderId="0" xfId="0" applyNumberFormat="1" applyFont="1" applyFill="1" applyBorder="1"/>
    <xf numFmtId="164" fontId="10" fillId="0" borderId="0" xfId="0" applyNumberFormat="1" applyFont="1" applyBorder="1"/>
    <xf numFmtId="0" fontId="4" fillId="0" borderId="30" xfId="0" applyFont="1" applyFill="1" applyBorder="1"/>
    <xf numFmtId="0" fontId="4" fillId="19" borderId="31" xfId="0" applyFont="1" applyFill="1" applyBorder="1" applyAlignment="1">
      <alignment wrapText="1"/>
    </xf>
    <xf numFmtId="0" fontId="4" fillId="19" borderId="31" xfId="0" applyFont="1" applyFill="1" applyBorder="1" applyAlignment="1">
      <alignment horizontal="center" wrapText="1"/>
    </xf>
    <xf numFmtId="167" fontId="4" fillId="0" borderId="41" xfId="43" applyNumberFormat="1" applyFont="1" applyFill="1" applyBorder="1" applyAlignment="1" applyProtection="1">
      <alignment horizontal="right" wrapText="1"/>
    </xf>
    <xf numFmtId="0" fontId="64" fillId="0" borderId="0" xfId="0" applyFont="1" applyFill="1"/>
    <xf numFmtId="164" fontId="64" fillId="0" borderId="0" xfId="0" applyNumberFormat="1" applyFont="1" applyBorder="1"/>
    <xf numFmtId="0" fontId="4" fillId="19" borderId="42" xfId="0" applyFont="1" applyFill="1" applyBorder="1" applyAlignment="1">
      <alignment horizontal="center" wrapText="1"/>
    </xf>
    <xf numFmtId="0" fontId="4" fillId="19" borderId="43" xfId="0" applyFont="1" applyFill="1" applyBorder="1" applyAlignment="1">
      <alignment horizontal="center" wrapText="1"/>
    </xf>
    <xf numFmtId="0" fontId="4" fillId="19" borderId="44" xfId="0" applyFont="1" applyFill="1" applyBorder="1" applyAlignment="1">
      <alignment horizontal="center" wrapText="1"/>
    </xf>
    <xf numFmtId="0" fontId="4" fillId="53" borderId="0" xfId="0" applyFont="1" applyFill="1" applyBorder="1"/>
    <xf numFmtId="0" fontId="4" fillId="0" borderId="28" xfId="0" applyFont="1" applyBorder="1"/>
    <xf numFmtId="0" fontId="4" fillId="0" borderId="45" xfId="0" applyFont="1" applyBorder="1"/>
    <xf numFmtId="164" fontId="4" fillId="0" borderId="21" xfId="0" applyNumberFormat="1" applyFont="1" applyBorder="1"/>
    <xf numFmtId="164" fontId="4" fillId="0" borderId="24" xfId="0" applyNumberFormat="1" applyFont="1" applyFill="1" applyBorder="1"/>
    <xf numFmtId="164" fontId="4" fillId="0" borderId="18" xfId="0" applyNumberFormat="1" applyFont="1" applyBorder="1"/>
    <xf numFmtId="164" fontId="4" fillId="0" borderId="47" xfId="0" applyNumberFormat="1" applyFont="1" applyBorder="1"/>
    <xf numFmtId="0" fontId="4" fillId="0" borderId="24" xfId="0" applyFont="1" applyBorder="1"/>
    <xf numFmtId="0" fontId="4" fillId="0" borderId="46" xfId="0" applyFont="1" applyBorder="1"/>
    <xf numFmtId="0" fontId="4" fillId="0" borderId="47" xfId="0" applyFont="1" applyBorder="1"/>
    <xf numFmtId="0" fontId="4" fillId="0" borderId="21" xfId="0" applyFont="1" applyBorder="1"/>
    <xf numFmtId="0" fontId="4" fillId="0" borderId="25" xfId="0" applyFont="1" applyBorder="1"/>
    <xf numFmtId="0" fontId="22" fillId="0" borderId="16" xfId="0" applyFont="1" applyBorder="1"/>
    <xf numFmtId="164" fontId="3" fillId="0" borderId="24" xfId="0" applyNumberFormat="1" applyFont="1" applyBorder="1"/>
    <xf numFmtId="0" fontId="22" fillId="0" borderId="24" xfId="0" applyFont="1" applyBorder="1"/>
    <xf numFmtId="0" fontId="3" fillId="0" borderId="24" xfId="0" applyFont="1" applyBorder="1"/>
    <xf numFmtId="0" fontId="4" fillId="0" borderId="46" xfId="0" applyFont="1" applyFill="1" applyBorder="1"/>
    <xf numFmtId="0" fontId="12" fillId="0" borderId="24" xfId="0" applyFont="1" applyFill="1" applyBorder="1"/>
    <xf numFmtId="0" fontId="3" fillId="21" borderId="24" xfId="0" applyFont="1" applyFill="1" applyBorder="1"/>
    <xf numFmtId="164" fontId="4" fillId="17" borderId="24" xfId="0" applyNumberFormat="1" applyFont="1" applyFill="1" applyBorder="1"/>
    <xf numFmtId="2" fontId="4" fillId="0" borderId="47" xfId="0" applyNumberFormat="1" applyFont="1" applyBorder="1"/>
    <xf numFmtId="0" fontId="22" fillId="18" borderId="47" xfId="0" applyFont="1" applyFill="1" applyBorder="1"/>
    <xf numFmtId="0" fontId="22" fillId="18" borderId="16" xfId="0" applyFont="1" applyFill="1" applyBorder="1"/>
    <xf numFmtId="0" fontId="3" fillId="0" borderId="47" xfId="0" applyFont="1" applyBorder="1"/>
    <xf numFmtId="164" fontId="10" fillId="0" borderId="47" xfId="0" applyNumberFormat="1" applyFont="1" applyBorder="1"/>
    <xf numFmtId="0" fontId="10" fillId="0" borderId="47" xfId="0" applyFont="1" applyBorder="1"/>
    <xf numFmtId="0" fontId="4" fillId="18" borderId="20" xfId="0" applyFont="1" applyFill="1" applyBorder="1"/>
    <xf numFmtId="168" fontId="4" fillId="0" borderId="20" xfId="0" applyNumberFormat="1" applyFont="1" applyBorder="1"/>
    <xf numFmtId="167" fontId="4" fillId="0" borderId="0" xfId="43" applyNumberFormat="1" applyFont="1" applyFill="1" applyBorder="1" applyAlignment="1" applyProtection="1">
      <alignment horizontal="right" wrapText="1"/>
    </xf>
    <xf numFmtId="167" fontId="4" fillId="0" borderId="18" xfId="43" applyNumberFormat="1" applyFont="1" applyFill="1" applyBorder="1" applyAlignment="1" applyProtection="1">
      <alignment horizontal="right" wrapText="1"/>
    </xf>
    <xf numFmtId="0" fontId="22" fillId="0" borderId="0" xfId="0" applyFont="1" applyBorder="1" applyAlignment="1">
      <alignment horizontal="right"/>
    </xf>
    <xf numFmtId="10" fontId="4" fillId="0" borderId="25" xfId="86" applyNumberFormat="1" applyFont="1" applyBorder="1"/>
    <xf numFmtId="164" fontId="4" fillId="18" borderId="21" xfId="0" applyNumberFormat="1" applyFont="1" applyFill="1" applyBorder="1"/>
    <xf numFmtId="0" fontId="66" fillId="0" borderId="0" xfId="0" applyFont="1" applyBorder="1"/>
    <xf numFmtId="164" fontId="67" fillId="0" borderId="14" xfId="0" applyNumberFormat="1" applyFont="1" applyBorder="1"/>
    <xf numFmtId="0" fontId="67" fillId="0" borderId="14" xfId="0" applyFont="1" applyBorder="1"/>
    <xf numFmtId="166" fontId="4" fillId="0" borderId="0" xfId="86" applyNumberFormat="1" applyFont="1" applyBorder="1"/>
    <xf numFmtId="164" fontId="3" fillId="21" borderId="14" xfId="0" applyNumberFormat="1" applyFont="1" applyFill="1" applyBorder="1"/>
    <xf numFmtId="164" fontId="68" fillId="0" borderId="0" xfId="0" applyNumberFormat="1" applyFont="1" applyBorder="1"/>
    <xf numFmtId="0" fontId="68" fillId="0" borderId="0" xfId="0" applyFont="1" applyBorder="1"/>
    <xf numFmtId="2" fontId="68" fillId="0" borderId="0" xfId="0" applyNumberFormat="1" applyFont="1" applyBorder="1"/>
    <xf numFmtId="166" fontId="68" fillId="0" borderId="0" xfId="86" applyNumberFormat="1" applyFont="1" applyBorder="1"/>
    <xf numFmtId="0" fontId="4" fillId="19" borderId="48" xfId="0" applyFont="1" applyFill="1" applyBorder="1" applyAlignment="1">
      <alignment horizontal="center" wrapText="1"/>
    </xf>
    <xf numFmtId="0" fontId="69" fillId="0" borderId="0" xfId="0" applyFont="1" applyBorder="1"/>
    <xf numFmtId="9" fontId="69" fillId="0" borderId="0" xfId="0" applyNumberFormat="1" applyFont="1" applyBorder="1"/>
    <xf numFmtId="0" fontId="70" fillId="0" borderId="0" xfId="0" applyFont="1" applyBorder="1"/>
    <xf numFmtId="9" fontId="70" fillId="0" borderId="0" xfId="0" applyNumberFormat="1" applyFont="1" applyBorder="1"/>
    <xf numFmtId="1" fontId="6" fillId="0" borderId="16" xfId="0" applyNumberFormat="1" applyFont="1" applyBorder="1"/>
    <xf numFmtId="1" fontId="6" fillId="0" borderId="14" xfId="0" applyNumberFormat="1" applyFont="1" applyBorder="1"/>
    <xf numFmtId="0" fontId="4" fillId="0" borderId="49" xfId="0" applyFont="1" applyBorder="1"/>
    <xf numFmtId="0" fontId="3" fillId="0" borderId="49" xfId="0" applyFont="1" applyBorder="1"/>
    <xf numFmtId="164" fontId="4" fillId="0" borderId="49" xfId="0" applyNumberFormat="1" applyFont="1" applyBorder="1"/>
    <xf numFmtId="164" fontId="10" fillId="0" borderId="49" xfId="0" applyNumberFormat="1" applyFont="1" applyBorder="1"/>
    <xf numFmtId="0" fontId="10" fillId="0" borderId="49" xfId="0" applyFont="1" applyBorder="1"/>
    <xf numFmtId="2" fontId="4" fillId="0" borderId="18" xfId="0" applyNumberFormat="1" applyFont="1" applyBorder="1"/>
    <xf numFmtId="0" fontId="4" fillId="0" borderId="14" xfId="0" quotePrefix="1" applyFont="1" applyBorder="1"/>
    <xf numFmtId="167" fontId="4" fillId="0" borderId="14" xfId="43" applyNumberFormat="1" applyFont="1" applyFill="1" applyBorder="1" applyAlignment="1" applyProtection="1">
      <alignment horizontal="right" wrapText="1"/>
    </xf>
    <xf numFmtId="0" fontId="4" fillId="0" borderId="48" xfId="0" applyFont="1" applyFill="1" applyBorder="1"/>
    <xf numFmtId="0" fontId="4" fillId="19" borderId="50" xfId="0" applyFont="1" applyFill="1" applyBorder="1" applyAlignment="1">
      <alignment horizontal="center" wrapText="1"/>
    </xf>
    <xf numFmtId="0" fontId="4" fillId="19" borderId="0" xfId="0" applyFont="1" applyFill="1" applyBorder="1" applyAlignment="1">
      <alignment horizontal="center" wrapText="1"/>
    </xf>
    <xf numFmtId="164" fontId="22" fillId="0" borderId="0" xfId="0" applyNumberFormat="1" applyFont="1" applyFill="1" applyBorder="1"/>
    <xf numFmtId="2" fontId="4" fillId="0" borderId="0" xfId="0" applyNumberFormat="1" applyFont="1" applyFill="1" applyBorder="1"/>
    <xf numFmtId="0" fontId="2" fillId="0" borderId="0" xfId="34" applyAlignment="1" applyProtection="1"/>
    <xf numFmtId="0" fontId="4" fillId="53" borderId="0" xfId="0" quotePrefix="1" applyFont="1" applyFill="1" applyBorder="1"/>
    <xf numFmtId="0" fontId="22" fillId="53" borderId="14" xfId="0" applyFont="1" applyFill="1" applyBorder="1"/>
    <xf numFmtId="0" fontId="22" fillId="53" borderId="0" xfId="0" applyFont="1" applyFill="1" applyBorder="1"/>
    <xf numFmtId="164" fontId="22" fillId="53" borderId="14" xfId="0" applyNumberFormat="1" applyFont="1" applyFill="1" applyBorder="1"/>
    <xf numFmtId="164" fontId="22" fillId="53" borderId="0" xfId="0" applyNumberFormat="1" applyFont="1" applyFill="1" applyBorder="1"/>
    <xf numFmtId="0" fontId="3" fillId="21" borderId="20" xfId="0" applyFont="1" applyFill="1" applyBorder="1"/>
    <xf numFmtId="164" fontId="3" fillId="21" borderId="25" xfId="0" applyNumberFormat="1" applyFont="1" applyFill="1" applyBorder="1"/>
    <xf numFmtId="0" fontId="3" fillId="21" borderId="25" xfId="0" applyFont="1" applyFill="1" applyBorder="1"/>
    <xf numFmtId="164" fontId="3" fillId="0" borderId="25" xfId="0" applyNumberFormat="1" applyFont="1" applyFill="1" applyBorder="1"/>
    <xf numFmtId="0" fontId="3" fillId="0" borderId="25" xfId="0" applyFont="1" applyFill="1" applyBorder="1"/>
    <xf numFmtId="10" fontId="4" fillId="21" borderId="25" xfId="86" applyNumberFormat="1" applyFont="1" applyFill="1" applyBorder="1"/>
    <xf numFmtId="0" fontId="4" fillId="21" borderId="25" xfId="0" applyFont="1" applyFill="1" applyBorder="1"/>
    <xf numFmtId="10" fontId="4" fillId="0" borderId="25" xfId="86" applyNumberFormat="1" applyFont="1" applyFill="1" applyBorder="1"/>
    <xf numFmtId="0" fontId="4" fillId="0" borderId="25" xfId="0" applyFont="1" applyFill="1" applyBorder="1"/>
    <xf numFmtId="0" fontId="22" fillId="0" borderId="27" xfId="0" applyFont="1" applyBorder="1"/>
    <xf numFmtId="0" fontId="64" fillId="0" borderId="0" xfId="0" applyFont="1" applyBorder="1"/>
    <xf numFmtId="169" fontId="72" fillId="0" borderId="51" xfId="87" applyNumberFormat="1" applyFont="1" applyBorder="1" applyAlignment="1">
      <alignment horizontal="right" vertical="top" wrapText="1"/>
    </xf>
    <xf numFmtId="169" fontId="72" fillId="0" borderId="51" xfId="87" applyNumberFormat="1" applyFont="1" applyBorder="1" applyAlignment="1">
      <alignment horizontal="right" vertical="top" wrapText="1"/>
    </xf>
    <xf numFmtId="169" fontId="72" fillId="0" borderId="51" xfId="87" applyNumberFormat="1" applyFont="1" applyBorder="1" applyAlignment="1">
      <alignment horizontal="right" vertical="top" wrapText="1"/>
    </xf>
    <xf numFmtId="169" fontId="72" fillId="0" borderId="51" xfId="87" applyNumberFormat="1" applyFont="1" applyBorder="1" applyAlignment="1">
      <alignment horizontal="right" vertical="top" wrapText="1"/>
    </xf>
    <xf numFmtId="0" fontId="4" fillId="0" borderId="0" xfId="0" applyFont="1" applyFill="1" applyBorder="1" applyAlignment="1">
      <alignment horizontal="center" wrapText="1"/>
    </xf>
    <xf numFmtId="0" fontId="73" fillId="0" borderId="0" xfId="0" applyFont="1" applyBorder="1"/>
  </cellXfs>
  <cellStyles count="88">
    <cellStyle name="20% - Accent1" xfId="1" xr:uid="{00000000-0005-0000-0000-000000000000}"/>
    <cellStyle name="20% - Accent1 2" xfId="46" xr:uid="{00000000-0005-0000-0000-000001000000}"/>
    <cellStyle name="20% - Accent2" xfId="2" xr:uid="{00000000-0005-0000-0000-000002000000}"/>
    <cellStyle name="20% - Accent2 2" xfId="47" xr:uid="{00000000-0005-0000-0000-000003000000}"/>
    <cellStyle name="20% - Accent3" xfId="3" xr:uid="{00000000-0005-0000-0000-000004000000}"/>
    <cellStyle name="20% - Accent3 2" xfId="48" xr:uid="{00000000-0005-0000-0000-000005000000}"/>
    <cellStyle name="20% - Accent4" xfId="4" xr:uid="{00000000-0005-0000-0000-000006000000}"/>
    <cellStyle name="20% - Accent4 2" xfId="49" xr:uid="{00000000-0005-0000-0000-000007000000}"/>
    <cellStyle name="20% - Accent5" xfId="5" xr:uid="{00000000-0005-0000-0000-000008000000}"/>
    <cellStyle name="20% - Accent5 2" xfId="50" xr:uid="{00000000-0005-0000-0000-000009000000}"/>
    <cellStyle name="20% - Accent6" xfId="6" xr:uid="{00000000-0005-0000-0000-00000A000000}"/>
    <cellStyle name="20% - Accent6 2" xfId="51" xr:uid="{00000000-0005-0000-0000-00000B000000}"/>
    <cellStyle name="40% - Accent1" xfId="7" xr:uid="{00000000-0005-0000-0000-00000C000000}"/>
    <cellStyle name="40% - Accent1 2" xfId="52" xr:uid="{00000000-0005-0000-0000-00000D000000}"/>
    <cellStyle name="40% - Accent2" xfId="8" xr:uid="{00000000-0005-0000-0000-00000E000000}"/>
    <cellStyle name="40% - Accent2 2" xfId="53" xr:uid="{00000000-0005-0000-0000-00000F000000}"/>
    <cellStyle name="40% - Accent3" xfId="9" xr:uid="{00000000-0005-0000-0000-000010000000}"/>
    <cellStyle name="40% - Accent3 2" xfId="54" xr:uid="{00000000-0005-0000-0000-000011000000}"/>
    <cellStyle name="40% - Accent4" xfId="10" xr:uid="{00000000-0005-0000-0000-000012000000}"/>
    <cellStyle name="40% - Accent4 2" xfId="55" xr:uid="{00000000-0005-0000-0000-000013000000}"/>
    <cellStyle name="40% - Accent5" xfId="11" xr:uid="{00000000-0005-0000-0000-000014000000}"/>
    <cellStyle name="40% - Accent5 2" xfId="56" xr:uid="{00000000-0005-0000-0000-000015000000}"/>
    <cellStyle name="40% - Accent6" xfId="12" xr:uid="{00000000-0005-0000-0000-000016000000}"/>
    <cellStyle name="40% - Accent6 2" xfId="57" xr:uid="{00000000-0005-0000-0000-000017000000}"/>
    <cellStyle name="60% - Accent1" xfId="13" xr:uid="{00000000-0005-0000-0000-000018000000}"/>
    <cellStyle name="60% - Accent1 2" xfId="58" xr:uid="{00000000-0005-0000-0000-000019000000}"/>
    <cellStyle name="60% - Accent2" xfId="14" xr:uid="{00000000-0005-0000-0000-00001A000000}"/>
    <cellStyle name="60% - Accent2 2" xfId="59" xr:uid="{00000000-0005-0000-0000-00001B000000}"/>
    <cellStyle name="60% - Accent3" xfId="15" xr:uid="{00000000-0005-0000-0000-00001C000000}"/>
    <cellStyle name="60% - Accent3 2" xfId="60" xr:uid="{00000000-0005-0000-0000-00001D000000}"/>
    <cellStyle name="60% - Accent4" xfId="16" xr:uid="{00000000-0005-0000-0000-00001E000000}"/>
    <cellStyle name="60% - Accent4 2" xfId="61" xr:uid="{00000000-0005-0000-0000-00001F000000}"/>
    <cellStyle name="60% - Accent5" xfId="17" xr:uid="{00000000-0005-0000-0000-000020000000}"/>
    <cellStyle name="60% - Accent5 2" xfId="62" xr:uid="{00000000-0005-0000-0000-000021000000}"/>
    <cellStyle name="60% - Accent6" xfId="18" xr:uid="{00000000-0005-0000-0000-000022000000}"/>
    <cellStyle name="60% - Accent6 2" xfId="63" xr:uid="{00000000-0005-0000-0000-000023000000}"/>
    <cellStyle name="Accent1" xfId="19" xr:uid="{00000000-0005-0000-0000-000024000000}"/>
    <cellStyle name="Accent1 2" xfId="64" xr:uid="{00000000-0005-0000-0000-000025000000}"/>
    <cellStyle name="Accent2" xfId="20" xr:uid="{00000000-0005-0000-0000-000026000000}"/>
    <cellStyle name="Accent2 2" xfId="65" xr:uid="{00000000-0005-0000-0000-000027000000}"/>
    <cellStyle name="Accent3" xfId="21" xr:uid="{00000000-0005-0000-0000-000028000000}"/>
    <cellStyle name="Accent3 2" xfId="66" xr:uid="{00000000-0005-0000-0000-000029000000}"/>
    <cellStyle name="Accent4" xfId="22" xr:uid="{00000000-0005-0000-0000-00002A000000}"/>
    <cellStyle name="Accent4 2" xfId="67" xr:uid="{00000000-0005-0000-0000-00002B000000}"/>
    <cellStyle name="Accent5" xfId="23" xr:uid="{00000000-0005-0000-0000-00002C000000}"/>
    <cellStyle name="Accent5 2" xfId="68" xr:uid="{00000000-0005-0000-0000-00002D000000}"/>
    <cellStyle name="Accent6" xfId="24" xr:uid="{00000000-0005-0000-0000-00002E000000}"/>
    <cellStyle name="Accent6 2" xfId="69" xr:uid="{00000000-0005-0000-0000-00002F000000}"/>
    <cellStyle name="Bad" xfId="25" xr:uid="{00000000-0005-0000-0000-000030000000}"/>
    <cellStyle name="Bad 2" xfId="70" xr:uid="{00000000-0005-0000-0000-000031000000}"/>
    <cellStyle name="Calculation" xfId="26" xr:uid="{00000000-0005-0000-0000-000032000000}"/>
    <cellStyle name="Calculation 2" xfId="71" xr:uid="{00000000-0005-0000-0000-000033000000}"/>
    <cellStyle name="Check Cell" xfId="27" xr:uid="{00000000-0005-0000-0000-000034000000}"/>
    <cellStyle name="Check Cell 2" xfId="72" xr:uid="{00000000-0005-0000-0000-000035000000}"/>
    <cellStyle name="Explanatory Text" xfId="28" xr:uid="{00000000-0005-0000-0000-000036000000}"/>
    <cellStyle name="Explanatory Text 2" xfId="73" xr:uid="{00000000-0005-0000-0000-000037000000}"/>
    <cellStyle name="Good" xfId="29" xr:uid="{00000000-0005-0000-0000-000038000000}"/>
    <cellStyle name="Good 2" xfId="74" xr:uid="{00000000-0005-0000-0000-000039000000}"/>
    <cellStyle name="Heading 1" xfId="30" xr:uid="{00000000-0005-0000-0000-00003A000000}"/>
    <cellStyle name="Heading 1 2" xfId="75" xr:uid="{00000000-0005-0000-0000-00003B000000}"/>
    <cellStyle name="Heading 2" xfId="31" xr:uid="{00000000-0005-0000-0000-00003C000000}"/>
    <cellStyle name="Heading 2 2" xfId="76" xr:uid="{00000000-0005-0000-0000-00003D000000}"/>
    <cellStyle name="Heading 3" xfId="32" xr:uid="{00000000-0005-0000-0000-00003E000000}"/>
    <cellStyle name="Heading 3 2" xfId="77" xr:uid="{00000000-0005-0000-0000-00003F000000}"/>
    <cellStyle name="Heading 4" xfId="33" xr:uid="{00000000-0005-0000-0000-000040000000}"/>
    <cellStyle name="Heading 4 2" xfId="78" xr:uid="{00000000-0005-0000-0000-000041000000}"/>
    <cellStyle name="Hyperlink" xfId="34" builtinId="8"/>
    <cellStyle name="Input" xfId="35" xr:uid="{00000000-0005-0000-0000-000043000000}"/>
    <cellStyle name="Input 2" xfId="79" xr:uid="{00000000-0005-0000-0000-000044000000}"/>
    <cellStyle name="Linked Cell" xfId="36" xr:uid="{00000000-0005-0000-0000-000045000000}"/>
    <cellStyle name="Linked Cell 2" xfId="80" xr:uid="{00000000-0005-0000-0000-000046000000}"/>
    <cellStyle name="Neutral" xfId="37" xr:uid="{00000000-0005-0000-0000-000047000000}"/>
    <cellStyle name="Neutral 2" xfId="81" xr:uid="{00000000-0005-0000-0000-000048000000}"/>
    <cellStyle name="Normal" xfId="0" builtinId="0"/>
    <cellStyle name="Normal 2" xfId="45" xr:uid="{00000000-0005-0000-0000-00004A000000}"/>
    <cellStyle name="Normal 3" xfId="43" xr:uid="{00000000-0005-0000-0000-00004B000000}"/>
    <cellStyle name="Normal 4" xfId="87" xr:uid="{00000000-0005-0000-0000-00004C000000}"/>
    <cellStyle name="Note" xfId="38" xr:uid="{00000000-0005-0000-0000-00004D000000}"/>
    <cellStyle name="Note 2" xfId="82" xr:uid="{00000000-0005-0000-0000-00004E000000}"/>
    <cellStyle name="Output" xfId="39" xr:uid="{00000000-0005-0000-0000-00004F000000}"/>
    <cellStyle name="Output 2" xfId="83" xr:uid="{00000000-0005-0000-0000-000050000000}"/>
    <cellStyle name="Percent" xfId="86" builtinId="5"/>
    <cellStyle name="Title" xfId="40" xr:uid="{00000000-0005-0000-0000-000052000000}"/>
    <cellStyle name="Title 2" xfId="44" xr:uid="{00000000-0005-0000-0000-000053000000}"/>
    <cellStyle name="Total" xfId="41" xr:uid="{00000000-0005-0000-0000-000054000000}"/>
    <cellStyle name="Total 2" xfId="84" xr:uid="{00000000-0005-0000-0000-000055000000}"/>
    <cellStyle name="Warning Text" xfId="42" xr:uid="{00000000-0005-0000-0000-000056000000}"/>
    <cellStyle name="Warning Text 2" xfId="85" xr:uid="{00000000-0005-0000-0000-000057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chartsheet" Target="chartsheets/sheet6.xml"/><Relationship Id="rId12" Type="http://schemas.openxmlformats.org/officeDocument/2006/relationships/chartsheet" Target="chartsheets/sheet11.xml"/><Relationship Id="rId2" Type="http://schemas.openxmlformats.org/officeDocument/2006/relationships/chartsheet" Target="chartsheets/sheet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5" Type="http://schemas.openxmlformats.org/officeDocument/2006/relationships/chartsheet" Target="chartsheets/sheet4.xml"/><Relationship Id="rId15" Type="http://schemas.openxmlformats.org/officeDocument/2006/relationships/sharedStrings" Target="sharedStrings.xml"/><Relationship Id="rId10" Type="http://schemas.openxmlformats.org/officeDocument/2006/relationships/chartsheet" Target="chartsheets/sheet9.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U.S. DOE Energy RD&amp;D Spending 
FY1978-FY2022 Request</a:t>
            </a:r>
          </a:p>
        </c:rich>
      </c:tx>
      <c:layout>
        <c:manualLayout>
          <c:xMode val="edge"/>
          <c:yMode val="edge"/>
          <c:x val="0.30706622271550099"/>
          <c:y val="4.2857142857142899E-2"/>
        </c:manualLayout>
      </c:layout>
      <c:overlay val="0"/>
      <c:spPr>
        <a:noFill/>
        <a:ln w="25400">
          <a:noFill/>
        </a:ln>
      </c:spPr>
    </c:title>
    <c:autoTitleDeleted val="0"/>
    <c:plotArea>
      <c:layout>
        <c:manualLayout>
          <c:layoutTarget val="inner"/>
          <c:xMode val="edge"/>
          <c:yMode val="edge"/>
          <c:x val="9.3229744728080002E-2"/>
          <c:y val="0.197389885807504"/>
          <c:w val="0.89678135405105397"/>
          <c:h val="0.52438191037638604"/>
        </c:manualLayout>
      </c:layout>
      <c:barChart>
        <c:barDir val="col"/>
        <c:grouping val="stacked"/>
        <c:varyColors val="0"/>
        <c:ser>
          <c:idx val="0"/>
          <c:order val="0"/>
          <c:tx>
            <c:strRef>
              <c:f>'Complete Data 1978-2022R'!$B$207</c:f>
              <c:strCache>
                <c:ptCount val="1"/>
                <c:pt idx="0">
                  <c:v>Fission</c:v>
                </c:pt>
              </c:strCache>
            </c:strRef>
          </c:tx>
          <c:spPr>
            <a:solidFill>
              <a:srgbClr val="DD0806"/>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1978-2022R'!$E$207:$AX$207</c:f>
              <c:numCache>
                <c:formatCode>0.0</c:formatCode>
                <c:ptCount val="46"/>
                <c:pt idx="0">
                  <c:v>3111.3157760814252</c:v>
                </c:pt>
                <c:pt idx="1">
                  <c:v>2676.4404789719629</c:v>
                </c:pt>
                <c:pt idx="2">
                  <c:v>2403.7092254824211</c:v>
                </c:pt>
                <c:pt idx="3">
                  <c:v>1856.134046600095</c:v>
                </c:pt>
                <c:pt idx="4">
                  <c:v>1944.5517699115042</c:v>
                </c:pt>
                <c:pt idx="5">
                  <c:v>1494.7644828312618</c:v>
                </c:pt>
                <c:pt idx="6">
                  <c:v>1267.6880506940254</c:v>
                </c:pt>
                <c:pt idx="7">
                  <c:v>879.12314563106781</c:v>
                </c:pt>
                <c:pt idx="8">
                  <c:v>728.36367440091283</c:v>
                </c:pt>
                <c:pt idx="9">
                  <c:v>528.59070536370314</c:v>
                </c:pt>
                <c:pt idx="10">
                  <c:v>488.5503719447396</c:v>
                </c:pt>
                <c:pt idx="11">
                  <c:v>461.78619161268318</c:v>
                </c:pt>
                <c:pt idx="12">
                  <c:v>580.13207861425713</c:v>
                </c:pt>
                <c:pt idx="13">
                  <c:v>533.94758930001603</c:v>
                </c:pt>
                <c:pt idx="14">
                  <c:v>507.71862595419839</c:v>
                </c:pt>
                <c:pt idx="15">
                  <c:v>409.25467659793816</c:v>
                </c:pt>
                <c:pt idx="16">
                  <c:v>169.33911959645289</c:v>
                </c:pt>
                <c:pt idx="17">
                  <c:v>187.2875346865597</c:v>
                </c:pt>
                <c:pt idx="18">
                  <c:v>69.92124476921974</c:v>
                </c:pt>
                <c:pt idx="19">
                  <c:v>96.237954587220898</c:v>
                </c:pt>
                <c:pt idx="20">
                  <c:v>11.55422922401989</c:v>
                </c:pt>
                <c:pt idx="21">
                  <c:v>47.152645778381789</c:v>
                </c:pt>
                <c:pt idx="22">
                  <c:v>74.084944457509479</c:v>
                </c:pt>
                <c:pt idx="23">
                  <c:v>90.635991115737724</c:v>
                </c:pt>
                <c:pt idx="24">
                  <c:v>220.21665267969141</c:v>
                </c:pt>
                <c:pt idx="25">
                  <c:v>222.09252477146774</c:v>
                </c:pt>
                <c:pt idx="26">
                  <c:v>234.8191170572531</c:v>
                </c:pt>
                <c:pt idx="27">
                  <c:v>280.91423044417746</c:v>
                </c:pt>
                <c:pt idx="28">
                  <c:v>348.95539303450118</c:v>
                </c:pt>
                <c:pt idx="29">
                  <c:v>435.25845725026664</c:v>
                </c:pt>
                <c:pt idx="30">
                  <c:v>568.39186063633474</c:v>
                </c:pt>
                <c:pt idx="31">
                  <c:v>671.35697856365869</c:v>
                </c:pt>
                <c:pt idx="32">
                  <c:v>0</c:v>
                </c:pt>
                <c:pt idx="33">
                  <c:v>590.5488560525738</c:v>
                </c:pt>
                <c:pt idx="34">
                  <c:v>520.08534267586208</c:v>
                </c:pt>
                <c:pt idx="35">
                  <c:v>566.73233739192005</c:v>
                </c:pt>
                <c:pt idx="36">
                  <c:v>520.35865371588068</c:v>
                </c:pt>
                <c:pt idx="37">
                  <c:v>588.00320634957234</c:v>
                </c:pt>
                <c:pt idx="38">
                  <c:v>502.63678705647743</c:v>
                </c:pt>
                <c:pt idx="39">
                  <c:v>624.69110837085555</c:v>
                </c:pt>
                <c:pt idx="40">
                  <c:v>635.8552489654378</c:v>
                </c:pt>
                <c:pt idx="41" formatCode="0">
                  <c:v>732.62038580144997</c:v>
                </c:pt>
                <c:pt idx="42" formatCode="0">
                  <c:v>816.68868667707932</c:v>
                </c:pt>
                <c:pt idx="43" formatCode="0">
                  <c:v>1025.1268817204302</c:v>
                </c:pt>
                <c:pt idx="44" formatCode="0">
                  <c:v>972.69129572571831</c:v>
                </c:pt>
                <c:pt idx="45" formatCode="0">
                  <c:v>1196.823834876589</c:v>
                </c:pt>
              </c:numCache>
            </c:numRef>
          </c:val>
          <c:extLst>
            <c:ext xmlns:c16="http://schemas.microsoft.com/office/drawing/2014/chart" uri="{C3380CC4-5D6E-409C-BE32-E72D297353CC}">
              <c16:uniqueId val="{00000000-C8B2-44E8-A2E8-6D496DED2BC4}"/>
            </c:ext>
          </c:extLst>
        </c:ser>
        <c:ser>
          <c:idx val="1"/>
          <c:order val="1"/>
          <c:tx>
            <c:strRef>
              <c:f>'Complete Data 1978-2022R'!$B$208</c:f>
              <c:strCache>
                <c:ptCount val="1"/>
                <c:pt idx="0">
                  <c:v>Fusion</c:v>
                </c:pt>
              </c:strCache>
            </c:strRef>
          </c:tx>
          <c:spPr>
            <a:solidFill>
              <a:srgbClr val="FF9900"/>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1978-2022R'!$E$208:$AX$208</c:f>
              <c:numCache>
                <c:formatCode>0.0</c:formatCode>
                <c:ptCount val="46"/>
                <c:pt idx="0">
                  <c:v>1189.8312977099235</c:v>
                </c:pt>
                <c:pt idx="1">
                  <c:v>1167.1423481308411</c:v>
                </c:pt>
                <c:pt idx="2">
                  <c:v>1042.1031456515991</c:v>
                </c:pt>
                <c:pt idx="3">
                  <c:v>1054.4939134569663</c:v>
                </c:pt>
                <c:pt idx="4">
                  <c:v>1123.4081415929202</c:v>
                </c:pt>
                <c:pt idx="5">
                  <c:v>1086.7566041710552</c:v>
                </c:pt>
                <c:pt idx="6">
                  <c:v>1060.4251860792597</c:v>
                </c:pt>
                <c:pt idx="7">
                  <c:v>938.78027184466021</c:v>
                </c:pt>
                <c:pt idx="8">
                  <c:v>773.73925446937994</c:v>
                </c:pt>
                <c:pt idx="9">
                  <c:v>706.1657604702425</c:v>
                </c:pt>
                <c:pt idx="10">
                  <c:v>660.37020899752031</c:v>
                </c:pt>
                <c:pt idx="11">
                  <c:v>665.34047050801223</c:v>
                </c:pt>
                <c:pt idx="12">
                  <c:v>593.62788141239162</c:v>
                </c:pt>
                <c:pt idx="13">
                  <c:v>516.64206311068403</c:v>
                </c:pt>
                <c:pt idx="14">
                  <c:v>570.77538931297704</c:v>
                </c:pt>
                <c:pt idx="15">
                  <c:v>556.80132880555141</c:v>
                </c:pt>
                <c:pt idx="16">
                  <c:v>536.65134233057609</c:v>
                </c:pt>
                <c:pt idx="17">
                  <c:v>558.81493588840351</c:v>
                </c:pt>
                <c:pt idx="18">
                  <c:v>371.76169800884958</c:v>
                </c:pt>
                <c:pt idx="19">
                  <c:v>353.97118506493507</c:v>
                </c:pt>
                <c:pt idx="20">
                  <c:v>339.7719903043361</c:v>
                </c:pt>
                <c:pt idx="21">
                  <c:v>325.74211087420042</c:v>
                </c:pt>
                <c:pt idx="22">
                  <c:v>349.59046999088662</c:v>
                </c:pt>
                <c:pt idx="23">
                  <c:v>346.13166899707642</c:v>
                </c:pt>
                <c:pt idx="24">
                  <c:v>340.48681139415231</c:v>
                </c:pt>
                <c:pt idx="25">
                  <c:v>332.82194372773063</c:v>
                </c:pt>
                <c:pt idx="26">
                  <c:v>345.64313490158423</c:v>
                </c:pt>
                <c:pt idx="27">
                  <c:v>358.80230473751595</c:v>
                </c:pt>
                <c:pt idx="28">
                  <c:v>356.14405862457721</c:v>
                </c:pt>
                <c:pt idx="29">
                  <c:v>385.35337800725029</c:v>
                </c:pt>
                <c:pt idx="30">
                  <c:v>352.72660218939313</c:v>
                </c:pt>
                <c:pt idx="31">
                  <c:v>471.60643722115998</c:v>
                </c:pt>
                <c:pt idx="32">
                  <c:v>108.78627575950711</c:v>
                </c:pt>
                <c:pt idx="33">
                  <c:v>489.81505062102076</c:v>
                </c:pt>
                <c:pt idx="34">
                  <c:v>422.0681033602288</c:v>
                </c:pt>
                <c:pt idx="35">
                  <c:v>442.28219999999999</c:v>
                </c:pt>
                <c:pt idx="36">
                  <c:v>418.52162614430551</c:v>
                </c:pt>
                <c:pt idx="37">
                  <c:v>550.59071345482744</c:v>
                </c:pt>
                <c:pt idx="38">
                  <c:v>496.48722993827158</c:v>
                </c:pt>
                <c:pt idx="39">
                  <c:v>472.06014173529974</c:v>
                </c:pt>
                <c:pt idx="40">
                  <c:v>402.6096780267369</c:v>
                </c:pt>
                <c:pt idx="41" formatCode="0">
                  <c:v>425.09582757667857</c:v>
                </c:pt>
                <c:pt idx="42" formatCode="0">
                  <c:v>440.21441506700467</c:v>
                </c:pt>
                <c:pt idx="43" formatCode="0">
                  <c:v>414</c:v>
                </c:pt>
                <c:pt idx="44" formatCode="0">
                  <c:v>407.50458075211588</c:v>
                </c:pt>
                <c:pt idx="45" formatCode="0">
                  <c:v>432.66084425036394</c:v>
                </c:pt>
              </c:numCache>
            </c:numRef>
          </c:val>
          <c:extLst>
            <c:ext xmlns:c16="http://schemas.microsoft.com/office/drawing/2014/chart" uri="{C3380CC4-5D6E-409C-BE32-E72D297353CC}">
              <c16:uniqueId val="{00000001-C8B2-44E8-A2E8-6D496DED2BC4}"/>
            </c:ext>
          </c:extLst>
        </c:ser>
        <c:ser>
          <c:idx val="2"/>
          <c:order val="2"/>
          <c:tx>
            <c:strRef>
              <c:f>'Complete Data 1978-2022R'!$B$209</c:f>
              <c:strCache>
                <c:ptCount val="1"/>
                <c:pt idx="0">
                  <c:v>Efficiency</c:v>
                </c:pt>
              </c:strCache>
            </c:strRef>
          </c:tx>
          <c:spPr>
            <a:solidFill>
              <a:srgbClr val="FCF305"/>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1978-2022R'!$E$209:$AX$209</c:f>
              <c:numCache>
                <c:formatCode>0.0</c:formatCode>
                <c:ptCount val="46"/>
                <c:pt idx="0">
                  <c:v>619.61431297709919</c:v>
                </c:pt>
                <c:pt idx="1">
                  <c:v>751.36226635514004</c:v>
                </c:pt>
                <c:pt idx="2">
                  <c:v>876.99688078244765</c:v>
                </c:pt>
                <c:pt idx="3">
                  <c:v>782.64265335235382</c:v>
                </c:pt>
                <c:pt idx="4">
                  <c:v>378.20411504424777</c:v>
                </c:pt>
                <c:pt idx="5">
                  <c:v>319.10436064883072</c:v>
                </c:pt>
                <c:pt idx="6">
                  <c:v>339.81601287467305</c:v>
                </c:pt>
                <c:pt idx="7">
                  <c:v>349.20178640776697</c:v>
                </c:pt>
                <c:pt idx="8">
                  <c:v>350.37653100038034</c:v>
                </c:pt>
                <c:pt idx="9">
                  <c:v>310.91138868479061</c:v>
                </c:pt>
                <c:pt idx="10">
                  <c:v>297.19649309245483</c:v>
                </c:pt>
                <c:pt idx="11">
                  <c:v>290.27108762359359</c:v>
                </c:pt>
                <c:pt idx="12">
                  <c:v>354.82714856762158</c:v>
                </c:pt>
                <c:pt idx="13">
                  <c:v>408.30225852955311</c:v>
                </c:pt>
                <c:pt idx="14">
                  <c:v>440.71007633587783</c:v>
                </c:pt>
                <c:pt idx="15">
                  <c:v>513.76595304887041</c:v>
                </c:pt>
                <c:pt idx="16">
                  <c:v>616.3488027862428</c:v>
                </c:pt>
                <c:pt idx="17">
                  <c:v>663.31523178807936</c:v>
                </c:pt>
                <c:pt idx="18">
                  <c:v>563.16684181415928</c:v>
                </c:pt>
                <c:pt idx="19">
                  <c:v>600.4569264069263</c:v>
                </c:pt>
                <c:pt idx="20">
                  <c:v>651.88635873956355</c:v>
                </c:pt>
                <c:pt idx="21">
                  <c:v>723.46502727000882</c:v>
                </c:pt>
                <c:pt idx="22">
                  <c:v>748.09922615985272</c:v>
                </c:pt>
                <c:pt idx="23">
                  <c:v>803.14795988288677</c:v>
                </c:pt>
                <c:pt idx="24">
                  <c:v>660.59893236764799</c:v>
                </c:pt>
                <c:pt idx="25">
                  <c:v>681.54522668632512</c:v>
                </c:pt>
                <c:pt idx="26">
                  <c:v>647.25357657225163</c:v>
                </c:pt>
                <c:pt idx="27">
                  <c:v>540.6642813069451</c:v>
                </c:pt>
                <c:pt idx="28">
                  <c:v>523.09482877564096</c:v>
                </c:pt>
                <c:pt idx="29">
                  <c:v>504.06433322567096</c:v>
                </c:pt>
                <c:pt idx="30">
                  <c:v>598.27343572321058</c:v>
                </c:pt>
                <c:pt idx="31">
                  <c:v>741.99529650182319</c:v>
                </c:pt>
                <c:pt idx="32">
                  <c:v>803.68437994826434</c:v>
                </c:pt>
                <c:pt idx="33">
                  <c:v>883.83671952135887</c:v>
                </c:pt>
                <c:pt idx="34">
                  <c:v>772.1633567915909</c:v>
                </c:pt>
                <c:pt idx="35">
                  <c:v>816.33941295862155</c:v>
                </c:pt>
                <c:pt idx="36">
                  <c:v>692.88501813231335</c:v>
                </c:pt>
                <c:pt idx="37">
                  <c:v>785.23946636351047</c:v>
                </c:pt>
                <c:pt idx="38">
                  <c:v>756.22693367029842</c:v>
                </c:pt>
                <c:pt idx="39">
                  <c:v>884.36084465584884</c:v>
                </c:pt>
                <c:pt idx="40">
                  <c:v>841.89779959548252</c:v>
                </c:pt>
                <c:pt idx="41" formatCode="0">
                  <c:v>987.14453692666007</c:v>
                </c:pt>
                <c:pt idx="42" formatCode="0">
                  <c:v>997.69267903512889</c:v>
                </c:pt>
                <c:pt idx="43" formatCode="0">
                  <c:v>1131.0264629847238</c:v>
                </c:pt>
                <c:pt idx="44" formatCode="0">
                  <c:v>1154.8600463895443</c:v>
                </c:pt>
                <c:pt idx="45" formatCode="0">
                  <c:v>1615.1347680782853</c:v>
                </c:pt>
              </c:numCache>
            </c:numRef>
          </c:val>
          <c:extLst>
            <c:ext xmlns:c16="http://schemas.microsoft.com/office/drawing/2014/chart" uri="{C3380CC4-5D6E-409C-BE32-E72D297353CC}">
              <c16:uniqueId val="{00000002-C8B2-44E8-A2E8-6D496DED2BC4}"/>
            </c:ext>
          </c:extLst>
        </c:ser>
        <c:ser>
          <c:idx val="3"/>
          <c:order val="3"/>
          <c:tx>
            <c:strRef>
              <c:f>'Complete Data 1978-2022R'!$B$211</c:f>
              <c:strCache>
                <c:ptCount val="1"/>
                <c:pt idx="0">
                  <c:v>Renewables</c:v>
                </c:pt>
              </c:strCache>
            </c:strRef>
          </c:tx>
          <c:spPr>
            <a:solidFill>
              <a:srgbClr val="666699"/>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1978-2022R'!$E$211:$AX$211</c:f>
              <c:numCache>
                <c:formatCode>0.0</c:formatCode>
                <c:ptCount val="46"/>
                <c:pt idx="0">
                  <c:v>2164.8916030534347</c:v>
                </c:pt>
                <c:pt idx="1">
                  <c:v>2530.5066004672894</c:v>
                </c:pt>
                <c:pt idx="2">
                  <c:v>2477.1889505683316</c:v>
                </c:pt>
                <c:pt idx="3">
                  <c:v>2201.8346647646222</c:v>
                </c:pt>
                <c:pt idx="4">
                  <c:v>998.17004424778759</c:v>
                </c:pt>
                <c:pt idx="5">
                  <c:v>720.71118601221815</c:v>
                </c:pt>
                <c:pt idx="6">
                  <c:v>579.22669483001414</c:v>
                </c:pt>
                <c:pt idx="7">
                  <c:v>558.76656310679596</c:v>
                </c:pt>
                <c:pt idx="8">
                  <c:v>446.90665652339294</c:v>
                </c:pt>
                <c:pt idx="9">
                  <c:v>376.23585598824388</c:v>
                </c:pt>
                <c:pt idx="10">
                  <c:v>303.47529224229538</c:v>
                </c:pt>
                <c:pt idx="11">
                  <c:v>308.11326287078072</c:v>
                </c:pt>
                <c:pt idx="12">
                  <c:v>260.73141239173879</c:v>
                </c:pt>
                <c:pt idx="13">
                  <c:v>362.69498638475096</c:v>
                </c:pt>
                <c:pt idx="14">
                  <c:v>415.2811908396946</c:v>
                </c:pt>
                <c:pt idx="15">
                  <c:v>424.87048575225151</c:v>
                </c:pt>
                <c:pt idx="16">
                  <c:v>503.98844870120445</c:v>
                </c:pt>
                <c:pt idx="17">
                  <c:v>571.65943356347748</c:v>
                </c:pt>
                <c:pt idx="18">
                  <c:v>395.41501659292038</c:v>
                </c:pt>
                <c:pt idx="19">
                  <c:v>350.71312770562764</c:v>
                </c:pt>
                <c:pt idx="20">
                  <c:v>443.50701589011578</c:v>
                </c:pt>
                <c:pt idx="21">
                  <c:v>531.58053038379524</c:v>
                </c:pt>
                <c:pt idx="22">
                  <c:v>415.06908735841694</c:v>
                </c:pt>
                <c:pt idx="23">
                  <c:v>491.53100292360506</c:v>
                </c:pt>
                <c:pt idx="24">
                  <c:v>499.68663822311458</c:v>
                </c:pt>
                <c:pt idx="25">
                  <c:v>392.55567022975788</c:v>
                </c:pt>
                <c:pt idx="26">
                  <c:v>352.9368939030245</c:v>
                </c:pt>
                <c:pt idx="27">
                  <c:v>382.91622020575142</c:v>
                </c:pt>
                <c:pt idx="28">
                  <c:v>340.26698485489396</c:v>
                </c:pt>
                <c:pt idx="29">
                  <c:v>675.19795258548845</c:v>
                </c:pt>
                <c:pt idx="30">
                  <c:v>811.95560327620694</c:v>
                </c:pt>
                <c:pt idx="31">
                  <c:v>988.40706019366303</c:v>
                </c:pt>
                <c:pt idx="32">
                  <c:v>1905.3598495203294</c:v>
                </c:pt>
                <c:pt idx="33">
                  <c:v>1127.2941743245092</c:v>
                </c:pt>
                <c:pt idx="34">
                  <c:v>847.5578012798253</c:v>
                </c:pt>
                <c:pt idx="35">
                  <c:v>891.6907519361672</c:v>
                </c:pt>
                <c:pt idx="36">
                  <c:v>831.22425577979595</c:v>
                </c:pt>
                <c:pt idx="37">
                  <c:v>898.70285237394387</c:v>
                </c:pt>
                <c:pt idx="38">
                  <c:v>832.44172539298563</c:v>
                </c:pt>
                <c:pt idx="39">
                  <c:v>910.85482502409059</c:v>
                </c:pt>
                <c:pt idx="40">
                  <c:v>871.46395010760739</c:v>
                </c:pt>
                <c:pt idx="41" formatCode="0">
                  <c:v>942.76226865534352</c:v>
                </c:pt>
                <c:pt idx="42" formatCode="0">
                  <c:v>943.52020856954164</c:v>
                </c:pt>
                <c:pt idx="43" formatCode="0">
                  <c:v>1093.0292405866951</c:v>
                </c:pt>
                <c:pt idx="44" formatCode="0">
                  <c:v>1086.2486759621413</c:v>
                </c:pt>
                <c:pt idx="45" formatCode="0">
                  <c:v>1535.1784910980653</c:v>
                </c:pt>
              </c:numCache>
            </c:numRef>
          </c:val>
          <c:extLst>
            <c:ext xmlns:c16="http://schemas.microsoft.com/office/drawing/2014/chart" uri="{C3380CC4-5D6E-409C-BE32-E72D297353CC}">
              <c16:uniqueId val="{00000003-C8B2-44E8-A2E8-6D496DED2BC4}"/>
            </c:ext>
          </c:extLst>
        </c:ser>
        <c:ser>
          <c:idx val="4"/>
          <c:order val="4"/>
          <c:tx>
            <c:strRef>
              <c:f>'Complete Data 1978-2022R'!$B$212</c:f>
              <c:strCache>
                <c:ptCount val="1"/>
                <c:pt idx="0">
                  <c:v>Fossil including CCT demo</c:v>
                </c:pt>
              </c:strCache>
            </c:strRef>
          </c:tx>
          <c:spPr>
            <a:solidFill>
              <a:srgbClr val="660066"/>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1978-2022R'!$E$212:$AX$212</c:f>
              <c:numCache>
                <c:formatCode>0.0</c:formatCode>
                <c:ptCount val="46"/>
                <c:pt idx="0">
                  <c:v>2739.7619592875317</c:v>
                </c:pt>
                <c:pt idx="1">
                  <c:v>2499.9393691588784</c:v>
                </c:pt>
                <c:pt idx="2">
                  <c:v>2484.923658472112</c:v>
                </c:pt>
                <c:pt idx="3">
                  <c:v>2660.4498811222065</c:v>
                </c:pt>
                <c:pt idx="4">
                  <c:v>1040.2480530973448</c:v>
                </c:pt>
                <c:pt idx="5">
                  <c:v>514.69210027385702</c:v>
                </c:pt>
                <c:pt idx="6">
                  <c:v>592.13110038221669</c:v>
                </c:pt>
                <c:pt idx="7">
                  <c:v>631.53514563106796</c:v>
                </c:pt>
                <c:pt idx="8">
                  <c:v>662.22662609357155</c:v>
                </c:pt>
                <c:pt idx="9">
                  <c:v>606.111829537105</c:v>
                </c:pt>
                <c:pt idx="10">
                  <c:v>1038.6927736450584</c:v>
                </c:pt>
                <c:pt idx="11">
                  <c:v>1084.1519604500511</c:v>
                </c:pt>
                <c:pt idx="12">
                  <c:v>1792.6924716855428</c:v>
                </c:pt>
                <c:pt idx="13">
                  <c:v>1509.7268941214161</c:v>
                </c:pt>
                <c:pt idx="14">
                  <c:v>1416.973099236641</c:v>
                </c:pt>
                <c:pt idx="15">
                  <c:v>662.31277129779983</c:v>
                </c:pt>
                <c:pt idx="16">
                  <c:v>1031.4941808155565</c:v>
                </c:pt>
                <c:pt idx="17">
                  <c:v>690.03495843314079</c:v>
                </c:pt>
                <c:pt idx="18">
                  <c:v>778.84775995575217</c:v>
                </c:pt>
                <c:pt idx="19">
                  <c:v>519.76672077922069</c:v>
                </c:pt>
                <c:pt idx="20">
                  <c:v>364.38348505251815</c:v>
                </c:pt>
                <c:pt idx="21">
                  <c:v>484.6538699360342</c:v>
                </c:pt>
                <c:pt idx="22">
                  <c:v>368.63772946230961</c:v>
                </c:pt>
                <c:pt idx="23">
                  <c:v>758.5828295411211</c:v>
                </c:pt>
                <c:pt idx="24">
                  <c:v>857.99569582130755</c:v>
                </c:pt>
                <c:pt idx="25">
                  <c:v>761.92303968546514</c:v>
                </c:pt>
                <c:pt idx="26">
                  <c:v>737.34500720115216</c:v>
                </c:pt>
                <c:pt idx="27">
                  <c:v>508.92550343382607</c:v>
                </c:pt>
                <c:pt idx="28">
                  <c:v>698.43948027057479</c:v>
                </c:pt>
                <c:pt idx="29">
                  <c:v>705.3067120729429</c:v>
                </c:pt>
                <c:pt idx="30">
                  <c:v>788.46177064512688</c:v>
                </c:pt>
                <c:pt idx="31">
                  <c:v>1019.4828128319523</c:v>
                </c:pt>
                <c:pt idx="32">
                  <c:v>4062.868536222647</c:v>
                </c:pt>
                <c:pt idx="33">
                  <c:v>762.67844692620804</c:v>
                </c:pt>
                <c:pt idx="34">
                  <c:v>486.65187948115607</c:v>
                </c:pt>
                <c:pt idx="35">
                  <c:v>369.8064399999999</c:v>
                </c:pt>
                <c:pt idx="36">
                  <c:v>554.33621419431051</c:v>
                </c:pt>
                <c:pt idx="37">
                  <c:v>605.79160527336182</c:v>
                </c:pt>
                <c:pt idx="38">
                  <c:v>585.71165123456785</c:v>
                </c:pt>
                <c:pt idx="39">
                  <c:v>671.76960352422896</c:v>
                </c:pt>
                <c:pt idx="40">
                  <c:v>608.47036339672366</c:v>
                </c:pt>
                <c:pt idx="41" formatCode="0">
                  <c:v>639.76870221976606</c:v>
                </c:pt>
                <c:pt idx="42" formatCode="0">
                  <c:v>702.81454183266931</c:v>
                </c:pt>
                <c:pt idx="43" formatCode="0">
                  <c:v>696.9</c:v>
                </c:pt>
                <c:pt idx="44" formatCode="0">
                  <c:v>654.26578832562598</c:v>
                </c:pt>
                <c:pt idx="45" formatCode="0">
                  <c:v>776.9586608442504</c:v>
                </c:pt>
              </c:numCache>
            </c:numRef>
          </c:val>
          <c:extLst>
            <c:ext xmlns:c16="http://schemas.microsoft.com/office/drawing/2014/chart" uri="{C3380CC4-5D6E-409C-BE32-E72D297353CC}">
              <c16:uniqueId val="{00000004-C8B2-44E8-A2E8-6D496DED2BC4}"/>
            </c:ext>
          </c:extLst>
        </c:ser>
        <c:ser>
          <c:idx val="5"/>
          <c:order val="5"/>
          <c:tx>
            <c:v>Electricity T&amp;D</c:v>
          </c:tx>
          <c:spPr>
            <a:solidFill>
              <a:srgbClr val="006411"/>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1978-2022R'!$E$213:$AX$213</c:f>
              <c:numCache>
                <c:formatCode>0.0</c:formatCode>
                <c:ptCount val="46"/>
                <c:pt idx="25">
                  <c:v>102.59245607568498</c:v>
                </c:pt>
                <c:pt idx="26">
                  <c:v>97.335573691790671</c:v>
                </c:pt>
                <c:pt idx="27">
                  <c:v>113.60726341520196</c:v>
                </c:pt>
                <c:pt idx="28">
                  <c:v>164.48703494926718</c:v>
                </c:pt>
                <c:pt idx="29">
                  <c:v>99.307920465780512</c:v>
                </c:pt>
                <c:pt idx="30">
                  <c:v>106.17493888829844</c:v>
                </c:pt>
                <c:pt idx="31">
                  <c:v>130.7626938602082</c:v>
                </c:pt>
                <c:pt idx="32">
                  <c:v>700.36835982939124</c:v>
                </c:pt>
                <c:pt idx="33">
                  <c:v>162.51929012345681</c:v>
                </c:pt>
                <c:pt idx="34">
                  <c:v>132.25435740279639</c:v>
                </c:pt>
                <c:pt idx="35">
                  <c:v>128.22443984183769</c:v>
                </c:pt>
                <c:pt idx="36">
                  <c:v>119.09367228516165</c:v>
                </c:pt>
                <c:pt idx="37">
                  <c:v>133.28504165157551</c:v>
                </c:pt>
                <c:pt idx="38">
                  <c:v>156.19701003086416</c:v>
                </c:pt>
                <c:pt idx="39">
                  <c:v>222.01915341888525</c:v>
                </c:pt>
                <c:pt idx="40">
                  <c:v>243.26100546036525</c:v>
                </c:pt>
                <c:pt idx="41" formatCode="0">
                  <c:v>270.54379662890295</c:v>
                </c:pt>
                <c:pt idx="42" formatCode="0">
                  <c:v>269.52942774357115</c:v>
                </c:pt>
                <c:pt idx="43" formatCode="0">
                  <c:v>333</c:v>
                </c:pt>
                <c:pt idx="44" formatCode="0">
                  <c:v>349.27561294825932</c:v>
                </c:pt>
                <c:pt idx="45" formatCode="0">
                  <c:v>315.10043668122273</c:v>
                </c:pt>
              </c:numCache>
            </c:numRef>
          </c:val>
          <c:extLst>
            <c:ext xmlns:c16="http://schemas.microsoft.com/office/drawing/2014/chart" uri="{C3380CC4-5D6E-409C-BE32-E72D297353CC}">
              <c16:uniqueId val="{00000005-C8B2-44E8-A2E8-6D496DED2BC4}"/>
            </c:ext>
          </c:extLst>
        </c:ser>
        <c:ser>
          <c:idx val="6"/>
          <c:order val="6"/>
          <c:tx>
            <c:v>Hydrogen EERE</c:v>
          </c:tx>
          <c:spPr>
            <a:solidFill>
              <a:srgbClr val="0066CC"/>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1978-2022R'!$E$210:$AX$210</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15.678188942098387</c:v>
                </c:pt>
                <c:pt idx="17">
                  <c:v>13.954515992672961</c:v>
                </c:pt>
                <c:pt idx="18">
                  <c:v>22.252793141592921</c:v>
                </c:pt>
                <c:pt idx="19">
                  <c:v>22.532359307359307</c:v>
                </c:pt>
                <c:pt idx="20">
                  <c:v>28.642687853487743</c:v>
                </c:pt>
                <c:pt idx="21">
                  <c:v>37.463342217484005</c:v>
                </c:pt>
                <c:pt idx="22">
                  <c:v>35.589071735451114</c:v>
                </c:pt>
                <c:pt idx="23">
                  <c:v>38.052167281047417</c:v>
                </c:pt>
                <c:pt idx="24">
                  <c:v>106.76401054084576</c:v>
                </c:pt>
                <c:pt idx="25">
                  <c:v>127.21071384690993</c:v>
                </c:pt>
                <c:pt idx="26">
                  <c:v>194.77037926068169</c:v>
                </c:pt>
                <c:pt idx="27">
                  <c:v>218.5039227098126</c:v>
                </c:pt>
                <c:pt idx="28">
                  <c:v>194.75636978579482</c:v>
                </c:pt>
                <c:pt idx="29">
                  <c:v>234.2780402065253</c:v>
                </c:pt>
                <c:pt idx="30">
                  <c:v>246.63352109682219</c:v>
                </c:pt>
                <c:pt idx="31">
                  <c:v>196.77165923093264</c:v>
                </c:pt>
                <c:pt idx="32">
                  <c:v>51.404503930316544</c:v>
                </c:pt>
                <c:pt idx="33">
                  <c:v>204.38325853251226</c:v>
                </c:pt>
                <c:pt idx="34">
                  <c:v>110.1147175977939</c:v>
                </c:pt>
                <c:pt idx="35">
                  <c:v>114.00301999999999</c:v>
                </c:pt>
                <c:pt idx="36">
                  <c:v>106.12591790530563</c:v>
                </c:pt>
                <c:pt idx="37">
                  <c:v>101.34709189608375</c:v>
                </c:pt>
                <c:pt idx="38">
                  <c:v>102.90115740740741</c:v>
                </c:pt>
                <c:pt idx="39">
                  <c:v>108.85405094809423</c:v>
                </c:pt>
                <c:pt idx="40">
                  <c:v>107.00941442289587</c:v>
                </c:pt>
                <c:pt idx="41" formatCode="0">
                  <c:v>119.20512112001472</c:v>
                </c:pt>
                <c:pt idx="42" formatCode="0">
                  <c:v>122.28178196305686</c:v>
                </c:pt>
                <c:pt idx="43" formatCode="0">
                  <c:v>150</c:v>
                </c:pt>
                <c:pt idx="44" formatCode="0">
                  <c:v>147.29081232004188</c:v>
                </c:pt>
                <c:pt idx="45" formatCode="0">
                  <c:v>190.31295487627366</c:v>
                </c:pt>
              </c:numCache>
            </c:numRef>
          </c:val>
          <c:extLst>
            <c:ext xmlns:c16="http://schemas.microsoft.com/office/drawing/2014/chart" uri="{C3380CC4-5D6E-409C-BE32-E72D297353CC}">
              <c16:uniqueId val="{00000006-C8B2-44E8-A2E8-6D496DED2BC4}"/>
            </c:ext>
          </c:extLst>
        </c:ser>
        <c:ser>
          <c:idx val="7"/>
          <c:order val="7"/>
          <c:tx>
            <c:v>ARPA-E</c:v>
          </c:tx>
          <c:spPr>
            <a:solidFill>
              <a:srgbClr val="F20884"/>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1978-2022R'!$E$214:$AX$214</c:f>
              <c:numCache>
                <c:formatCode>0.0</c:formatCode>
                <c:ptCount val="46"/>
                <c:pt idx="31">
                  <c:v>10.400446144040789</c:v>
                </c:pt>
                <c:pt idx="32">
                  <c:v>464.91189717442103</c:v>
                </c:pt>
                <c:pt idx="33">
                  <c:v>0</c:v>
                </c:pt>
                <c:pt idx="34">
                  <c:v>206.4363599223777</c:v>
                </c:pt>
                <c:pt idx="35">
                  <c:v>309.48500000000001</c:v>
                </c:pt>
                <c:pt idx="36">
                  <c:v>277.61122157692682</c:v>
                </c:pt>
                <c:pt idx="37">
                  <c:v>305.48129895308256</c:v>
                </c:pt>
                <c:pt idx="38">
                  <c:v>303.91661458333334</c:v>
                </c:pt>
                <c:pt idx="39">
                  <c:v>313.73677456425975</c:v>
                </c:pt>
                <c:pt idx="40">
                  <c:v>323.46509131990206</c:v>
                </c:pt>
                <c:pt idx="41" formatCode="0">
                  <c:v>366.3225200331583</c:v>
                </c:pt>
                <c:pt idx="42" formatCode="0">
                  <c:v>373.06133647229262</c:v>
                </c:pt>
                <c:pt idx="43" formatCode="0">
                  <c:v>425</c:v>
                </c:pt>
                <c:pt idx="44" formatCode="0">
                  <c:v>419.28784573771924</c:v>
                </c:pt>
                <c:pt idx="45" formatCode="0">
                  <c:v>481.80494905385734</c:v>
                </c:pt>
              </c:numCache>
            </c:numRef>
          </c:val>
          <c:extLst>
            <c:ext xmlns:c16="http://schemas.microsoft.com/office/drawing/2014/chart" uri="{C3380CC4-5D6E-409C-BE32-E72D297353CC}">
              <c16:uniqueId val="{00000007-C8B2-44E8-A2E8-6D496DED2BC4}"/>
            </c:ext>
          </c:extLst>
        </c:ser>
        <c:ser>
          <c:idx val="9"/>
          <c:order val="8"/>
          <c:tx>
            <c:strRef>
              <c:f>'Complete Data 1978-2022R'!$BA$215</c:f>
              <c:strCache>
                <c:ptCount val="1"/>
                <c:pt idx="0">
                  <c:v>ARPA-C</c:v>
                </c:pt>
              </c:strCache>
            </c:strRef>
          </c:tx>
          <c:invertIfNegative val="0"/>
          <c:dPt>
            <c:idx val="45"/>
            <c:invertIfNegative val="0"/>
            <c:bubble3D val="0"/>
            <c:spPr>
              <a:ln w="12700">
                <a:solidFill>
                  <a:schemeClr val="tx1"/>
                </a:solidFill>
              </a:ln>
            </c:spPr>
            <c:extLst>
              <c:ext xmlns:c16="http://schemas.microsoft.com/office/drawing/2014/chart" uri="{C3380CC4-5D6E-409C-BE32-E72D297353CC}">
                <c16:uniqueId val="{00000004-B6CE-4E4A-BCD1-739BD06EB2FC}"/>
              </c:ext>
            </c:extLst>
          </c:dPt>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1978-2022R'!$E$215:$AX$215</c:f>
              <c:numCache>
                <c:formatCode>0.0</c:formatCode>
                <c:ptCount val="46"/>
                <c:pt idx="45" formatCode="0">
                  <c:v>192.72197962154294</c:v>
                </c:pt>
              </c:numCache>
            </c:numRef>
          </c:val>
          <c:extLst>
            <c:ext xmlns:c16="http://schemas.microsoft.com/office/drawing/2014/chart" uri="{C3380CC4-5D6E-409C-BE32-E72D297353CC}">
              <c16:uniqueId val="{00000003-B6CE-4E4A-BCD1-739BD06EB2FC}"/>
            </c:ext>
          </c:extLst>
        </c:ser>
        <c:ser>
          <c:idx val="10"/>
          <c:order val="9"/>
          <c:tx>
            <c:strRef>
              <c:f>'Complete Data 1978-2022R'!$BA$216</c:f>
              <c:strCache>
                <c:ptCount val="1"/>
                <c:pt idx="0">
                  <c:v>OCDE</c:v>
                </c:pt>
              </c:strCache>
            </c:strRef>
          </c:tx>
          <c:invertIfNegative val="0"/>
          <c:dPt>
            <c:idx val="45"/>
            <c:invertIfNegative val="0"/>
            <c:bubble3D val="0"/>
            <c:spPr>
              <a:ln w="12700">
                <a:solidFill>
                  <a:schemeClr val="tx1"/>
                </a:solidFill>
              </a:ln>
            </c:spPr>
            <c:extLst>
              <c:ext xmlns:c16="http://schemas.microsoft.com/office/drawing/2014/chart" uri="{C3380CC4-5D6E-409C-BE32-E72D297353CC}">
                <c16:uniqueId val="{00000006-B6CE-4E4A-BCD1-739BD06EB2FC}"/>
              </c:ext>
            </c:extLst>
          </c:dPt>
          <c:val>
            <c:numRef>
              <c:f>'Complete Data 1978-2022R'!$E$216:$AX$216</c:f>
              <c:numCache>
                <c:formatCode>0.0</c:formatCode>
                <c:ptCount val="46"/>
                <c:pt idx="45" formatCode="0">
                  <c:v>385.44395924308589</c:v>
                </c:pt>
              </c:numCache>
            </c:numRef>
          </c:val>
          <c:extLst>
            <c:ext xmlns:c16="http://schemas.microsoft.com/office/drawing/2014/chart" uri="{C3380CC4-5D6E-409C-BE32-E72D297353CC}">
              <c16:uniqueId val="{00000005-B6CE-4E4A-BCD1-739BD06EB2FC}"/>
            </c:ext>
          </c:extLst>
        </c:ser>
        <c:dLbls>
          <c:showLegendKey val="0"/>
          <c:showVal val="0"/>
          <c:showCatName val="0"/>
          <c:showSerName val="0"/>
          <c:showPercent val="0"/>
          <c:showBubbleSize val="0"/>
        </c:dLbls>
        <c:gapWidth val="100"/>
        <c:overlap val="100"/>
        <c:axId val="2125830760"/>
        <c:axId val="2125733272"/>
        <c:extLst/>
      </c:barChart>
      <c:catAx>
        <c:axId val="2125830760"/>
        <c:scaling>
          <c:orientation val="minMax"/>
        </c:scaling>
        <c:delete val="0"/>
        <c:axPos val="b"/>
        <c:numFmt formatCode="0" sourceLinked="0"/>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2125733272"/>
        <c:crosses val="autoZero"/>
        <c:auto val="1"/>
        <c:lblAlgn val="ctr"/>
        <c:lblOffset val="100"/>
        <c:tickLblSkip val="1"/>
        <c:tickMarkSkip val="1"/>
        <c:noMultiLvlLbl val="0"/>
      </c:catAx>
      <c:valAx>
        <c:axId val="2125733272"/>
        <c:scaling>
          <c:orientation val="minMax"/>
        </c:scaling>
        <c:delete val="0"/>
        <c:axPos val="l"/>
        <c:majorGridlines>
          <c:spPr>
            <a:ln w="3175">
              <a:solidFill>
                <a:srgbClr val="80808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1.4428374494731199E-2"/>
              <c:y val="0.417618196197091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25830760"/>
        <c:crosses val="autoZero"/>
        <c:crossBetween val="between"/>
      </c:valAx>
      <c:spPr>
        <a:solidFill>
          <a:srgbClr val="FFFFFF"/>
        </a:solidFill>
        <a:ln w="12700">
          <a:solidFill>
            <a:srgbClr val="808080"/>
          </a:solidFill>
          <a:prstDash val="solid"/>
        </a:ln>
      </c:spPr>
    </c:plotArea>
    <c:legend>
      <c:legendPos val="b"/>
      <c:layout>
        <c:manualLayout>
          <c:xMode val="edge"/>
          <c:yMode val="edge"/>
          <c:x val="8.2435022960736806E-5"/>
          <c:y val="0.79915852227014295"/>
          <c:w val="0.7796314691432803"/>
          <c:h val="0.11099690810899947"/>
        </c:manualLayout>
      </c:layout>
      <c:overlay val="0"/>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Composition of DOE Fossil Energy RD&amp;D Spending 
(FY1978-FY2022 Request)</a:t>
            </a:r>
          </a:p>
        </c:rich>
      </c:tx>
      <c:layout>
        <c:manualLayout>
          <c:xMode val="edge"/>
          <c:yMode val="edge"/>
          <c:x val="0.209766929133858"/>
          <c:y val="1.9575935361021E-2"/>
        </c:manualLayout>
      </c:layout>
      <c:overlay val="0"/>
      <c:spPr>
        <a:noFill/>
        <a:ln w="25400">
          <a:noFill/>
        </a:ln>
      </c:spPr>
    </c:title>
    <c:autoTitleDeleted val="0"/>
    <c:plotArea>
      <c:layout>
        <c:manualLayout>
          <c:layoutTarget val="inner"/>
          <c:xMode val="edge"/>
          <c:yMode val="edge"/>
          <c:x val="8.8790233074361805E-2"/>
          <c:y val="0.17944535073409501"/>
          <c:w val="0.73695893451720296"/>
          <c:h val="0.61524622953928298"/>
        </c:manualLayout>
      </c:layout>
      <c:barChart>
        <c:barDir val="col"/>
        <c:grouping val="stacked"/>
        <c:varyColors val="0"/>
        <c:ser>
          <c:idx val="0"/>
          <c:order val="0"/>
          <c:tx>
            <c:v>Coal R&amp;D</c:v>
          </c:tx>
          <c:spPr>
            <a:solidFill>
              <a:srgbClr val="9999FF"/>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1978-2022R'!$E$230:$AX$230</c:f>
              <c:numCache>
                <c:formatCode>0.0</c:formatCode>
                <c:ptCount val="46"/>
                <c:pt idx="0">
                  <c:v>2233.2603689567427</c:v>
                </c:pt>
                <c:pt idx="1">
                  <c:v>2178.4904205607477</c:v>
                </c:pt>
                <c:pt idx="2">
                  <c:v>2168.3956119481886</c:v>
                </c:pt>
                <c:pt idx="3">
                  <c:v>1866.8368521160251</c:v>
                </c:pt>
                <c:pt idx="4">
                  <c:v>1163.9922566371681</c:v>
                </c:pt>
                <c:pt idx="5">
                  <c:v>485.05759427006524</c:v>
                </c:pt>
                <c:pt idx="6">
                  <c:v>445.99436733051698</c:v>
                </c:pt>
                <c:pt idx="7">
                  <c:v>459.33801941747566</c:v>
                </c:pt>
                <c:pt idx="8">
                  <c:v>453.75580068467093</c:v>
                </c:pt>
                <c:pt idx="9">
                  <c:v>361.76524614254225</c:v>
                </c:pt>
                <c:pt idx="10">
                  <c:v>400.84651080410907</c:v>
                </c:pt>
                <c:pt idx="11">
                  <c:v>414.01520627344013</c:v>
                </c:pt>
                <c:pt idx="12">
                  <c:v>446.29870086608923</c:v>
                </c:pt>
                <c:pt idx="13">
                  <c:v>444.7159698862726</c:v>
                </c:pt>
                <c:pt idx="14">
                  <c:v>387.6186870229007</c:v>
                </c:pt>
                <c:pt idx="15">
                  <c:v>309.55561789458142</c:v>
                </c:pt>
                <c:pt idx="16">
                  <c:v>270.93870265563777</c:v>
                </c:pt>
                <c:pt idx="17">
                  <c:v>229.13949556150487</c:v>
                </c:pt>
                <c:pt idx="18">
                  <c:v>186.11426991150441</c:v>
                </c:pt>
                <c:pt idx="19">
                  <c:v>153.61588203463202</c:v>
                </c:pt>
                <c:pt idx="20">
                  <c:v>159.58068946943172</c:v>
                </c:pt>
                <c:pt idx="21">
                  <c:v>180.83786247334754</c:v>
                </c:pt>
                <c:pt idx="22">
                  <c:v>177.57906522588206</c:v>
                </c:pt>
                <c:pt idx="23">
                  <c:v>383.81189780094064</c:v>
                </c:pt>
                <c:pt idx="24">
                  <c:v>470.27004642991591</c:v>
                </c:pt>
                <c:pt idx="25">
                  <c:v>468.190735962649</c:v>
                </c:pt>
                <c:pt idx="26">
                  <c:v>432.22275564090251</c:v>
                </c:pt>
                <c:pt idx="27">
                  <c:v>366.53116051681997</c:v>
                </c:pt>
                <c:pt idx="28">
                  <c:v>361.07323449830898</c:v>
                </c:pt>
                <c:pt idx="29">
                  <c:v>327.12384928045691</c:v>
                </c:pt>
                <c:pt idx="30">
                  <c:v>349.25794452120311</c:v>
                </c:pt>
                <c:pt idx="31">
                  <c:v>640.16539196940721</c:v>
                </c:pt>
                <c:pt idx="32">
                  <c:v>980.27193541533882</c:v>
                </c:pt>
                <c:pt idx="33">
                  <c:v>286.01910030268238</c:v>
                </c:pt>
                <c:pt idx="34">
                  <c:v>288.93274313144724</c:v>
                </c:pt>
                <c:pt idx="35">
                  <c:v>202.68454</c:v>
                </c:pt>
                <c:pt idx="36">
                  <c:v>189.76377596220101</c:v>
                </c:pt>
                <c:pt idx="37">
                  <c:v>208.80337340054282</c:v>
                </c:pt>
                <c:pt idx="38">
                  <c:v>214.26886574074075</c:v>
                </c:pt>
                <c:pt idx="39">
                  <c:v>224.17467918023365</c:v>
                </c:pt>
                <c:pt idx="40">
                  <c:v>215.60807757484463</c:v>
                </c:pt>
                <c:pt idx="41">
                  <c:v>231.56890485401121</c:v>
                </c:pt>
                <c:pt idx="42">
                  <c:v>293.27247374139802</c:v>
                </c:pt>
                <c:pt idx="43">
                  <c:v>273</c:v>
                </c:pt>
                <c:pt idx="44">
                  <c:v>214.55361661286102</c:v>
                </c:pt>
                <c:pt idx="45">
                  <c:v>114.18777292576419</c:v>
                </c:pt>
              </c:numCache>
            </c:numRef>
          </c:val>
          <c:extLst>
            <c:ext xmlns:c16="http://schemas.microsoft.com/office/drawing/2014/chart" uri="{C3380CC4-5D6E-409C-BE32-E72D297353CC}">
              <c16:uniqueId val="{00000000-87E9-44CB-9F8C-26E5D16EA696}"/>
            </c:ext>
          </c:extLst>
        </c:ser>
        <c:ser>
          <c:idx val="1"/>
          <c:order val="1"/>
          <c:tx>
            <c:v>Petroleum</c:v>
          </c:tx>
          <c:spPr>
            <a:solidFill>
              <a:srgbClr val="DD0806"/>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1978-2022R'!$E$233:$AX$233</c:f>
              <c:numCache>
                <c:formatCode>0.0</c:formatCode>
                <c:ptCount val="46"/>
                <c:pt idx="0">
                  <c:v>281.70795165394401</c:v>
                </c:pt>
                <c:pt idx="1">
                  <c:v>331.63802570093458</c:v>
                </c:pt>
                <c:pt idx="2">
                  <c:v>183.55056833201161</c:v>
                </c:pt>
                <c:pt idx="3">
                  <c:v>154.65553970518309</c:v>
                </c:pt>
                <c:pt idx="4">
                  <c:v>98.099026548672555</c:v>
                </c:pt>
                <c:pt idx="5">
                  <c:v>56.187023383189377</c:v>
                </c:pt>
                <c:pt idx="6">
                  <c:v>68.370710118688393</c:v>
                </c:pt>
                <c:pt idx="7">
                  <c:v>69.272194174757274</c:v>
                </c:pt>
                <c:pt idx="8">
                  <c:v>62.284404716622291</c:v>
                </c:pt>
                <c:pt idx="9">
                  <c:v>53.541256429096251</c:v>
                </c:pt>
                <c:pt idx="10">
                  <c:v>58.801452355650014</c:v>
                </c:pt>
                <c:pt idx="11">
                  <c:v>73.479065802932141</c:v>
                </c:pt>
                <c:pt idx="12">
                  <c:v>73.102265156562282</c:v>
                </c:pt>
                <c:pt idx="13">
                  <c:v>106.717411500881</c:v>
                </c:pt>
                <c:pt idx="14">
                  <c:v>97.076488549618304</c:v>
                </c:pt>
                <c:pt idx="15">
                  <c:v>102.35440720507899</c:v>
                </c:pt>
                <c:pt idx="16">
                  <c:v>121.34264983311564</c:v>
                </c:pt>
                <c:pt idx="17">
                  <c:v>119.24768211920531</c:v>
                </c:pt>
                <c:pt idx="18">
                  <c:v>85.432051991150445</c:v>
                </c:pt>
                <c:pt idx="19">
                  <c:v>68.815043290043292</c:v>
                </c:pt>
                <c:pt idx="20">
                  <c:v>72.288688392135739</c:v>
                </c:pt>
                <c:pt idx="21">
                  <c:v>70.937393390191886</c:v>
                </c:pt>
                <c:pt idx="22">
                  <c:v>81.610180966020053</c:v>
                </c:pt>
                <c:pt idx="23">
                  <c:v>93.127672556247603</c:v>
                </c:pt>
                <c:pt idx="24">
                  <c:v>79.366896724808626</c:v>
                </c:pt>
                <c:pt idx="25">
                  <c:v>56.664076667895309</c:v>
                </c:pt>
                <c:pt idx="26">
                  <c:v>45.92366778684589</c:v>
                </c:pt>
                <c:pt idx="27">
                  <c:v>43.229193341869397</c:v>
                </c:pt>
                <c:pt idx="28">
                  <c:v>40.220045095828638</c:v>
                </c:pt>
                <c:pt idx="29">
                  <c:v>3.2143688893771283</c:v>
                </c:pt>
                <c:pt idx="30">
                  <c:v>5.8608353703900526</c:v>
                </c:pt>
                <c:pt idx="31">
                  <c:v>5.8577225408965372</c:v>
                </c:pt>
                <c:pt idx="32">
                  <c:v>0</c:v>
                </c:pt>
                <c:pt idx="33">
                  <c:v>0</c:v>
                </c:pt>
                <c:pt idx="34">
                  <c:v>0</c:v>
                </c:pt>
                <c:pt idx="35">
                  <c:v>0</c:v>
                </c:pt>
                <c:pt idx="36">
                  <c:v>5.0958165173737564</c:v>
                </c:pt>
                <c:pt idx="37">
                  <c:v>16.363900736719657</c:v>
                </c:pt>
                <c:pt idx="38">
                  <c:v>4.7760030864197534</c:v>
                </c:pt>
                <c:pt idx="39">
                  <c:v>21.878586477686266</c:v>
                </c:pt>
                <c:pt idx="40">
                  <c:v>22.249482206740726</c:v>
                </c:pt>
                <c:pt idx="41">
                  <c:v>41.462650824352949</c:v>
                </c:pt>
                <c:pt idx="42">
                  <c:v>46.874683085838463</c:v>
                </c:pt>
                <c:pt idx="43">
                  <c:v>46</c:v>
                </c:pt>
                <c:pt idx="44">
                  <c:v>45.169182444812847</c:v>
                </c:pt>
                <c:pt idx="45">
                  <c:v>0</c:v>
                </c:pt>
              </c:numCache>
            </c:numRef>
          </c:val>
          <c:extLst>
            <c:ext xmlns:c16="http://schemas.microsoft.com/office/drawing/2014/chart" uri="{C3380CC4-5D6E-409C-BE32-E72D297353CC}">
              <c16:uniqueId val="{00000001-87E9-44CB-9F8C-26E5D16EA696}"/>
            </c:ext>
          </c:extLst>
        </c:ser>
        <c:ser>
          <c:idx val="2"/>
          <c:order val="2"/>
          <c:tx>
            <c:v>Gas</c:v>
          </c:tx>
          <c:spPr>
            <a:solidFill>
              <a:srgbClr val="FCF305"/>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1978-2022R'!$E$234:$AX$234</c:f>
              <c:numCache>
                <c:formatCode>0.0</c:formatCode>
                <c:ptCount val="46"/>
                <c:pt idx="0">
                  <c:v>98.078753180661565</c:v>
                </c:pt>
                <c:pt idx="1">
                  <c:v>111.09380841121495</c:v>
                </c:pt>
                <c:pt idx="2">
                  <c:v>91.329051017710796</c:v>
                </c:pt>
                <c:pt idx="3">
                  <c:v>82.946742748454596</c:v>
                </c:pt>
                <c:pt idx="4">
                  <c:v>29.130929203539818</c:v>
                </c:pt>
                <c:pt idx="5">
                  <c:v>32.479418580155887</c:v>
                </c:pt>
                <c:pt idx="6">
                  <c:v>34.864534298933819</c:v>
                </c:pt>
                <c:pt idx="7">
                  <c:v>22.070951456310677</c:v>
                </c:pt>
                <c:pt idx="8">
                  <c:v>18.193039178394827</c:v>
                </c:pt>
                <c:pt idx="9">
                  <c:v>16.537839823659073</c:v>
                </c:pt>
                <c:pt idx="10">
                  <c:v>20.929330499468648</c:v>
                </c:pt>
                <c:pt idx="11">
                  <c:v>21.871053528810091</c:v>
                </c:pt>
                <c:pt idx="12">
                  <c:v>26.991605596269153</c:v>
                </c:pt>
                <c:pt idx="13">
                  <c:v>28.662277751081213</c:v>
                </c:pt>
                <c:pt idx="14">
                  <c:v>21.305282442748091</c:v>
                </c:pt>
                <c:pt idx="15">
                  <c:v>48.186328067326144</c:v>
                </c:pt>
                <c:pt idx="16">
                  <c:v>71.36842258017704</c:v>
                </c:pt>
                <c:pt idx="17">
                  <c:v>99.108778357052273</c:v>
                </c:pt>
                <c:pt idx="18">
                  <c:v>91.189767699115052</c:v>
                </c:pt>
                <c:pt idx="19">
                  <c:v>104.28828463203463</c:v>
                </c:pt>
                <c:pt idx="20">
                  <c:v>105.02318879612173</c:v>
                </c:pt>
                <c:pt idx="21">
                  <c:v>103.93152985074626</c:v>
                </c:pt>
                <c:pt idx="22">
                  <c:v>108.27634422601224</c:v>
                </c:pt>
                <c:pt idx="23">
                  <c:v>62.800381339773736</c:v>
                </c:pt>
                <c:pt idx="24">
                  <c:v>62.279006148826703</c:v>
                </c:pt>
                <c:pt idx="25">
                  <c:v>63.467084408403977</c:v>
                </c:pt>
                <c:pt idx="26">
                  <c:v>56.729236677868457</c:v>
                </c:pt>
                <c:pt idx="27">
                  <c:v>57.114934233500179</c:v>
                </c:pt>
                <c:pt idx="28">
                  <c:v>41.488816234498316</c:v>
                </c:pt>
                <c:pt idx="29">
                  <c:v>14.464660002197077</c:v>
                </c:pt>
                <c:pt idx="30">
                  <c:v>23.084514826230208</c:v>
                </c:pt>
                <c:pt idx="31">
                  <c:v>23.191799447631183</c:v>
                </c:pt>
                <c:pt idx="32">
                  <c:v>0</c:v>
                </c:pt>
                <c:pt idx="33">
                  <c:v>43.34334620603277</c:v>
                </c:pt>
                <c:pt idx="34">
                  <c:v>0</c:v>
                </c:pt>
                <c:pt idx="35">
                  <c:v>21.9453</c:v>
                </c:pt>
                <c:pt idx="36">
                  <c:v>15.398228172064179</c:v>
                </c:pt>
                <c:pt idx="37">
                  <c:v>22.473090345094999</c:v>
                </c:pt>
                <c:pt idx="38">
                  <c:v>26.376562500000002</c:v>
                </c:pt>
                <c:pt idx="39">
                  <c:v>46.343803868990612</c:v>
                </c:pt>
                <c:pt idx="40">
                  <c:v>45.558463566183391</c:v>
                </c:pt>
                <c:pt idx="41">
                  <c:v>51.828313530441179</c:v>
                </c:pt>
                <c:pt idx="42">
                  <c:v>51.96975733429916</c:v>
                </c:pt>
                <c:pt idx="43">
                  <c:v>51</c:v>
                </c:pt>
                <c:pt idx="44">
                  <c:v>55.970508681615918</c:v>
                </c:pt>
                <c:pt idx="45">
                  <c:v>125.26928675400292</c:v>
                </c:pt>
              </c:numCache>
            </c:numRef>
          </c:val>
          <c:extLst>
            <c:ext xmlns:c16="http://schemas.microsoft.com/office/drawing/2014/chart" uri="{C3380CC4-5D6E-409C-BE32-E72D297353CC}">
              <c16:uniqueId val="{00000002-87E9-44CB-9F8C-26E5D16EA696}"/>
            </c:ext>
          </c:extLst>
        </c:ser>
        <c:ser>
          <c:idx val="5"/>
          <c:order val="3"/>
          <c:tx>
            <c:v>Plant &amp; Capital Equip.</c:v>
          </c:tx>
          <c:spPr>
            <a:solidFill>
              <a:srgbClr val="FF8080"/>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1978-2022R'!$E$237:$AX$237</c:f>
              <c:numCache>
                <c:formatCode>0.0</c:formatCode>
                <c:ptCount val="46"/>
                <c:pt idx="0">
                  <c:v>0</c:v>
                </c:pt>
                <c:pt idx="1">
                  <c:v>0</c:v>
                </c:pt>
                <c:pt idx="2">
                  <c:v>0</c:v>
                </c:pt>
                <c:pt idx="3">
                  <c:v>0</c:v>
                </c:pt>
                <c:pt idx="4">
                  <c:v>0</c:v>
                </c:pt>
                <c:pt idx="5">
                  <c:v>0</c:v>
                </c:pt>
                <c:pt idx="6">
                  <c:v>0.33958961979480989</c:v>
                </c:pt>
                <c:pt idx="7">
                  <c:v>20.3227572815534</c:v>
                </c:pt>
                <c:pt idx="8">
                  <c:v>13.270216812476226</c:v>
                </c:pt>
                <c:pt idx="9">
                  <c:v>7.0285819250551063</c:v>
                </c:pt>
                <c:pt idx="10">
                  <c:v>36.277506199078992</c:v>
                </c:pt>
                <c:pt idx="11">
                  <c:v>41.8235935901807</c:v>
                </c:pt>
                <c:pt idx="12">
                  <c:v>22.493004663557628</c:v>
                </c:pt>
                <c:pt idx="13">
                  <c:v>28.482011853275672</c:v>
                </c:pt>
                <c:pt idx="14">
                  <c:v>17.868946564885494</c:v>
                </c:pt>
                <c:pt idx="15">
                  <c:v>7.4771888380333671</c:v>
                </c:pt>
                <c:pt idx="16">
                  <c:v>6.2059497895806119</c:v>
                </c:pt>
                <c:pt idx="17">
                  <c:v>7.9287022685641819</c:v>
                </c:pt>
                <c:pt idx="18">
                  <c:v>6.2245575221238933</c:v>
                </c:pt>
                <c:pt idx="19">
                  <c:v>3.0449134199134198</c:v>
                </c:pt>
                <c:pt idx="20">
                  <c:v>3.7887153245354162</c:v>
                </c:pt>
                <c:pt idx="21">
                  <c:v>3.8993070362473348</c:v>
                </c:pt>
                <c:pt idx="22">
                  <c:v>3.8094518942845985</c:v>
                </c:pt>
                <c:pt idx="23">
                  <c:v>5.5790771577475526</c:v>
                </c:pt>
                <c:pt idx="24">
                  <c:v>19.065001882293888</c:v>
                </c:pt>
                <c:pt idx="25">
                  <c:v>9.60993979604374</c:v>
                </c:pt>
                <c:pt idx="26">
                  <c:v>9.3198031685069616</c:v>
                </c:pt>
                <c:pt idx="27">
                  <c:v>9.0388313351181466</c:v>
                </c:pt>
                <c:pt idx="28">
                  <c:v>25.121668545659528</c:v>
                </c:pt>
                <c:pt idx="29">
                  <c:v>14.83554872020213</c:v>
                </c:pt>
                <c:pt idx="30">
                  <c:v>15.429546179190138</c:v>
                </c:pt>
                <c:pt idx="31">
                  <c:v>21.51816443594646</c:v>
                </c:pt>
                <c:pt idx="32">
                  <c:v>0</c:v>
                </c:pt>
                <c:pt idx="33">
                  <c:v>23.492328566955432</c:v>
                </c:pt>
                <c:pt idx="34">
                  <c:v>22.988458788683484</c:v>
                </c:pt>
                <c:pt idx="35">
                  <c:v>18.90672</c:v>
                </c:pt>
                <c:pt idx="36">
                  <c:v>17.724579190865242</c:v>
                </c:pt>
                <c:pt idx="37">
                  <c:v>17.454827452500968</c:v>
                </c:pt>
                <c:pt idx="38">
                  <c:v>17.150192901234568</c:v>
                </c:pt>
                <c:pt idx="39">
                  <c:v>17.028653514652365</c:v>
                </c:pt>
                <c:pt idx="40">
                  <c:v>42.909715684428541</c:v>
                </c:pt>
                <c:pt idx="41">
                  <c:v>46.645482177397064</c:v>
                </c:pt>
                <c:pt idx="42">
                  <c:v>45.855668236146322</c:v>
                </c:pt>
                <c:pt idx="43">
                  <c:v>50</c:v>
                </c:pt>
                <c:pt idx="44">
                  <c:v>54.006631184015362</c:v>
                </c:pt>
                <c:pt idx="45">
                  <c:v>75.161572052401752</c:v>
                </c:pt>
              </c:numCache>
            </c:numRef>
          </c:val>
          <c:extLst>
            <c:ext xmlns:c16="http://schemas.microsoft.com/office/drawing/2014/chart" uri="{C3380CC4-5D6E-409C-BE32-E72D297353CC}">
              <c16:uniqueId val="{00000003-87E9-44CB-9F8C-26E5D16EA696}"/>
            </c:ext>
          </c:extLst>
        </c:ser>
        <c:ser>
          <c:idx val="6"/>
          <c:order val="4"/>
          <c:tx>
            <c:v>Cooperative R&amp;D</c:v>
          </c:tx>
          <c:spPr>
            <a:solidFill>
              <a:srgbClr val="0066CC"/>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1978-2022R'!$E$238:$AX$238</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7.612283549783549</c:v>
                </c:pt>
                <c:pt idx="20">
                  <c:v>7.5774306490708323</c:v>
                </c:pt>
                <c:pt idx="21">
                  <c:v>7.4986673773987205</c:v>
                </c:pt>
                <c:pt idx="22">
                  <c:v>7.3258690274703815</c:v>
                </c:pt>
                <c:pt idx="23">
                  <c:v>7.4387695436634038</c:v>
                </c:pt>
                <c:pt idx="24">
                  <c:v>7.3435562805872756</c:v>
                </c:pt>
                <c:pt idx="25">
                  <c:v>8.2963509030593432</c:v>
                </c:pt>
                <c:pt idx="26">
                  <c:v>13.371891502640421</c:v>
                </c:pt>
                <c:pt idx="27">
                  <c:v>12.96875800256082</c:v>
                </c:pt>
                <c:pt idx="28">
                  <c:v>10.150169109357384</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87E9-44CB-9F8C-26E5D16EA696}"/>
            </c:ext>
          </c:extLst>
        </c:ser>
        <c:ser>
          <c:idx val="7"/>
          <c:order val="5"/>
          <c:tx>
            <c:v>Alaska Gas Pipeline</c:v>
          </c:tx>
          <c:spPr>
            <a:solidFill>
              <a:srgbClr val="CCCCFF"/>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1978-2022R'!$E$239:$AX$239</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8.6223184543637554</c:v>
                </c:pt>
                <c:pt idx="13">
                  <c:v>21.451641838859523</c:v>
                </c:pt>
                <c:pt idx="14">
                  <c:v>18.38439694656488</c:v>
                </c:pt>
                <c:pt idx="15">
                  <c:v>16.449815443673408</c:v>
                </c:pt>
                <c:pt idx="16">
                  <c:v>15.678188942098387</c:v>
                </c:pt>
                <c:pt idx="17">
                  <c:v>14.113090038044245</c:v>
                </c:pt>
                <c:pt idx="18">
                  <c:v>9.6480641592920353</c:v>
                </c:pt>
                <c:pt idx="19">
                  <c:v>8.221266233766233</c:v>
                </c:pt>
                <c:pt idx="20">
                  <c:v>8.6382709399407496</c:v>
                </c:pt>
                <c:pt idx="21">
                  <c:v>10.048214285714286</c:v>
                </c:pt>
                <c:pt idx="22">
                  <c:v>10.549251399557349</c:v>
                </c:pt>
                <c:pt idx="23">
                  <c:v>11.301207575950171</c:v>
                </c:pt>
                <c:pt idx="24">
                  <c:v>11.297778893211193</c:v>
                </c:pt>
                <c:pt idx="25">
                  <c:v>11.061801204079124</c:v>
                </c:pt>
                <c:pt idx="26">
                  <c:v>10.940638502160345</c:v>
                </c:pt>
                <c:pt idx="27">
                  <c:v>10.610802002095216</c:v>
                </c:pt>
                <c:pt idx="28">
                  <c:v>7.3588726042841035</c:v>
                </c:pt>
                <c:pt idx="29">
                  <c:v>0</c:v>
                </c:pt>
                <c:pt idx="30">
                  <c:v>5.741226485280051</c:v>
                </c:pt>
                <c:pt idx="31">
                  <c:v>5.8577225408965372</c:v>
                </c:pt>
                <c:pt idx="32">
                  <c:v>0</c:v>
                </c:pt>
                <c:pt idx="33">
                  <c:v>5.8730821417388581</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87E9-44CB-9F8C-26E5D16EA696}"/>
            </c:ext>
          </c:extLst>
        </c:ser>
        <c:ser>
          <c:idx val="8"/>
          <c:order val="6"/>
          <c:tx>
            <c:v>Feasibility Studies</c:v>
          </c:tx>
          <c:spPr>
            <a:solidFill>
              <a:srgbClr val="000080"/>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1978-2022R'!$E$240:$AX$240</c:f>
              <c:numCache>
                <c:formatCode>0.0</c:formatCode>
                <c:ptCount val="46"/>
                <c:pt idx="0">
                  <c:v>0</c:v>
                </c:pt>
                <c:pt idx="1">
                  <c:v>0</c:v>
                </c:pt>
                <c:pt idx="2">
                  <c:v>0</c:v>
                </c:pt>
                <c:pt idx="3">
                  <c:v>0</c:v>
                </c:pt>
                <c:pt idx="4">
                  <c:v>0</c:v>
                </c:pt>
                <c:pt idx="5">
                  <c:v>0</c:v>
                </c:pt>
                <c:pt idx="6">
                  <c:v>0</c:v>
                </c:pt>
                <c:pt idx="7">
                  <c:v>3.0593398058252426</c:v>
                </c:pt>
                <c:pt idx="8">
                  <c:v>1.0701787751996956</c:v>
                </c:pt>
                <c:pt idx="9">
                  <c:v>0.41344599559147688</c:v>
                </c:pt>
                <c:pt idx="10">
                  <c:v>0.39865391427559332</c:v>
                </c:pt>
                <c:pt idx="11">
                  <c:v>0.38370269348789632</c:v>
                </c:pt>
                <c:pt idx="12">
                  <c:v>0.37488341105929379</c:v>
                </c:pt>
                <c:pt idx="13">
                  <c:v>0.54079769341662665</c:v>
                </c:pt>
                <c:pt idx="14">
                  <c:v>0.34363358778625952</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6-87E9-44CB-9F8C-26E5D16EA696}"/>
            </c:ext>
          </c:extLst>
        </c:ser>
        <c:ser>
          <c:idx val="9"/>
          <c:order val="7"/>
          <c:tx>
            <c:v>Clean Coal Tech</c:v>
          </c:tx>
          <c:spPr>
            <a:solidFill>
              <a:srgbClr val="FF9900"/>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1978-2022R'!$E$241:$AX$241</c:f>
              <c:numCache>
                <c:formatCode>0.0</c:formatCode>
                <c:ptCount val="46"/>
                <c:pt idx="0">
                  <c:v>0</c:v>
                </c:pt>
                <c:pt idx="1">
                  <c:v>0</c:v>
                </c:pt>
                <c:pt idx="2">
                  <c:v>0</c:v>
                </c:pt>
                <c:pt idx="3">
                  <c:v>7.4919638611507375</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7-87E9-44CB-9F8C-26E5D16EA696}"/>
            </c:ext>
          </c:extLst>
        </c:ser>
        <c:ser>
          <c:idx val="10"/>
          <c:order val="8"/>
          <c:tx>
            <c:v>FutureGen</c:v>
          </c:tx>
          <c:spPr>
            <a:solidFill>
              <a:srgbClr val="1FB714"/>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1978-2022R'!$E$231:$AX$231</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11.615986557849254</c:v>
                </c:pt>
                <c:pt idx="27">
                  <c:v>22.662577115586078</c:v>
                </c:pt>
                <c:pt idx="28">
                  <c:v>21.949740698985345</c:v>
                </c:pt>
                <c:pt idx="29">
                  <c:v>64.905525650884314</c:v>
                </c:pt>
                <c:pt idx="30">
                  <c:v>86.47722393453077</c:v>
                </c:pt>
                <c:pt idx="31">
                  <c:v>0</c:v>
                </c:pt>
                <c:pt idx="32">
                  <c:v>1195.4535797748035</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8-87E9-44CB-9F8C-26E5D16EA696}"/>
            </c:ext>
          </c:extLst>
        </c:ser>
        <c:ser>
          <c:idx val="11"/>
          <c:order val="9"/>
          <c:tx>
            <c:v>Carbon Sequestration and Utilization</c:v>
          </c:tx>
          <c:spPr>
            <a:solidFill>
              <a:srgbClr val="00FFFF"/>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1978-2022R'!$E$232:$AX$232</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53.217426788286119</c:v>
                </c:pt>
                <c:pt idx="27">
                  <c:v>59.472890233965778</c:v>
                </c:pt>
                <c:pt idx="28">
                  <c:v>82.089492671927857</c:v>
                </c:pt>
                <c:pt idx="29">
                  <c:v>120.2915742063056</c:v>
                </c:pt>
                <c:pt idx="30">
                  <c:v>138.26787118716123</c:v>
                </c:pt>
                <c:pt idx="31">
                  <c:v>174.29713193116635</c:v>
                </c:pt>
                <c:pt idx="32">
                  <c:v>1875.1884852347566</c:v>
                </c:pt>
                <c:pt idx="33">
                  <c:v>176.19246425216573</c:v>
                </c:pt>
                <c:pt idx="34">
                  <c:v>158.98358329077726</c:v>
                </c:pt>
                <c:pt idx="35">
                  <c:v>201.67167999999998</c:v>
                </c:pt>
                <c:pt idx="36">
                  <c:v>199.84463037700561</c:v>
                </c:pt>
                <c:pt idx="37">
                  <c:v>219.05808452888715</c:v>
                </c:pt>
                <c:pt idx="38">
                  <c:v>208.40740740740742</c:v>
                </c:pt>
                <c:pt idx="39">
                  <c:v>239.26335950967245</c:v>
                </c:pt>
                <c:pt idx="40">
                  <c:v>233.40766334023724</c:v>
                </c:pt>
                <c:pt idx="41">
                  <c:v>206.06937459703414</c:v>
                </c:pt>
                <c:pt idx="42">
                  <c:v>202.58015211879754</c:v>
                </c:pt>
                <c:pt idx="43">
                  <c:v>217.8</c:v>
                </c:pt>
                <c:pt idx="44">
                  <c:v>224.17661635110377</c:v>
                </c:pt>
                <c:pt idx="45">
                  <c:v>293.90101892285298</c:v>
                </c:pt>
              </c:numCache>
            </c:numRef>
          </c:val>
          <c:extLst>
            <c:ext xmlns:c16="http://schemas.microsoft.com/office/drawing/2014/chart" uri="{C3380CC4-5D6E-409C-BE32-E72D297353CC}">
              <c16:uniqueId val="{00000009-87E9-44CB-9F8C-26E5D16EA696}"/>
            </c:ext>
          </c:extLst>
        </c:ser>
        <c:dLbls>
          <c:showLegendKey val="0"/>
          <c:showVal val="0"/>
          <c:showCatName val="0"/>
          <c:showSerName val="0"/>
          <c:showPercent val="0"/>
          <c:showBubbleSize val="0"/>
        </c:dLbls>
        <c:gapWidth val="100"/>
        <c:overlap val="100"/>
        <c:axId val="2046279736"/>
        <c:axId val="2046265704"/>
      </c:barChart>
      <c:catAx>
        <c:axId val="2046279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2046265704"/>
        <c:crosses val="autoZero"/>
        <c:auto val="1"/>
        <c:lblAlgn val="ctr"/>
        <c:lblOffset val="100"/>
        <c:tickLblSkip val="1"/>
        <c:tickMarkSkip val="1"/>
        <c:noMultiLvlLbl val="0"/>
      </c:catAx>
      <c:valAx>
        <c:axId val="2046265704"/>
        <c:scaling>
          <c:orientation val="minMax"/>
          <c:min val="0"/>
        </c:scaling>
        <c:delete val="0"/>
        <c:axPos val="l"/>
        <c:majorGridlines>
          <c:spPr>
            <a:ln w="3175">
              <a:solidFill>
                <a:srgbClr val="969696"/>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 2020$ </a:t>
                </a:r>
              </a:p>
            </c:rich>
          </c:tx>
          <c:layout>
            <c:manualLayout>
              <c:xMode val="edge"/>
              <c:yMode val="edge"/>
              <c:x val="1.22086905803441E-2"/>
              <c:y val="0.442088072324292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46279736"/>
        <c:crosses val="autoZero"/>
        <c:crossBetween val="between"/>
      </c:valAx>
      <c:spPr>
        <a:solidFill>
          <a:srgbClr val="FFFFFF"/>
        </a:solidFill>
        <a:ln w="12700">
          <a:solidFill>
            <a:srgbClr val="808080"/>
          </a:solidFill>
          <a:prstDash val="solid"/>
        </a:ln>
      </c:spPr>
    </c:plotArea>
    <c:legend>
      <c:legendPos val="r"/>
      <c:layout>
        <c:manualLayout>
          <c:xMode val="edge"/>
          <c:yMode val="edge"/>
          <c:x val="0.83869774324824298"/>
          <c:y val="0.27474821988977899"/>
          <c:w val="0.15649278579356299"/>
          <c:h val="0.32789559543230001"/>
        </c:manualLayout>
      </c:layout>
      <c:overlay val="0"/>
      <c:spPr>
        <a:solidFill>
          <a:srgbClr val="FFFFFF"/>
        </a:solidFill>
        <a:ln w="3175">
          <a:no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Composition of Renewable Energy DOE ERD&amp;D Spending 
(FY1998-FY2022 Request) </a:t>
            </a:r>
          </a:p>
        </c:rich>
      </c:tx>
      <c:layout>
        <c:manualLayout>
          <c:xMode val="edge"/>
          <c:yMode val="edge"/>
          <c:x val="0.17536075609243201"/>
          <c:y val="1.95758690644019E-2"/>
        </c:manualLayout>
      </c:layout>
      <c:overlay val="0"/>
      <c:spPr>
        <a:noFill/>
        <a:ln w="25400">
          <a:noFill/>
        </a:ln>
      </c:spPr>
    </c:title>
    <c:autoTitleDeleted val="0"/>
    <c:plotArea>
      <c:layout>
        <c:manualLayout>
          <c:layoutTarget val="inner"/>
          <c:xMode val="edge"/>
          <c:yMode val="edge"/>
          <c:x val="9.3471810089020696E-2"/>
          <c:y val="0.14410480349345001"/>
          <c:w val="0.68991097922848699"/>
          <c:h val="0.58078602620087305"/>
        </c:manualLayout>
      </c:layout>
      <c:barChart>
        <c:barDir val="col"/>
        <c:grouping val="stacked"/>
        <c:varyColors val="0"/>
        <c:ser>
          <c:idx val="0"/>
          <c:order val="0"/>
          <c:tx>
            <c:v>Solar</c:v>
          </c:tx>
          <c:spPr>
            <a:solidFill>
              <a:srgbClr val="000090"/>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1978-2022R'!$Y$282:$AX$282</c:f>
              <c:numCache>
                <c:formatCode>0.0</c:formatCode>
                <c:ptCount val="26"/>
                <c:pt idx="0">
                  <c:v>132.75658497172097</c:v>
                </c:pt>
                <c:pt idx="1">
                  <c:v>171.92944562899783</c:v>
                </c:pt>
                <c:pt idx="2">
                  <c:v>120.18820726467908</c:v>
                </c:pt>
                <c:pt idx="3">
                  <c:v>131.17983983729502</c:v>
                </c:pt>
                <c:pt idx="4">
                  <c:v>123.00456769983685</c:v>
                </c:pt>
                <c:pt idx="5">
                  <c:v>113.798279886964</c:v>
                </c:pt>
                <c:pt idx="6">
                  <c:v>109.0011761881901</c:v>
                </c:pt>
                <c:pt idx="7">
                  <c:v>110.43093935513909</c:v>
                </c:pt>
                <c:pt idx="8">
                  <c:v>103.78547914317926</c:v>
                </c:pt>
                <c:pt idx="9">
                  <c:v>194.0984290893112</c:v>
                </c:pt>
                <c:pt idx="10">
                  <c:v>198.90957593793181</c:v>
                </c:pt>
                <c:pt idx="11">
                  <c:v>206.09619715317612</c:v>
                </c:pt>
                <c:pt idx="12">
                  <c:v>138.67261525387721</c:v>
                </c:pt>
                <c:pt idx="13">
                  <c:v>285.90163865984761</c:v>
                </c:pt>
                <c:pt idx="14">
                  <c:v>298.39019507711168</c:v>
                </c:pt>
                <c:pt idx="15">
                  <c:v>320.40137999999996</c:v>
                </c:pt>
                <c:pt idx="16">
                  <c:v>297.99448764642187</c:v>
                </c:pt>
                <c:pt idx="17">
                  <c:v>280.47725862737497</c:v>
                </c:pt>
                <c:pt idx="18">
                  <c:v>250.52307098765434</c:v>
                </c:pt>
                <c:pt idx="19">
                  <c:v>260.38751197088681</c:v>
                </c:pt>
                <c:pt idx="20">
                  <c:v>219.95202410092259</c:v>
                </c:pt>
                <c:pt idx="21">
                  <c:v>250.43441097909178</c:v>
                </c:pt>
                <c:pt idx="22">
                  <c:v>251.18716044911261</c:v>
                </c:pt>
                <c:pt idx="23">
                  <c:v>280</c:v>
                </c:pt>
                <c:pt idx="24">
                  <c:v>274.94284966407821</c:v>
                </c:pt>
                <c:pt idx="25">
                  <c:v>372.53158660844252</c:v>
                </c:pt>
              </c:numCache>
            </c:numRef>
          </c:val>
          <c:extLst>
            <c:ext xmlns:c16="http://schemas.microsoft.com/office/drawing/2014/chart" uri="{C3380CC4-5D6E-409C-BE32-E72D297353CC}">
              <c16:uniqueId val="{00000000-10B5-4050-B7FC-52C613616F0A}"/>
            </c:ext>
          </c:extLst>
        </c:ser>
        <c:ser>
          <c:idx val="1"/>
          <c:order val="1"/>
          <c:tx>
            <c:v>Biomass and Biorefinery Systems</c:v>
          </c:tx>
          <c:spPr>
            <a:solidFill>
              <a:srgbClr val="99CC00"/>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1978-2022R'!$Y$283:$AX$283</c:f>
              <c:numCache>
                <c:formatCode>0.0</c:formatCode>
                <c:ptCount val="26"/>
                <c:pt idx="0">
                  <c:v>146.62328305952059</c:v>
                </c:pt>
                <c:pt idx="1">
                  <c:v>148.92353411513858</c:v>
                </c:pt>
                <c:pt idx="2">
                  <c:v>102.37169378987112</c:v>
                </c:pt>
                <c:pt idx="3">
                  <c:v>122.16748442862591</c:v>
                </c:pt>
                <c:pt idx="4">
                  <c:v>123.8519011168277</c:v>
                </c:pt>
                <c:pt idx="5">
                  <c:v>117.94645533849366</c:v>
                </c:pt>
                <c:pt idx="6">
                  <c:v>114.26889102256359</c:v>
                </c:pt>
                <c:pt idx="7">
                  <c:v>114.62286113374462</c:v>
                </c:pt>
                <c:pt idx="8">
                  <c:v>113.93564825253664</c:v>
                </c:pt>
                <c:pt idx="9">
                  <c:v>242.68485114797318</c:v>
                </c:pt>
                <c:pt idx="10">
                  <c:v>233.95497927516209</c:v>
                </c:pt>
                <c:pt idx="11">
                  <c:v>256.06615678776291</c:v>
                </c:pt>
                <c:pt idx="12">
                  <c:v>928.98697684299975</c:v>
                </c:pt>
                <c:pt idx="13">
                  <c:v>253.95207180878819</c:v>
                </c:pt>
                <c:pt idx="14">
                  <c:v>206.89612909815136</c:v>
                </c:pt>
                <c:pt idx="15">
                  <c:v>219.453</c:v>
                </c:pt>
                <c:pt idx="16">
                  <c:v>205.16200413426515</c:v>
                </c:pt>
                <c:pt idx="17">
                  <c:v>253.42227607599844</c:v>
                </c:pt>
                <c:pt idx="18">
                  <c:v>190.93157793209878</c:v>
                </c:pt>
                <c:pt idx="19">
                  <c:v>242.49664815169507</c:v>
                </c:pt>
                <c:pt idx="20">
                  <c:v>217.19732630389754</c:v>
                </c:pt>
                <c:pt idx="21">
                  <c:v>229.59942893985445</c:v>
                </c:pt>
                <c:pt idx="22">
                  <c:v>230.29735603042374</c:v>
                </c:pt>
                <c:pt idx="23">
                  <c:v>259.5</c:v>
                </c:pt>
                <c:pt idx="24">
                  <c:v>250.3943809440712</c:v>
                </c:pt>
                <c:pt idx="25">
                  <c:v>327.62736535662299</c:v>
                </c:pt>
              </c:numCache>
            </c:numRef>
          </c:val>
          <c:extLst>
            <c:ext xmlns:c16="http://schemas.microsoft.com/office/drawing/2014/chart" uri="{C3380CC4-5D6E-409C-BE32-E72D297353CC}">
              <c16:uniqueId val="{00000001-10B5-4050-B7FC-52C613616F0A}"/>
            </c:ext>
          </c:extLst>
        </c:ser>
        <c:ser>
          <c:idx val="2"/>
          <c:order val="2"/>
          <c:tx>
            <c:v>Wind</c:v>
          </c:tx>
          <c:spPr>
            <a:solidFill>
              <a:srgbClr val="FCF305"/>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1978-2022R'!$Y$284:$AX$284</c:f>
              <c:numCache>
                <c:formatCode>0.0</c:formatCode>
                <c:ptCount val="26"/>
                <c:pt idx="0">
                  <c:v>49.101750605978992</c:v>
                </c:pt>
                <c:pt idx="1">
                  <c:v>51.590831556503197</c:v>
                </c:pt>
                <c:pt idx="2">
                  <c:v>47.017427418304912</c:v>
                </c:pt>
                <c:pt idx="3">
                  <c:v>55.933824837930594</c:v>
                </c:pt>
                <c:pt idx="4">
                  <c:v>53.946894215083447</c:v>
                </c:pt>
                <c:pt idx="5">
                  <c:v>57.521366261211448</c:v>
                </c:pt>
                <c:pt idx="6">
                  <c:v>53.757705232837246</c:v>
                </c:pt>
                <c:pt idx="7">
                  <c:v>53.1850075660575</c:v>
                </c:pt>
                <c:pt idx="8">
                  <c:v>48.593934611048475</c:v>
                </c:pt>
                <c:pt idx="9">
                  <c:v>60.20760188948698</c:v>
                </c:pt>
                <c:pt idx="10">
                  <c:v>58.608353703900526</c:v>
                </c:pt>
                <c:pt idx="11">
                  <c:v>65.032674739749311</c:v>
                </c:pt>
                <c:pt idx="12">
                  <c:v>127.79398767792649</c:v>
                </c:pt>
                <c:pt idx="13">
                  <c:v>92.794697839473955</c:v>
                </c:pt>
                <c:pt idx="14">
                  <c:v>90.574527627412934</c:v>
                </c:pt>
                <c:pt idx="15">
                  <c:v>103.31171999999999</c:v>
                </c:pt>
                <c:pt idx="16">
                  <c:v>95.380391770843573</c:v>
                </c:pt>
                <c:pt idx="17">
                  <c:v>96.110643660333452</c:v>
                </c:pt>
                <c:pt idx="18">
                  <c:v>114.94971064814816</c:v>
                </c:pt>
                <c:pt idx="19">
                  <c:v>102.81857881631872</c:v>
                </c:pt>
                <c:pt idx="20">
                  <c:v>95.354923743174538</c:v>
                </c:pt>
                <c:pt idx="21">
                  <c:v>95.364096896011773</c:v>
                </c:pt>
                <c:pt idx="22">
                  <c:v>93.749366171676925</c:v>
                </c:pt>
                <c:pt idx="23">
                  <c:v>104</c:v>
                </c:pt>
                <c:pt idx="24">
                  <c:v>108.01326236803072</c:v>
                </c:pt>
                <c:pt idx="25">
                  <c:v>197.54002911208153</c:v>
                </c:pt>
              </c:numCache>
            </c:numRef>
          </c:val>
          <c:extLst>
            <c:ext xmlns:c16="http://schemas.microsoft.com/office/drawing/2014/chart" uri="{C3380CC4-5D6E-409C-BE32-E72D297353CC}">
              <c16:uniqueId val="{00000002-10B5-4050-B7FC-52C613616F0A}"/>
            </c:ext>
          </c:extLst>
        </c:ser>
        <c:ser>
          <c:idx val="3"/>
          <c:order val="3"/>
          <c:tx>
            <c:v>Geothermal</c:v>
          </c:tx>
          <c:spPr>
            <a:solidFill>
              <a:srgbClr val="FF6600"/>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1978-2022R'!$Y$285:$AX$285</c:f>
              <c:numCache>
                <c:formatCode>0.0</c:formatCode>
                <c:ptCount val="26"/>
                <c:pt idx="0">
                  <c:v>43.494451925666574</c:v>
                </c:pt>
                <c:pt idx="1">
                  <c:v>42.292484008528781</c:v>
                </c:pt>
                <c:pt idx="2">
                  <c:v>34.182504882176801</c:v>
                </c:pt>
                <c:pt idx="3">
                  <c:v>38.052167281047417</c:v>
                </c:pt>
                <c:pt idx="4">
                  <c:v>38.130003764587777</c:v>
                </c:pt>
                <c:pt idx="5">
                  <c:v>39.269394274480888</c:v>
                </c:pt>
                <c:pt idx="6">
                  <c:v>33.227124339894381</c:v>
                </c:pt>
                <c:pt idx="7">
                  <c:v>33.142381562099871</c:v>
                </c:pt>
                <c:pt idx="8">
                  <c:v>28.927981961668547</c:v>
                </c:pt>
                <c:pt idx="9">
                  <c:v>6.1814786334175542</c:v>
                </c:pt>
                <c:pt idx="10">
                  <c:v>23.084514826230208</c:v>
                </c:pt>
                <c:pt idx="11">
                  <c:v>51.763140004248982</c:v>
                </c:pt>
                <c:pt idx="12">
                  <c:v>469.93280220947526</c:v>
                </c:pt>
                <c:pt idx="13">
                  <c:v>50.508506418954177</c:v>
                </c:pt>
                <c:pt idx="14">
                  <c:v>42.528648759064446</c:v>
                </c:pt>
                <c:pt idx="15">
                  <c:v>41.639800000000001</c:v>
                </c:pt>
                <c:pt idx="16">
                  <c:v>38.772516980017713</c:v>
                </c:pt>
                <c:pt idx="17">
                  <c:v>49.964443582784014</c:v>
                </c:pt>
                <c:pt idx="18">
                  <c:v>58.940219907407403</c:v>
                </c:pt>
                <c:pt idx="19">
                  <c:v>76.521164527868223</c:v>
                </c:pt>
                <c:pt idx="20">
                  <c:v>73.635191112784781</c:v>
                </c:pt>
                <c:pt idx="21">
                  <c:v>83.858211292253841</c:v>
                </c:pt>
                <c:pt idx="22">
                  <c:v>85.597247374139798</c:v>
                </c:pt>
                <c:pt idx="23">
                  <c:v>110</c:v>
                </c:pt>
                <c:pt idx="24">
                  <c:v>104.0855073728296</c:v>
                </c:pt>
                <c:pt idx="25">
                  <c:v>157.83930131004368</c:v>
                </c:pt>
              </c:numCache>
            </c:numRef>
          </c:val>
          <c:extLst>
            <c:ext xmlns:c16="http://schemas.microsoft.com/office/drawing/2014/chart" uri="{C3380CC4-5D6E-409C-BE32-E72D297353CC}">
              <c16:uniqueId val="{00000003-10B5-4050-B7FC-52C613616F0A}"/>
            </c:ext>
          </c:extLst>
        </c:ser>
        <c:ser>
          <c:idx val="5"/>
          <c:order val="4"/>
          <c:tx>
            <c:v>Hydropower</c:v>
          </c:tx>
          <c:spPr>
            <a:solidFill>
              <a:srgbClr val="4600A5"/>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1978-2022R'!$Y$286:$AX$286</c:f>
              <c:numCache>
                <c:formatCode>0.0</c:formatCode>
                <c:ptCount val="26"/>
                <c:pt idx="0">
                  <c:v>1.0608402908699164</c:v>
                </c:pt>
                <c:pt idx="1">
                  <c:v>4.814144456289978</c:v>
                </c:pt>
                <c:pt idx="2">
                  <c:v>7.1207446947012114</c:v>
                </c:pt>
                <c:pt idx="3">
                  <c:v>7.0096097622982079</c:v>
                </c:pt>
                <c:pt idx="4">
                  <c:v>7.061111808256995</c:v>
                </c:pt>
                <c:pt idx="5">
                  <c:v>6.9136257525494527</c:v>
                </c:pt>
                <c:pt idx="6">
                  <c:v>6.3482717234757562</c:v>
                </c:pt>
                <c:pt idx="7">
                  <c:v>6.4188802234896993</c:v>
                </c:pt>
                <c:pt idx="8">
                  <c:v>0.63438556933483647</c:v>
                </c:pt>
                <c:pt idx="9">
                  <c:v>0</c:v>
                </c:pt>
                <c:pt idx="10">
                  <c:v>11.602061855670103</c:v>
                </c:pt>
                <c:pt idx="11">
                  <c:v>46.742234969194818</c:v>
                </c:pt>
                <c:pt idx="12">
                  <c:v>37.89587847886127</c:v>
                </c:pt>
                <c:pt idx="13">
                  <c:v>57.203820060536479</c:v>
                </c:pt>
                <c:pt idx="14">
                  <c:v>33.563149831477887</c:v>
                </c:pt>
                <c:pt idx="15">
                  <c:v>65.385739999999998</c:v>
                </c:pt>
                <c:pt idx="16">
                  <c:v>60.595905108770545</c:v>
                </c:pt>
                <c:pt idx="17">
                  <c:v>63.928305544784799</c:v>
                </c:pt>
                <c:pt idx="18">
                  <c:v>65.12731481481481</c:v>
                </c:pt>
                <c:pt idx="19">
                  <c:v>75.443401647194023</c:v>
                </c:pt>
                <c:pt idx="20">
                  <c:v>88.997928826962905</c:v>
                </c:pt>
                <c:pt idx="21">
                  <c:v>108.83945841392648</c:v>
                </c:pt>
                <c:pt idx="22">
                  <c:v>106.99655921767474</c:v>
                </c:pt>
                <c:pt idx="23">
                  <c:v>148</c:v>
                </c:pt>
                <c:pt idx="24">
                  <c:v>147.29081232004188</c:v>
                </c:pt>
                <c:pt idx="25">
                  <c:v>189.8311499272198</c:v>
                </c:pt>
              </c:numCache>
            </c:numRef>
          </c:val>
          <c:extLst>
            <c:ext xmlns:c16="http://schemas.microsoft.com/office/drawing/2014/chart" uri="{C3380CC4-5D6E-409C-BE32-E72D297353CC}">
              <c16:uniqueId val="{00000004-10B5-4050-B7FC-52C613616F0A}"/>
            </c:ext>
          </c:extLst>
        </c:ser>
        <c:ser>
          <c:idx val="6"/>
          <c:order val="5"/>
          <c:tx>
            <c:v>Electrical Energy Systems</c:v>
          </c:tx>
          <c:spPr>
            <a:solidFill>
              <a:srgbClr val="F20884"/>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1978-2022R'!$Y$287:$AX$287</c:f>
              <c:numCache>
                <c:formatCode>0.0</c:formatCode>
                <c:ptCount val="26"/>
                <c:pt idx="0">
                  <c:v>65.620549420953395</c:v>
                </c:pt>
                <c:pt idx="1">
                  <c:v>61.33909914712153</c:v>
                </c:pt>
                <c:pt idx="2">
                  <c:v>54.709589897148817</c:v>
                </c:pt>
                <c:pt idx="3">
                  <c:v>73.958535655268847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10B5-4050-B7FC-52C613616F0A}"/>
            </c:ext>
          </c:extLst>
        </c:ser>
        <c:ser>
          <c:idx val="7"/>
          <c:order val="6"/>
          <c:tx>
            <c:v>Indian Renewables</c:v>
          </c:tx>
          <c:spPr>
            <a:solidFill>
              <a:srgbClr val="CC99FF"/>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1978-2022R'!$Y$289:$AX$289</c:f>
              <c:numCache>
                <c:formatCode>0.0</c:formatCode>
                <c:ptCount val="26"/>
                <c:pt idx="0">
                  <c:v>5.9103959062752489</c:v>
                </c:pt>
                <c:pt idx="1">
                  <c:v>7.1987206823027714</c:v>
                </c:pt>
                <c:pt idx="2">
                  <c:v>5.7141778414268973</c:v>
                </c:pt>
                <c:pt idx="3">
                  <c:v>9.4415151900343197</c:v>
                </c:pt>
                <c:pt idx="4">
                  <c:v>0</c:v>
                </c:pt>
                <c:pt idx="5">
                  <c:v>0</c:v>
                </c:pt>
                <c:pt idx="6">
                  <c:v>0</c:v>
                </c:pt>
                <c:pt idx="7">
                  <c:v>0</c:v>
                </c:pt>
                <c:pt idx="8">
                  <c:v>0</c:v>
                </c:pt>
                <c:pt idx="9">
                  <c:v>0</c:v>
                </c:pt>
                <c:pt idx="10">
                  <c:v>0</c:v>
                </c:pt>
                <c:pt idx="11">
                  <c:v>7.1727214786488203</c:v>
                </c:pt>
                <c:pt idx="12">
                  <c:v>0</c:v>
                </c:pt>
                <c:pt idx="13">
                  <c:v>11.746164283477716</c:v>
                </c:pt>
                <c:pt idx="14">
                  <c:v>11.494229394341742</c:v>
                </c:pt>
                <c:pt idx="15">
                  <c:v>11.254</c:v>
                </c:pt>
                <c:pt idx="16">
                  <c:v>10.41319027463333</c:v>
                </c:pt>
                <c:pt idx="17">
                  <c:v>7.6364870104691729</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10B5-4050-B7FC-52C613616F0A}"/>
            </c:ext>
          </c:extLst>
        </c:ser>
        <c:ser>
          <c:idx val="8"/>
          <c:order val="7"/>
          <c:tx>
            <c:v>Storage</c:v>
          </c:tx>
          <c:spPr>
            <a:solidFill>
              <a:srgbClr val="000080"/>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1978-2022R'!$Y$288:$AX$288</c:f>
              <c:numCache>
                <c:formatCode>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10B5-4050-B7FC-52C613616F0A}"/>
            </c:ext>
          </c:extLst>
        </c:ser>
        <c:ser>
          <c:idx val="9"/>
          <c:order val="8"/>
          <c:tx>
            <c:v>Facilities</c:v>
          </c:tx>
          <c:spPr>
            <a:solidFill>
              <a:srgbClr val="FF00FF"/>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1978-2022R'!$Y$290:$AX$290</c:f>
              <c:numCache>
                <c:formatCode>0.0</c:formatCode>
                <c:ptCount val="26"/>
                <c:pt idx="0">
                  <c:v>0</c:v>
                </c:pt>
                <c:pt idx="1">
                  <c:v>0</c:v>
                </c:pt>
                <c:pt idx="2">
                  <c:v>0</c:v>
                </c:pt>
                <c:pt idx="3">
                  <c:v>0</c:v>
                </c:pt>
                <c:pt idx="4">
                  <c:v>0</c:v>
                </c:pt>
                <c:pt idx="5">
                  <c:v>0</c:v>
                </c:pt>
                <c:pt idx="6">
                  <c:v>0</c:v>
                </c:pt>
                <c:pt idx="7">
                  <c:v>0</c:v>
                </c:pt>
                <c:pt idx="8">
                  <c:v>0</c:v>
                </c:pt>
                <c:pt idx="9">
                  <c:v>102.61254531473139</c:v>
                </c:pt>
                <c:pt idx="10">
                  <c:v>82.888957381230739</c:v>
                </c:pt>
                <c:pt idx="11">
                  <c:v>64.55449330783938</c:v>
                </c:pt>
                <c:pt idx="12">
                  <c:v>119.78444869343529</c:v>
                </c:pt>
                <c:pt idx="13">
                  <c:v>0</c:v>
                </c:pt>
                <c:pt idx="14">
                  <c:v>58.620569911142887</c:v>
                </c:pt>
                <c:pt idx="15">
                  <c:v>29.598019999999998</c:v>
                </c:pt>
                <c:pt idx="16">
                  <c:v>27.583876365784029</c:v>
                </c:pt>
                <c:pt idx="17">
                  <c:v>50.182628925940278</c:v>
                </c:pt>
                <c:pt idx="18">
                  <c:v>60.785493827160494</c:v>
                </c:pt>
                <c:pt idx="19">
                  <c:v>66.821298601800422</c:v>
                </c:pt>
                <c:pt idx="20">
                  <c:v>97.473922048578416</c:v>
                </c:pt>
                <c:pt idx="21">
                  <c:v>95.364096896011773</c:v>
                </c:pt>
                <c:pt idx="22">
                  <c:v>98.84444042013763</c:v>
                </c:pt>
                <c:pt idx="23">
                  <c:v>130</c:v>
                </c:pt>
                <c:pt idx="24">
                  <c:v>127.6520373440363</c:v>
                </c:pt>
                <c:pt idx="25">
                  <c:v>168.63173216885008</c:v>
                </c:pt>
              </c:numCache>
            </c:numRef>
          </c:val>
          <c:extLst>
            <c:ext xmlns:c16="http://schemas.microsoft.com/office/drawing/2014/chart" uri="{C3380CC4-5D6E-409C-BE32-E72D297353CC}">
              <c16:uniqueId val="{00000008-10B5-4050-B7FC-52C613616F0A}"/>
            </c:ext>
          </c:extLst>
        </c:ser>
        <c:ser>
          <c:idx val="4"/>
          <c:order val="9"/>
          <c:tx>
            <c:strRef>
              <c:f>'Complete Data 1978-2022R'!$AY$294</c:f>
              <c:strCache>
                <c:ptCount val="1"/>
                <c:pt idx="0">
                  <c:v>Congressionally directed projects</c:v>
                </c:pt>
              </c:strCache>
            </c:strRef>
          </c:tx>
          <c:spPr>
            <a:solidFill>
              <a:srgbClr val="00CCFF"/>
            </a:solidFill>
            <a:ln w="12700">
              <a:solidFill>
                <a:srgbClr val="000000"/>
              </a:solidFill>
              <a:prstDash val="solid"/>
            </a:ln>
          </c:spPr>
          <c:invertIfNegative val="0"/>
          <c:cat>
            <c:strRef>
              <c:f>'Complete Data 1978-2022R'!$Y$206:$AX$206</c:f>
              <c:strCach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2009 ARRA</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 Request</c:v>
                </c:pt>
              </c:strCache>
            </c:strRef>
          </c:cat>
          <c:val>
            <c:numRef>
              <c:f>'Complete Data 1978-2022R'!$Y$294:$AX$294</c:f>
              <c:numCache>
                <c:formatCode>0.0</c:formatCode>
                <c:ptCount val="26"/>
                <c:pt idx="0">
                  <c:v>0</c:v>
                </c:pt>
                <c:pt idx="1">
                  <c:v>0</c:v>
                </c:pt>
                <c:pt idx="2">
                  <c:v>0</c:v>
                </c:pt>
                <c:pt idx="3">
                  <c:v>0</c:v>
                </c:pt>
                <c:pt idx="4">
                  <c:v>0</c:v>
                </c:pt>
                <c:pt idx="5">
                  <c:v>0</c:v>
                </c:pt>
                <c:pt idx="6">
                  <c:v>0</c:v>
                </c:pt>
                <c:pt idx="7">
                  <c:v>0</c:v>
                </c:pt>
                <c:pt idx="8">
                  <c:v>0</c:v>
                </c:pt>
                <c:pt idx="9">
                  <c:v>0</c:v>
                </c:pt>
                <c:pt idx="10">
                  <c:v>145.32479540865131</c:v>
                </c:pt>
                <c:pt idx="11">
                  <c:v>209.68255789250054</c:v>
                </c:pt>
                <c:pt idx="12">
                  <c:v>0</c:v>
                </c:pt>
                <c:pt idx="13">
                  <c:v>278.85394008976095</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10B5-4050-B7FC-52C613616F0A}"/>
            </c:ext>
          </c:extLst>
        </c:ser>
        <c:dLbls>
          <c:showLegendKey val="0"/>
          <c:showVal val="0"/>
          <c:showCatName val="0"/>
          <c:showSerName val="0"/>
          <c:showPercent val="0"/>
          <c:showBubbleSize val="0"/>
        </c:dLbls>
        <c:gapWidth val="150"/>
        <c:overlap val="100"/>
        <c:axId val="2142559656"/>
        <c:axId val="2143180424"/>
      </c:barChart>
      <c:catAx>
        <c:axId val="214255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2143180424"/>
        <c:crosses val="autoZero"/>
        <c:auto val="1"/>
        <c:lblAlgn val="ctr"/>
        <c:lblOffset val="100"/>
        <c:tickLblSkip val="1"/>
        <c:tickMarkSkip val="1"/>
        <c:noMultiLvlLbl val="0"/>
      </c:catAx>
      <c:valAx>
        <c:axId val="2143180424"/>
        <c:scaling>
          <c:orientation val="minMax"/>
          <c:max val="1600"/>
          <c:min val="0"/>
        </c:scaling>
        <c:delete val="0"/>
        <c:axPos val="l"/>
        <c:majorGridlines>
          <c:spPr>
            <a:ln w="3175">
              <a:solidFill>
                <a:srgbClr val="C0C0C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4.4395116537180902E-3"/>
              <c:y val="0.386623164763458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2559656"/>
        <c:crosses val="autoZero"/>
        <c:crossBetween val="between"/>
      </c:valAx>
      <c:spPr>
        <a:solidFill>
          <a:srgbClr val="FFFFFF"/>
        </a:solidFill>
        <a:ln w="12700">
          <a:solidFill>
            <a:srgbClr val="808080"/>
          </a:solidFill>
          <a:prstDash val="solid"/>
        </a:ln>
      </c:spPr>
    </c:plotArea>
    <c:legend>
      <c:legendPos val="r"/>
      <c:layout>
        <c:manualLayout>
          <c:xMode val="edge"/>
          <c:yMode val="edge"/>
          <c:x val="0.80688124306326303"/>
          <c:y val="0.159869494290375"/>
          <c:w val="0.17647058823529399"/>
          <c:h val="0.70473083197389996"/>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Arial"/>
                <a:ea typeface="Arial"/>
                <a:cs typeface="Arial"/>
              </a:defRPr>
            </a:pPr>
            <a:r>
              <a:rPr lang="en-US" sz="2400"/>
              <a:t>U.S. DOE Energy RD&amp;D 
FY1978-FY22 Request</a:t>
            </a:r>
          </a:p>
        </c:rich>
      </c:tx>
      <c:layout>
        <c:manualLayout>
          <c:xMode val="edge"/>
          <c:yMode val="edge"/>
          <c:x val="0.23984324038000501"/>
          <c:y val="0"/>
        </c:manualLayout>
      </c:layout>
      <c:overlay val="0"/>
      <c:spPr>
        <a:noFill/>
        <a:ln w="25400">
          <a:noFill/>
        </a:ln>
      </c:spPr>
    </c:title>
    <c:autoTitleDeleted val="0"/>
    <c:plotArea>
      <c:layout>
        <c:manualLayout>
          <c:layoutTarget val="inner"/>
          <c:xMode val="edge"/>
          <c:yMode val="edge"/>
          <c:x val="9.3816329387967301E-2"/>
          <c:y val="0.14803166096384501"/>
          <c:w val="0.66155999994403902"/>
          <c:h val="0.58603028898269205"/>
        </c:manualLayout>
      </c:layout>
      <c:areaChart>
        <c:grouping val="stacked"/>
        <c:varyColors val="0"/>
        <c:ser>
          <c:idx val="0"/>
          <c:order val="0"/>
          <c:tx>
            <c:v>Fission</c:v>
          </c:tx>
          <c:spPr>
            <a:solidFill>
              <a:srgbClr val="DD0806"/>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1978-2022R'!$E$207:$AX$207</c:f>
              <c:numCache>
                <c:formatCode>0.0</c:formatCode>
                <c:ptCount val="46"/>
                <c:pt idx="0">
                  <c:v>3111.3157760814252</c:v>
                </c:pt>
                <c:pt idx="1">
                  <c:v>2676.4404789719629</c:v>
                </c:pt>
                <c:pt idx="2">
                  <c:v>2403.7092254824211</c:v>
                </c:pt>
                <c:pt idx="3">
                  <c:v>1856.134046600095</c:v>
                </c:pt>
                <c:pt idx="4">
                  <c:v>1944.5517699115042</c:v>
                </c:pt>
                <c:pt idx="5">
                  <c:v>1494.7644828312618</c:v>
                </c:pt>
                <c:pt idx="6">
                  <c:v>1267.6880506940254</c:v>
                </c:pt>
                <c:pt idx="7">
                  <c:v>879.12314563106781</c:v>
                </c:pt>
                <c:pt idx="8">
                  <c:v>728.36367440091283</c:v>
                </c:pt>
                <c:pt idx="9">
                  <c:v>528.59070536370314</c:v>
                </c:pt>
                <c:pt idx="10">
                  <c:v>488.5503719447396</c:v>
                </c:pt>
                <c:pt idx="11">
                  <c:v>461.78619161268318</c:v>
                </c:pt>
                <c:pt idx="12">
                  <c:v>580.13207861425713</c:v>
                </c:pt>
                <c:pt idx="13">
                  <c:v>533.94758930001603</c:v>
                </c:pt>
                <c:pt idx="14">
                  <c:v>507.71862595419839</c:v>
                </c:pt>
                <c:pt idx="15">
                  <c:v>409.25467659793816</c:v>
                </c:pt>
                <c:pt idx="16">
                  <c:v>169.33911959645289</c:v>
                </c:pt>
                <c:pt idx="17">
                  <c:v>187.2875346865597</c:v>
                </c:pt>
                <c:pt idx="18">
                  <c:v>69.92124476921974</c:v>
                </c:pt>
                <c:pt idx="19">
                  <c:v>96.237954587220898</c:v>
                </c:pt>
                <c:pt idx="20">
                  <c:v>11.55422922401989</c:v>
                </c:pt>
                <c:pt idx="21">
                  <c:v>47.152645778381789</c:v>
                </c:pt>
                <c:pt idx="22">
                  <c:v>74.084944457509479</c:v>
                </c:pt>
                <c:pt idx="23">
                  <c:v>90.635991115737724</c:v>
                </c:pt>
                <c:pt idx="24">
                  <c:v>220.21665267969141</c:v>
                </c:pt>
                <c:pt idx="25">
                  <c:v>222.09252477146774</c:v>
                </c:pt>
                <c:pt idx="26">
                  <c:v>234.8191170572531</c:v>
                </c:pt>
                <c:pt idx="27">
                  <c:v>280.91423044417746</c:v>
                </c:pt>
                <c:pt idx="28">
                  <c:v>348.95539303450118</c:v>
                </c:pt>
                <c:pt idx="29">
                  <c:v>435.25845725026664</c:v>
                </c:pt>
                <c:pt idx="30">
                  <c:v>568.39186063633474</c:v>
                </c:pt>
                <c:pt idx="31">
                  <c:v>671.35697856365869</c:v>
                </c:pt>
                <c:pt idx="32">
                  <c:v>0</c:v>
                </c:pt>
                <c:pt idx="33">
                  <c:v>590.5488560525738</c:v>
                </c:pt>
                <c:pt idx="34">
                  <c:v>520.08534267586208</c:v>
                </c:pt>
                <c:pt idx="35">
                  <c:v>566.73233739192005</c:v>
                </c:pt>
                <c:pt idx="36">
                  <c:v>520.35865371588068</c:v>
                </c:pt>
                <c:pt idx="37">
                  <c:v>588.00320634957234</c:v>
                </c:pt>
                <c:pt idx="38">
                  <c:v>502.63678705647743</c:v>
                </c:pt>
                <c:pt idx="39">
                  <c:v>624.69110837085555</c:v>
                </c:pt>
                <c:pt idx="40">
                  <c:v>635.8552489654378</c:v>
                </c:pt>
                <c:pt idx="41" formatCode="0">
                  <c:v>732.62038580144997</c:v>
                </c:pt>
                <c:pt idx="42" formatCode="0">
                  <c:v>816.68868667707932</c:v>
                </c:pt>
                <c:pt idx="43" formatCode="0">
                  <c:v>1025.1268817204302</c:v>
                </c:pt>
                <c:pt idx="44" formatCode="0">
                  <c:v>972.69129572571831</c:v>
                </c:pt>
                <c:pt idx="45" formatCode="0">
                  <c:v>1196.823834876589</c:v>
                </c:pt>
              </c:numCache>
            </c:numRef>
          </c:val>
          <c:extLst>
            <c:ext xmlns:c16="http://schemas.microsoft.com/office/drawing/2014/chart" uri="{C3380CC4-5D6E-409C-BE32-E72D297353CC}">
              <c16:uniqueId val="{00000000-A55E-40C8-A3FC-AC8E09D736E6}"/>
            </c:ext>
          </c:extLst>
        </c:ser>
        <c:ser>
          <c:idx val="1"/>
          <c:order val="1"/>
          <c:tx>
            <c:v>Fusion</c:v>
          </c:tx>
          <c:spPr>
            <a:solidFill>
              <a:srgbClr val="FF9900"/>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1978-2022R'!$E$208:$AX$208</c:f>
              <c:numCache>
                <c:formatCode>0.0</c:formatCode>
                <c:ptCount val="46"/>
                <c:pt idx="0">
                  <c:v>1189.8312977099235</c:v>
                </c:pt>
                <c:pt idx="1">
                  <c:v>1167.1423481308411</c:v>
                </c:pt>
                <c:pt idx="2">
                  <c:v>1042.1031456515991</c:v>
                </c:pt>
                <c:pt idx="3">
                  <c:v>1054.4939134569663</c:v>
                </c:pt>
                <c:pt idx="4">
                  <c:v>1123.4081415929202</c:v>
                </c:pt>
                <c:pt idx="5">
                  <c:v>1086.7566041710552</c:v>
                </c:pt>
                <c:pt idx="6">
                  <c:v>1060.4251860792597</c:v>
                </c:pt>
                <c:pt idx="7">
                  <c:v>938.78027184466021</c:v>
                </c:pt>
                <c:pt idx="8">
                  <c:v>773.73925446937994</c:v>
                </c:pt>
                <c:pt idx="9">
                  <c:v>706.1657604702425</c:v>
                </c:pt>
                <c:pt idx="10">
                  <c:v>660.37020899752031</c:v>
                </c:pt>
                <c:pt idx="11">
                  <c:v>665.34047050801223</c:v>
                </c:pt>
                <c:pt idx="12">
                  <c:v>593.62788141239162</c:v>
                </c:pt>
                <c:pt idx="13">
                  <c:v>516.64206311068403</c:v>
                </c:pt>
                <c:pt idx="14">
                  <c:v>570.77538931297704</c:v>
                </c:pt>
                <c:pt idx="15">
                  <c:v>556.80132880555141</c:v>
                </c:pt>
                <c:pt idx="16">
                  <c:v>536.65134233057609</c:v>
                </c:pt>
                <c:pt idx="17">
                  <c:v>558.81493588840351</c:v>
                </c:pt>
                <c:pt idx="18">
                  <c:v>371.76169800884958</c:v>
                </c:pt>
                <c:pt idx="19">
                  <c:v>353.97118506493507</c:v>
                </c:pt>
                <c:pt idx="20">
                  <c:v>339.7719903043361</c:v>
                </c:pt>
                <c:pt idx="21">
                  <c:v>325.74211087420042</c:v>
                </c:pt>
                <c:pt idx="22">
                  <c:v>349.59046999088662</c:v>
                </c:pt>
                <c:pt idx="23">
                  <c:v>346.13166899707642</c:v>
                </c:pt>
                <c:pt idx="24">
                  <c:v>340.48681139415231</c:v>
                </c:pt>
                <c:pt idx="25">
                  <c:v>332.82194372773063</c:v>
                </c:pt>
                <c:pt idx="26">
                  <c:v>345.64313490158423</c:v>
                </c:pt>
                <c:pt idx="27">
                  <c:v>358.80230473751595</c:v>
                </c:pt>
                <c:pt idx="28">
                  <c:v>356.14405862457721</c:v>
                </c:pt>
                <c:pt idx="29">
                  <c:v>385.35337800725029</c:v>
                </c:pt>
                <c:pt idx="30">
                  <c:v>352.72660218939313</c:v>
                </c:pt>
                <c:pt idx="31">
                  <c:v>471.60643722115998</c:v>
                </c:pt>
                <c:pt idx="32">
                  <c:v>108.78627575950711</c:v>
                </c:pt>
                <c:pt idx="33">
                  <c:v>489.81505062102076</c:v>
                </c:pt>
                <c:pt idx="34">
                  <c:v>422.0681033602288</c:v>
                </c:pt>
                <c:pt idx="35">
                  <c:v>442.28219999999999</c:v>
                </c:pt>
                <c:pt idx="36">
                  <c:v>418.52162614430551</c:v>
                </c:pt>
                <c:pt idx="37">
                  <c:v>550.59071345482744</c:v>
                </c:pt>
                <c:pt idx="38">
                  <c:v>496.48722993827158</c:v>
                </c:pt>
                <c:pt idx="39">
                  <c:v>472.06014173529974</c:v>
                </c:pt>
                <c:pt idx="40">
                  <c:v>402.6096780267369</c:v>
                </c:pt>
                <c:pt idx="41" formatCode="0">
                  <c:v>425.09582757667857</c:v>
                </c:pt>
                <c:pt idx="42" formatCode="0">
                  <c:v>440.21441506700467</c:v>
                </c:pt>
                <c:pt idx="43" formatCode="0">
                  <c:v>414</c:v>
                </c:pt>
                <c:pt idx="44" formatCode="0">
                  <c:v>407.50458075211588</c:v>
                </c:pt>
                <c:pt idx="45" formatCode="0">
                  <c:v>432.66084425036394</c:v>
                </c:pt>
              </c:numCache>
            </c:numRef>
          </c:val>
          <c:extLst>
            <c:ext xmlns:c16="http://schemas.microsoft.com/office/drawing/2014/chart" uri="{C3380CC4-5D6E-409C-BE32-E72D297353CC}">
              <c16:uniqueId val="{00000001-A55E-40C8-A3FC-AC8E09D736E6}"/>
            </c:ext>
          </c:extLst>
        </c:ser>
        <c:ser>
          <c:idx val="2"/>
          <c:order val="2"/>
          <c:tx>
            <c:v>Efficiency</c:v>
          </c:tx>
          <c:spPr>
            <a:solidFill>
              <a:srgbClr val="FCF305"/>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1978-2022R'!$E$209:$AX$209</c:f>
              <c:numCache>
                <c:formatCode>0.0</c:formatCode>
                <c:ptCount val="46"/>
                <c:pt idx="0">
                  <c:v>619.61431297709919</c:v>
                </c:pt>
                <c:pt idx="1">
                  <c:v>751.36226635514004</c:v>
                </c:pt>
                <c:pt idx="2">
                  <c:v>876.99688078244765</c:v>
                </c:pt>
                <c:pt idx="3">
                  <c:v>782.64265335235382</c:v>
                </c:pt>
                <c:pt idx="4">
                  <c:v>378.20411504424777</c:v>
                </c:pt>
                <c:pt idx="5">
                  <c:v>319.10436064883072</c:v>
                </c:pt>
                <c:pt idx="6">
                  <c:v>339.81601287467305</c:v>
                </c:pt>
                <c:pt idx="7">
                  <c:v>349.20178640776697</c:v>
                </c:pt>
                <c:pt idx="8">
                  <c:v>350.37653100038034</c:v>
                </c:pt>
                <c:pt idx="9">
                  <c:v>310.91138868479061</c:v>
                </c:pt>
                <c:pt idx="10">
                  <c:v>297.19649309245483</c:v>
                </c:pt>
                <c:pt idx="11">
                  <c:v>290.27108762359359</c:v>
                </c:pt>
                <c:pt idx="12">
                  <c:v>354.82714856762158</c:v>
                </c:pt>
                <c:pt idx="13">
                  <c:v>408.30225852955311</c:v>
                </c:pt>
                <c:pt idx="14">
                  <c:v>440.71007633587783</c:v>
                </c:pt>
                <c:pt idx="15">
                  <c:v>513.76595304887041</c:v>
                </c:pt>
                <c:pt idx="16">
                  <c:v>616.3488027862428</c:v>
                </c:pt>
                <c:pt idx="17">
                  <c:v>663.31523178807936</c:v>
                </c:pt>
                <c:pt idx="18">
                  <c:v>563.16684181415928</c:v>
                </c:pt>
                <c:pt idx="19">
                  <c:v>600.4569264069263</c:v>
                </c:pt>
                <c:pt idx="20">
                  <c:v>651.88635873956355</c:v>
                </c:pt>
                <c:pt idx="21">
                  <c:v>723.46502727000882</c:v>
                </c:pt>
                <c:pt idx="22">
                  <c:v>748.09922615985272</c:v>
                </c:pt>
                <c:pt idx="23">
                  <c:v>803.14795988288677</c:v>
                </c:pt>
                <c:pt idx="24">
                  <c:v>660.59893236764799</c:v>
                </c:pt>
                <c:pt idx="25">
                  <c:v>681.54522668632512</c:v>
                </c:pt>
                <c:pt idx="26">
                  <c:v>647.25357657225163</c:v>
                </c:pt>
                <c:pt idx="27">
                  <c:v>540.6642813069451</c:v>
                </c:pt>
                <c:pt idx="28">
                  <c:v>523.09482877564096</c:v>
                </c:pt>
                <c:pt idx="29">
                  <c:v>504.06433322567096</c:v>
                </c:pt>
                <c:pt idx="30">
                  <c:v>598.27343572321058</c:v>
                </c:pt>
                <c:pt idx="31">
                  <c:v>741.99529650182319</c:v>
                </c:pt>
                <c:pt idx="32">
                  <c:v>803.68437994826434</c:v>
                </c:pt>
                <c:pt idx="33">
                  <c:v>883.83671952135887</c:v>
                </c:pt>
                <c:pt idx="34">
                  <c:v>772.1633567915909</c:v>
                </c:pt>
                <c:pt idx="35">
                  <c:v>816.33941295862155</c:v>
                </c:pt>
                <c:pt idx="36">
                  <c:v>692.88501813231335</c:v>
                </c:pt>
                <c:pt idx="37">
                  <c:v>785.23946636351047</c:v>
                </c:pt>
                <c:pt idx="38">
                  <c:v>756.22693367029842</c:v>
                </c:pt>
                <c:pt idx="39">
                  <c:v>884.36084465584884</c:v>
                </c:pt>
                <c:pt idx="40">
                  <c:v>841.89779959548252</c:v>
                </c:pt>
                <c:pt idx="41" formatCode="0">
                  <c:v>987.14453692666007</c:v>
                </c:pt>
                <c:pt idx="42" formatCode="0">
                  <c:v>997.69267903512889</c:v>
                </c:pt>
                <c:pt idx="43" formatCode="0">
                  <c:v>1131.0264629847238</c:v>
                </c:pt>
                <c:pt idx="44" formatCode="0">
                  <c:v>1154.8600463895443</c:v>
                </c:pt>
                <c:pt idx="45" formatCode="0">
                  <c:v>1615.1347680782853</c:v>
                </c:pt>
              </c:numCache>
            </c:numRef>
          </c:val>
          <c:extLst>
            <c:ext xmlns:c16="http://schemas.microsoft.com/office/drawing/2014/chart" uri="{C3380CC4-5D6E-409C-BE32-E72D297353CC}">
              <c16:uniqueId val="{00000002-A55E-40C8-A3FC-AC8E09D736E6}"/>
            </c:ext>
          </c:extLst>
        </c:ser>
        <c:ser>
          <c:idx val="3"/>
          <c:order val="3"/>
          <c:tx>
            <c:v>Renewables</c:v>
          </c:tx>
          <c:spPr>
            <a:solidFill>
              <a:srgbClr val="666699"/>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1978-2022R'!$E$211:$AX$211</c:f>
              <c:numCache>
                <c:formatCode>0.0</c:formatCode>
                <c:ptCount val="46"/>
                <c:pt idx="0">
                  <c:v>2164.8916030534347</c:v>
                </c:pt>
                <c:pt idx="1">
                  <c:v>2530.5066004672894</c:v>
                </c:pt>
                <c:pt idx="2">
                  <c:v>2477.1889505683316</c:v>
                </c:pt>
                <c:pt idx="3">
                  <c:v>2201.8346647646222</c:v>
                </c:pt>
                <c:pt idx="4">
                  <c:v>998.17004424778759</c:v>
                </c:pt>
                <c:pt idx="5">
                  <c:v>720.71118601221815</c:v>
                </c:pt>
                <c:pt idx="6">
                  <c:v>579.22669483001414</c:v>
                </c:pt>
                <c:pt idx="7">
                  <c:v>558.76656310679596</c:v>
                </c:pt>
                <c:pt idx="8">
                  <c:v>446.90665652339294</c:v>
                </c:pt>
                <c:pt idx="9">
                  <c:v>376.23585598824388</c:v>
                </c:pt>
                <c:pt idx="10">
                  <c:v>303.47529224229538</c:v>
                </c:pt>
                <c:pt idx="11">
                  <c:v>308.11326287078072</c:v>
                </c:pt>
                <c:pt idx="12">
                  <c:v>260.73141239173879</c:v>
                </c:pt>
                <c:pt idx="13">
                  <c:v>362.69498638475096</c:v>
                </c:pt>
                <c:pt idx="14">
                  <c:v>415.2811908396946</c:v>
                </c:pt>
                <c:pt idx="15">
                  <c:v>424.87048575225151</c:v>
                </c:pt>
                <c:pt idx="16">
                  <c:v>503.98844870120445</c:v>
                </c:pt>
                <c:pt idx="17">
                  <c:v>571.65943356347748</c:v>
                </c:pt>
                <c:pt idx="18">
                  <c:v>395.41501659292038</c:v>
                </c:pt>
                <c:pt idx="19">
                  <c:v>350.71312770562764</c:v>
                </c:pt>
                <c:pt idx="20">
                  <c:v>443.50701589011578</c:v>
                </c:pt>
                <c:pt idx="21">
                  <c:v>531.58053038379524</c:v>
                </c:pt>
                <c:pt idx="22">
                  <c:v>415.06908735841694</c:v>
                </c:pt>
                <c:pt idx="23">
                  <c:v>491.53100292360506</c:v>
                </c:pt>
                <c:pt idx="24">
                  <c:v>499.68663822311458</c:v>
                </c:pt>
                <c:pt idx="25">
                  <c:v>392.55567022975788</c:v>
                </c:pt>
                <c:pt idx="26">
                  <c:v>352.9368939030245</c:v>
                </c:pt>
                <c:pt idx="27">
                  <c:v>382.91622020575142</c:v>
                </c:pt>
                <c:pt idx="28">
                  <c:v>340.26698485489396</c:v>
                </c:pt>
                <c:pt idx="29">
                  <c:v>675.19795258548845</c:v>
                </c:pt>
                <c:pt idx="30">
                  <c:v>811.95560327620694</c:v>
                </c:pt>
                <c:pt idx="31">
                  <c:v>988.40706019366303</c:v>
                </c:pt>
                <c:pt idx="32">
                  <c:v>1905.3598495203294</c:v>
                </c:pt>
                <c:pt idx="33">
                  <c:v>1127.2941743245092</c:v>
                </c:pt>
                <c:pt idx="34">
                  <c:v>847.5578012798253</c:v>
                </c:pt>
                <c:pt idx="35">
                  <c:v>891.6907519361672</c:v>
                </c:pt>
                <c:pt idx="36">
                  <c:v>831.22425577979595</c:v>
                </c:pt>
                <c:pt idx="37">
                  <c:v>898.70285237394387</c:v>
                </c:pt>
                <c:pt idx="38">
                  <c:v>832.44172539298563</c:v>
                </c:pt>
                <c:pt idx="39">
                  <c:v>910.85482502409059</c:v>
                </c:pt>
                <c:pt idx="40">
                  <c:v>871.46395010760739</c:v>
                </c:pt>
                <c:pt idx="41" formatCode="0">
                  <c:v>942.76226865534352</c:v>
                </c:pt>
                <c:pt idx="42" formatCode="0">
                  <c:v>943.52020856954164</c:v>
                </c:pt>
                <c:pt idx="43" formatCode="0">
                  <c:v>1093.0292405866951</c:v>
                </c:pt>
                <c:pt idx="44" formatCode="0">
                  <c:v>1086.2486759621413</c:v>
                </c:pt>
                <c:pt idx="45" formatCode="0">
                  <c:v>1535.1784910980653</c:v>
                </c:pt>
              </c:numCache>
            </c:numRef>
          </c:val>
          <c:extLst>
            <c:ext xmlns:c16="http://schemas.microsoft.com/office/drawing/2014/chart" uri="{C3380CC4-5D6E-409C-BE32-E72D297353CC}">
              <c16:uniqueId val="{00000003-A55E-40C8-A3FC-AC8E09D736E6}"/>
            </c:ext>
          </c:extLst>
        </c:ser>
        <c:ser>
          <c:idx val="4"/>
          <c:order val="4"/>
          <c:tx>
            <c:v>Fossil including CCT demo</c:v>
          </c:tx>
          <c:spPr>
            <a:solidFill>
              <a:srgbClr val="660066"/>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1978-2022R'!$E$212:$AX$212</c:f>
              <c:numCache>
                <c:formatCode>0.0</c:formatCode>
                <c:ptCount val="46"/>
                <c:pt idx="0">
                  <c:v>2739.7619592875317</c:v>
                </c:pt>
                <c:pt idx="1">
                  <c:v>2499.9393691588784</c:v>
                </c:pt>
                <c:pt idx="2">
                  <c:v>2484.923658472112</c:v>
                </c:pt>
                <c:pt idx="3">
                  <c:v>2660.4498811222065</c:v>
                </c:pt>
                <c:pt idx="4">
                  <c:v>1040.2480530973448</c:v>
                </c:pt>
                <c:pt idx="5">
                  <c:v>514.69210027385702</c:v>
                </c:pt>
                <c:pt idx="6">
                  <c:v>592.13110038221669</c:v>
                </c:pt>
                <c:pt idx="7">
                  <c:v>631.53514563106796</c:v>
                </c:pt>
                <c:pt idx="8">
                  <c:v>662.22662609357155</c:v>
                </c:pt>
                <c:pt idx="9">
                  <c:v>606.111829537105</c:v>
                </c:pt>
                <c:pt idx="10">
                  <c:v>1038.6927736450584</c:v>
                </c:pt>
                <c:pt idx="11">
                  <c:v>1084.1519604500511</c:v>
                </c:pt>
                <c:pt idx="12">
                  <c:v>1792.6924716855428</c:v>
                </c:pt>
                <c:pt idx="13">
                  <c:v>1509.7268941214161</c:v>
                </c:pt>
                <c:pt idx="14">
                  <c:v>1416.973099236641</c:v>
                </c:pt>
                <c:pt idx="15">
                  <c:v>662.31277129779983</c:v>
                </c:pt>
                <c:pt idx="16">
                  <c:v>1031.4941808155565</c:v>
                </c:pt>
                <c:pt idx="17">
                  <c:v>690.03495843314079</c:v>
                </c:pt>
                <c:pt idx="18">
                  <c:v>778.84775995575217</c:v>
                </c:pt>
                <c:pt idx="19">
                  <c:v>519.76672077922069</c:v>
                </c:pt>
                <c:pt idx="20">
                  <c:v>364.38348505251815</c:v>
                </c:pt>
                <c:pt idx="21">
                  <c:v>484.6538699360342</c:v>
                </c:pt>
                <c:pt idx="22">
                  <c:v>368.63772946230961</c:v>
                </c:pt>
                <c:pt idx="23">
                  <c:v>758.5828295411211</c:v>
                </c:pt>
                <c:pt idx="24">
                  <c:v>857.99569582130755</c:v>
                </c:pt>
                <c:pt idx="25">
                  <c:v>761.92303968546514</c:v>
                </c:pt>
                <c:pt idx="26">
                  <c:v>737.34500720115216</c:v>
                </c:pt>
                <c:pt idx="27">
                  <c:v>508.92550343382607</c:v>
                </c:pt>
                <c:pt idx="28">
                  <c:v>698.43948027057479</c:v>
                </c:pt>
                <c:pt idx="29">
                  <c:v>705.3067120729429</c:v>
                </c:pt>
                <c:pt idx="30">
                  <c:v>788.46177064512688</c:v>
                </c:pt>
                <c:pt idx="31">
                  <c:v>1019.4828128319523</c:v>
                </c:pt>
                <c:pt idx="32">
                  <c:v>4062.868536222647</c:v>
                </c:pt>
                <c:pt idx="33">
                  <c:v>762.67844692620804</c:v>
                </c:pt>
                <c:pt idx="34">
                  <c:v>486.65187948115607</c:v>
                </c:pt>
                <c:pt idx="35">
                  <c:v>369.8064399999999</c:v>
                </c:pt>
                <c:pt idx="36">
                  <c:v>554.33621419431051</c:v>
                </c:pt>
                <c:pt idx="37">
                  <c:v>605.79160527336182</c:v>
                </c:pt>
                <c:pt idx="38">
                  <c:v>585.71165123456785</c:v>
                </c:pt>
                <c:pt idx="39">
                  <c:v>671.76960352422896</c:v>
                </c:pt>
                <c:pt idx="40">
                  <c:v>608.47036339672366</c:v>
                </c:pt>
                <c:pt idx="41" formatCode="0">
                  <c:v>639.76870221976606</c:v>
                </c:pt>
                <c:pt idx="42" formatCode="0">
                  <c:v>702.81454183266931</c:v>
                </c:pt>
                <c:pt idx="43" formatCode="0">
                  <c:v>696.9</c:v>
                </c:pt>
                <c:pt idx="44" formatCode="0">
                  <c:v>654.26578832562598</c:v>
                </c:pt>
                <c:pt idx="45" formatCode="0">
                  <c:v>776.9586608442504</c:v>
                </c:pt>
              </c:numCache>
            </c:numRef>
          </c:val>
          <c:extLst>
            <c:ext xmlns:c16="http://schemas.microsoft.com/office/drawing/2014/chart" uri="{C3380CC4-5D6E-409C-BE32-E72D297353CC}">
              <c16:uniqueId val="{00000004-A55E-40C8-A3FC-AC8E09D736E6}"/>
            </c:ext>
          </c:extLst>
        </c:ser>
        <c:ser>
          <c:idx val="5"/>
          <c:order val="5"/>
          <c:tx>
            <c:v>Basic Energy Sciences</c:v>
          </c:tx>
          <c:spPr>
            <a:solidFill>
              <a:srgbClr val="808080"/>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1978-2022R'!$E$222:$AX$222</c:f>
              <c:numCache>
                <c:formatCode>0.0</c:formatCode>
                <c:ptCount val="46"/>
                <c:pt idx="0">
                  <c:v>645.74478371501277</c:v>
                </c:pt>
                <c:pt idx="1">
                  <c:v>672.80776869158876</c:v>
                </c:pt>
                <c:pt idx="2">
                  <c:v>668.90348929421077</c:v>
                </c:pt>
                <c:pt idx="3">
                  <c:v>608.72206371849745</c:v>
                </c:pt>
                <c:pt idx="4">
                  <c:v>632.29055309734508</c:v>
                </c:pt>
                <c:pt idx="5">
                  <c:v>699.61141773751842</c:v>
                </c:pt>
                <c:pt idx="6">
                  <c:v>759.54878294105811</c:v>
                </c:pt>
                <c:pt idx="7">
                  <c:v>897.6977087378641</c:v>
                </c:pt>
                <c:pt idx="8">
                  <c:v>919.49760365157852</c:v>
                </c:pt>
                <c:pt idx="9">
                  <c:v>1099.7663482733285</c:v>
                </c:pt>
                <c:pt idx="10">
                  <c:v>1115.2343251859722</c:v>
                </c:pt>
                <c:pt idx="11">
                  <c:v>1047.3165018752129</c:v>
                </c:pt>
                <c:pt idx="12">
                  <c:v>1057.358660892738</c:v>
                </c:pt>
                <c:pt idx="13">
                  <c:v>1272.3167067115169</c:v>
                </c:pt>
                <c:pt idx="14">
                  <c:v>1306.4949007633586</c:v>
                </c:pt>
                <c:pt idx="15">
                  <c:v>1415.5149269156946</c:v>
                </c:pt>
                <c:pt idx="16">
                  <c:v>1237.5970396168914</c:v>
                </c:pt>
                <c:pt idx="17">
                  <c:v>1131.7429618148515</c:v>
                </c:pt>
                <c:pt idx="18">
                  <c:v>1204.9187223451327</c:v>
                </c:pt>
                <c:pt idx="19">
                  <c:v>989.14012445887442</c:v>
                </c:pt>
                <c:pt idx="20">
                  <c:v>987.79385941287364</c:v>
                </c:pt>
                <c:pt idx="21">
                  <c:v>1174.5912579957355</c:v>
                </c:pt>
                <c:pt idx="22">
                  <c:v>1107.085327431324</c:v>
                </c:pt>
                <c:pt idx="23">
                  <c:v>1393.0526503114274</c:v>
                </c:pt>
                <c:pt idx="24">
                  <c:v>1383.3565365792444</c:v>
                </c:pt>
                <c:pt idx="25">
                  <c:v>1385.3523282958593</c:v>
                </c:pt>
                <c:pt idx="26">
                  <c:v>1043.5478156505039</c:v>
                </c:pt>
                <c:pt idx="27">
                  <c:v>1118.1951344430217</c:v>
                </c:pt>
                <c:pt idx="28">
                  <c:v>1184.9053664036076</c:v>
                </c:pt>
                <c:pt idx="29">
                  <c:v>1355.4746347358014</c:v>
                </c:pt>
                <c:pt idx="30">
                  <c:v>1498.6993304283135</c:v>
                </c:pt>
                <c:pt idx="31">
                  <c:v>1836.216698534098</c:v>
                </c:pt>
                <c:pt idx="32">
                  <c:v>663.47673677501587</c:v>
                </c:pt>
                <c:pt idx="33">
                  <c:v>1878.2116689280867</c:v>
                </c:pt>
                <c:pt idx="34">
                  <c:v>1709.1919109386172</c:v>
                </c:pt>
                <c:pt idx="35">
                  <c:v>1680.67236</c:v>
                </c:pt>
                <c:pt idx="36">
                  <c:v>1718.508731174328</c:v>
                </c:pt>
                <c:pt idx="37">
                  <c:v>1756.3920124079098</c:v>
                </c:pt>
                <c:pt idx="38">
                  <c:v>1826.7126350308642</c:v>
                </c:pt>
                <c:pt idx="39">
                  <c:v>1992.7835663665965</c:v>
                </c:pt>
                <c:pt idx="40">
                  <c:v>1982.8526642816794</c:v>
                </c:pt>
                <c:pt idx="41">
                  <c:v>2166.4235055724416</c:v>
                </c:pt>
                <c:pt idx="42">
                  <c:v>2207.1861644331761</c:v>
                </c:pt>
                <c:pt idx="43">
                  <c:v>2213</c:v>
                </c:pt>
                <c:pt idx="44">
                  <c:v>2204.452491056627</c:v>
                </c:pt>
                <c:pt idx="45">
                  <c:v>2216.3027656477439</c:v>
                </c:pt>
              </c:numCache>
            </c:numRef>
          </c:val>
          <c:extLst>
            <c:ext xmlns:c16="http://schemas.microsoft.com/office/drawing/2014/chart" uri="{C3380CC4-5D6E-409C-BE32-E72D297353CC}">
              <c16:uniqueId val="{00000005-A55E-40C8-A3FC-AC8E09D736E6}"/>
            </c:ext>
          </c:extLst>
        </c:ser>
        <c:ser>
          <c:idx val="6"/>
          <c:order val="6"/>
          <c:tx>
            <c:v>Electricity T&amp;D</c:v>
          </c:tx>
          <c:spPr>
            <a:solidFill>
              <a:srgbClr val="006411"/>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1978-2022R'!$E$213:$AX$213</c:f>
              <c:numCache>
                <c:formatCode>0.0</c:formatCode>
                <c:ptCount val="46"/>
                <c:pt idx="25">
                  <c:v>102.59245607568498</c:v>
                </c:pt>
                <c:pt idx="26">
                  <c:v>97.335573691790671</c:v>
                </c:pt>
                <c:pt idx="27">
                  <c:v>113.60726341520196</c:v>
                </c:pt>
                <c:pt idx="28">
                  <c:v>164.48703494926718</c:v>
                </c:pt>
                <c:pt idx="29">
                  <c:v>99.307920465780512</c:v>
                </c:pt>
                <c:pt idx="30">
                  <c:v>106.17493888829844</c:v>
                </c:pt>
                <c:pt idx="31">
                  <c:v>130.7626938602082</c:v>
                </c:pt>
                <c:pt idx="32">
                  <c:v>700.36835982939124</c:v>
                </c:pt>
                <c:pt idx="33">
                  <c:v>162.51929012345681</c:v>
                </c:pt>
                <c:pt idx="34">
                  <c:v>132.25435740279639</c:v>
                </c:pt>
                <c:pt idx="35">
                  <c:v>128.22443984183769</c:v>
                </c:pt>
                <c:pt idx="36">
                  <c:v>119.09367228516165</c:v>
                </c:pt>
                <c:pt idx="37">
                  <c:v>133.28504165157551</c:v>
                </c:pt>
                <c:pt idx="38">
                  <c:v>156.19701003086416</c:v>
                </c:pt>
                <c:pt idx="39">
                  <c:v>222.01915341888525</c:v>
                </c:pt>
                <c:pt idx="40">
                  <c:v>243.26100546036525</c:v>
                </c:pt>
                <c:pt idx="41" formatCode="0">
                  <c:v>270.54379662890295</c:v>
                </c:pt>
                <c:pt idx="42" formatCode="0">
                  <c:v>269.52942774357115</c:v>
                </c:pt>
                <c:pt idx="43" formatCode="0">
                  <c:v>333</c:v>
                </c:pt>
                <c:pt idx="44" formatCode="0">
                  <c:v>349.27561294825932</c:v>
                </c:pt>
                <c:pt idx="45" formatCode="0">
                  <c:v>315.10043668122273</c:v>
                </c:pt>
              </c:numCache>
            </c:numRef>
          </c:val>
          <c:extLst>
            <c:ext xmlns:c16="http://schemas.microsoft.com/office/drawing/2014/chart" uri="{C3380CC4-5D6E-409C-BE32-E72D297353CC}">
              <c16:uniqueId val="{00000006-A55E-40C8-A3FC-AC8E09D736E6}"/>
            </c:ext>
          </c:extLst>
        </c:ser>
        <c:ser>
          <c:idx val="7"/>
          <c:order val="7"/>
          <c:tx>
            <c:v>Hydrogen (EERE)</c:v>
          </c:tx>
          <c:spPr>
            <a:solidFill>
              <a:srgbClr val="3366FF"/>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1978-2022R'!$E$210:$AX$210</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15.678188942098387</c:v>
                </c:pt>
                <c:pt idx="17">
                  <c:v>13.954515992672961</c:v>
                </c:pt>
                <c:pt idx="18">
                  <c:v>22.252793141592921</c:v>
                </c:pt>
                <c:pt idx="19">
                  <c:v>22.532359307359307</c:v>
                </c:pt>
                <c:pt idx="20">
                  <c:v>28.642687853487743</c:v>
                </c:pt>
                <c:pt idx="21">
                  <c:v>37.463342217484005</c:v>
                </c:pt>
                <c:pt idx="22">
                  <c:v>35.589071735451114</c:v>
                </c:pt>
                <c:pt idx="23">
                  <c:v>38.052167281047417</c:v>
                </c:pt>
                <c:pt idx="24">
                  <c:v>106.76401054084576</c:v>
                </c:pt>
                <c:pt idx="25">
                  <c:v>127.21071384690993</c:v>
                </c:pt>
                <c:pt idx="26">
                  <c:v>194.77037926068169</c:v>
                </c:pt>
                <c:pt idx="27">
                  <c:v>218.5039227098126</c:v>
                </c:pt>
                <c:pt idx="28">
                  <c:v>194.75636978579482</c:v>
                </c:pt>
                <c:pt idx="29">
                  <c:v>234.2780402065253</c:v>
                </c:pt>
                <c:pt idx="30">
                  <c:v>246.63352109682219</c:v>
                </c:pt>
                <c:pt idx="31">
                  <c:v>196.77165923093264</c:v>
                </c:pt>
                <c:pt idx="32">
                  <c:v>51.404503930316544</c:v>
                </c:pt>
                <c:pt idx="33">
                  <c:v>204.38325853251226</c:v>
                </c:pt>
                <c:pt idx="34">
                  <c:v>110.1147175977939</c:v>
                </c:pt>
                <c:pt idx="35">
                  <c:v>114.00301999999999</c:v>
                </c:pt>
                <c:pt idx="36">
                  <c:v>106.12591790530563</c:v>
                </c:pt>
                <c:pt idx="37">
                  <c:v>101.34709189608375</c:v>
                </c:pt>
                <c:pt idx="38">
                  <c:v>102.90115740740741</c:v>
                </c:pt>
                <c:pt idx="39">
                  <c:v>108.85405094809423</c:v>
                </c:pt>
                <c:pt idx="40">
                  <c:v>107.00941442289587</c:v>
                </c:pt>
                <c:pt idx="41" formatCode="0">
                  <c:v>119.20512112001472</c:v>
                </c:pt>
                <c:pt idx="42" formatCode="0">
                  <c:v>122.28178196305686</c:v>
                </c:pt>
                <c:pt idx="43" formatCode="0">
                  <c:v>150</c:v>
                </c:pt>
                <c:pt idx="44" formatCode="0">
                  <c:v>147.29081232004188</c:v>
                </c:pt>
                <c:pt idx="45" formatCode="0">
                  <c:v>190.31295487627366</c:v>
                </c:pt>
              </c:numCache>
            </c:numRef>
          </c:val>
          <c:extLst>
            <c:ext xmlns:c16="http://schemas.microsoft.com/office/drawing/2014/chart" uri="{C3380CC4-5D6E-409C-BE32-E72D297353CC}">
              <c16:uniqueId val="{00000007-A55E-40C8-A3FC-AC8E09D736E6}"/>
            </c:ext>
          </c:extLst>
        </c:ser>
        <c:ser>
          <c:idx val="8"/>
          <c:order val="8"/>
          <c:tx>
            <c:v>ARPA-E</c:v>
          </c:tx>
          <c:spPr>
            <a:solidFill>
              <a:srgbClr val="F20884"/>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1978-2022R'!$E$214:$AX$214</c:f>
              <c:numCache>
                <c:formatCode>0.0</c:formatCode>
                <c:ptCount val="46"/>
                <c:pt idx="31">
                  <c:v>10.400446144040789</c:v>
                </c:pt>
                <c:pt idx="32">
                  <c:v>464.91189717442103</c:v>
                </c:pt>
                <c:pt idx="33">
                  <c:v>0</c:v>
                </c:pt>
                <c:pt idx="34">
                  <c:v>206.4363599223777</c:v>
                </c:pt>
                <c:pt idx="35">
                  <c:v>309.48500000000001</c:v>
                </c:pt>
                <c:pt idx="36">
                  <c:v>277.61122157692682</c:v>
                </c:pt>
                <c:pt idx="37">
                  <c:v>305.48129895308256</c:v>
                </c:pt>
                <c:pt idx="38">
                  <c:v>303.91661458333334</c:v>
                </c:pt>
                <c:pt idx="39">
                  <c:v>313.73677456425975</c:v>
                </c:pt>
                <c:pt idx="40">
                  <c:v>323.46509131990206</c:v>
                </c:pt>
                <c:pt idx="41" formatCode="0">
                  <c:v>366.3225200331583</c:v>
                </c:pt>
                <c:pt idx="42" formatCode="0">
                  <c:v>373.06133647229262</c:v>
                </c:pt>
                <c:pt idx="43" formatCode="0">
                  <c:v>425</c:v>
                </c:pt>
                <c:pt idx="44" formatCode="0">
                  <c:v>419.28784573771924</c:v>
                </c:pt>
                <c:pt idx="45" formatCode="0">
                  <c:v>481.80494905385734</c:v>
                </c:pt>
              </c:numCache>
            </c:numRef>
          </c:val>
          <c:extLst>
            <c:ext xmlns:c16="http://schemas.microsoft.com/office/drawing/2014/chart" uri="{C3380CC4-5D6E-409C-BE32-E72D297353CC}">
              <c16:uniqueId val="{00000008-A55E-40C8-A3FC-AC8E09D736E6}"/>
            </c:ext>
          </c:extLst>
        </c:ser>
        <c:ser>
          <c:idx val="11"/>
          <c:order val="9"/>
          <c:tx>
            <c:strRef>
              <c:f>'Complete Data 1978-2022R'!$BA$215</c:f>
              <c:strCache>
                <c:ptCount val="1"/>
                <c:pt idx="0">
                  <c:v>ARPA-C</c:v>
                </c:pt>
              </c:strCache>
            </c:strRef>
          </c:tx>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1978-2022R'!$E$215:$AX$215</c:f>
              <c:numCache>
                <c:formatCode>0.0</c:formatCode>
                <c:ptCount val="46"/>
                <c:pt idx="45" formatCode="0">
                  <c:v>192.72197962154294</c:v>
                </c:pt>
              </c:numCache>
            </c:numRef>
          </c:val>
          <c:extLst>
            <c:ext xmlns:c16="http://schemas.microsoft.com/office/drawing/2014/chart" uri="{C3380CC4-5D6E-409C-BE32-E72D297353CC}">
              <c16:uniqueId val="{00000001-81E6-4E9A-9ABC-F4D80DF8CA8A}"/>
            </c:ext>
          </c:extLst>
        </c:ser>
        <c:ser>
          <c:idx val="9"/>
          <c:order val="10"/>
          <c:tx>
            <c:strRef>
              <c:f>'Complete Data 1978-2022R'!$B$216</c:f>
              <c:strCache>
                <c:ptCount val="1"/>
                <c:pt idx="0">
                  <c:v>OCDE</c:v>
                </c:pt>
              </c:strCache>
              <c:extLst xmlns:c15="http://schemas.microsoft.com/office/drawing/2012/chart"/>
            </c:strRef>
          </c:tx>
          <c:spPr>
            <a:solidFill>
              <a:schemeClr val="tx1"/>
            </a:solidFill>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1978-2022R'!$E$216:$AX$216</c:f>
              <c:numCache>
                <c:formatCode>0.0</c:formatCode>
                <c:ptCount val="46"/>
                <c:pt idx="45" formatCode="0">
                  <c:v>385.44395924308589</c:v>
                </c:pt>
              </c:numCache>
            </c:numRef>
          </c:val>
          <c:extLst xmlns:c15="http://schemas.microsoft.com/office/drawing/2012/chart">
            <c:ext xmlns:c16="http://schemas.microsoft.com/office/drawing/2014/chart" uri="{C3380CC4-5D6E-409C-BE32-E72D297353CC}">
              <c16:uniqueId val="{00000000-1303-4331-8CC5-1BEC900E58E9}"/>
            </c:ext>
          </c:extLst>
        </c:ser>
        <c:dLbls>
          <c:showLegendKey val="0"/>
          <c:showVal val="0"/>
          <c:showCatName val="0"/>
          <c:showSerName val="0"/>
          <c:showPercent val="0"/>
          <c:showBubbleSize val="0"/>
        </c:dLbls>
        <c:axId val="2146750456"/>
        <c:axId val="2146709928"/>
        <c:extLst>
          <c:ext xmlns:c15="http://schemas.microsoft.com/office/drawing/2012/chart" uri="{02D57815-91ED-43cb-92C2-25804820EDAC}">
            <c15:filteredAreaSeries>
              <c15:ser>
                <c:idx val="10"/>
                <c:order val="11"/>
                <c:tx>
                  <c:strRef>
                    <c:extLst>
                      <c:ext uri="{02D57815-91ED-43cb-92C2-25804820EDAC}">
                        <c15:formulaRef>
                          <c15:sqref>'Complete Data 1978-2022R'!$B$217</c15:sqref>
                        </c15:formulaRef>
                      </c:ext>
                    </c:extLst>
                    <c:strCache>
                      <c:ptCount val="1"/>
                      <c:pt idx="0">
                        <c:v>Sum of BES and Fusion</c:v>
                      </c:pt>
                    </c:strCache>
                  </c:strRef>
                </c:tx>
                <c:cat>
                  <c:strRef>
                    <c:extLst>
                      <c:ext uri="{02D57815-91ED-43cb-92C2-25804820EDAC}">
                        <c15:formulaRef>
                          <c15:sqref>'Complete Data 1978-2022R'!$E$206:$AX$206</c15:sqref>
                        </c15:formulaRef>
                      </c:ext>
                    </c:extLst>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uri="{02D57815-91ED-43cb-92C2-25804820EDAC}">
                        <c15:formulaRef>
                          <c15:sqref>'Complete Data 1978-2022R'!$E$217:$AT$217</c15:sqref>
                        </c15:formulaRef>
                      </c:ext>
                    </c:extLst>
                    <c:numCache>
                      <c:formatCode>0.0</c:formatCode>
                      <c:ptCount val="42"/>
                    </c:numCache>
                  </c:numRef>
                </c:val>
                <c:extLst>
                  <c:ext xmlns:c16="http://schemas.microsoft.com/office/drawing/2014/chart" uri="{C3380CC4-5D6E-409C-BE32-E72D297353CC}">
                    <c16:uniqueId val="{00000000-E0EF-4C71-9482-C418B3B759AA}"/>
                  </c:ext>
                </c:extLst>
              </c15:ser>
            </c15:filteredAreaSeries>
          </c:ext>
        </c:extLst>
      </c:areaChart>
      <c:catAx>
        <c:axId val="2146750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146709928"/>
        <c:crosses val="autoZero"/>
        <c:auto val="1"/>
        <c:lblAlgn val="ctr"/>
        <c:lblOffset val="100"/>
        <c:tickLblSkip val="1"/>
        <c:tickMarkSkip val="1"/>
        <c:noMultiLvlLbl val="0"/>
      </c:catAx>
      <c:valAx>
        <c:axId val="2146709928"/>
        <c:scaling>
          <c:orientation val="minMax"/>
        </c:scaling>
        <c:delete val="0"/>
        <c:axPos val="l"/>
        <c:majorGridlines>
          <c:spPr>
            <a:ln w="3175">
              <a:solidFill>
                <a:srgbClr val="80808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1.10987459900846E-2"/>
              <c:y val="0.415986996723449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6750456"/>
        <c:crosses val="autoZero"/>
        <c:crossBetween val="midCat"/>
      </c:valAx>
      <c:spPr>
        <a:solidFill>
          <a:srgbClr val="FFFFFF"/>
        </a:solidFill>
        <a:ln w="12700">
          <a:solidFill>
            <a:srgbClr val="808080"/>
          </a:solidFill>
          <a:prstDash val="solid"/>
        </a:ln>
      </c:spPr>
    </c:plotArea>
    <c:legend>
      <c:legendPos val="r"/>
      <c:layout>
        <c:manualLayout>
          <c:xMode val="edge"/>
          <c:yMode val="edge"/>
          <c:x val="0.79751183276003601"/>
          <c:y val="0.19929466816647901"/>
          <c:w val="0.20248816401148501"/>
          <c:h val="0.45270536267091294"/>
        </c:manualLayout>
      </c:layout>
      <c:overlay val="0"/>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en-US" sz="2000" b="1" i="0" u="none" strike="noStrike" baseline="0">
                <a:solidFill>
                  <a:srgbClr val="000000"/>
                </a:solidFill>
                <a:latin typeface="Arial"/>
                <a:cs typeface="Arial"/>
              </a:rPr>
              <a:t>Total DOE Energy RD&amp;D Investments </a:t>
            </a:r>
            <a:endParaRPr lang="en-US" sz="1600" b="1" i="0" u="none" strike="noStrike" baseline="0">
              <a:solidFill>
                <a:srgbClr val="000000"/>
              </a:solidFill>
              <a:latin typeface="Arial"/>
              <a:cs typeface="Arial"/>
            </a:endParaRPr>
          </a:p>
          <a:p>
            <a:pPr>
              <a:defRPr sz="2000" b="1" i="0" u="none" strike="noStrike" baseline="0">
                <a:solidFill>
                  <a:srgbClr val="000000"/>
                </a:solidFill>
                <a:latin typeface="Arial"/>
                <a:ea typeface="Arial"/>
                <a:cs typeface="Arial"/>
              </a:defRPr>
            </a:pPr>
            <a:r>
              <a:rPr lang="en-US" sz="1600" b="1" i="0" u="none" strike="noStrike" baseline="0">
                <a:solidFill>
                  <a:srgbClr val="000000"/>
                </a:solidFill>
                <a:latin typeface="Arial"/>
                <a:cs typeface="Arial"/>
              </a:rPr>
              <a:t>FY1978-FY22 Request (2020$)</a:t>
            </a:r>
          </a:p>
        </c:rich>
      </c:tx>
      <c:layout>
        <c:manualLayout>
          <c:xMode val="edge"/>
          <c:yMode val="edge"/>
          <c:x val="0.22197561971420199"/>
          <c:y val="1.9575935361021E-2"/>
        </c:manualLayout>
      </c:layout>
      <c:overlay val="0"/>
      <c:spPr>
        <a:noFill/>
        <a:ln w="25400">
          <a:noFill/>
        </a:ln>
      </c:spPr>
    </c:title>
    <c:autoTitleDeleted val="0"/>
    <c:plotArea>
      <c:layout>
        <c:manualLayout>
          <c:layoutTarget val="inner"/>
          <c:xMode val="edge"/>
          <c:yMode val="edge"/>
          <c:x val="8.4350721420643704E-2"/>
          <c:y val="0.160619993080137"/>
          <c:w val="0.89345172031076603"/>
          <c:h val="0.63647651176864539"/>
        </c:manualLayout>
      </c:layout>
      <c:areaChart>
        <c:grouping val="stacked"/>
        <c:varyColors val="0"/>
        <c:ser>
          <c:idx val="1"/>
          <c:order val="1"/>
          <c:tx>
            <c:v>Total DOE Energy RD&amp;D</c:v>
          </c:tx>
          <c:spPr>
            <a:ln w="25400">
              <a:noFill/>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1978-2022R'!$E$219:$AX$219</c:f>
              <c:numCache>
                <c:formatCode>0.0</c:formatCode>
                <c:ptCount val="46"/>
                <c:pt idx="0">
                  <c:v>9825.414949109414</c:v>
                </c:pt>
                <c:pt idx="1">
                  <c:v>9625.3910630841128</c:v>
                </c:pt>
                <c:pt idx="2">
                  <c:v>9284.9218609569125</c:v>
                </c:pt>
                <c:pt idx="3">
                  <c:v>8555.555159296242</c:v>
                </c:pt>
                <c:pt idx="4">
                  <c:v>5484.5821238938042</c:v>
                </c:pt>
                <c:pt idx="5">
                  <c:v>4136.0287339372235</c:v>
                </c:pt>
                <c:pt idx="6">
                  <c:v>3839.2870448601889</c:v>
                </c:pt>
                <c:pt idx="7">
                  <c:v>3357.4069126213594</c:v>
                </c:pt>
                <c:pt idx="8">
                  <c:v>2961.6127424876377</c:v>
                </c:pt>
                <c:pt idx="9">
                  <c:v>2528.0155400440854</c:v>
                </c:pt>
                <c:pt idx="10">
                  <c:v>2788.2851399220685</c:v>
                </c:pt>
                <c:pt idx="11">
                  <c:v>2809.6629730651207</c:v>
                </c:pt>
                <c:pt idx="12">
                  <c:v>3582.0109926715518</c:v>
                </c:pt>
                <c:pt idx="13">
                  <c:v>3331.3137914464201</c:v>
                </c:pt>
                <c:pt idx="14">
                  <c:v>3351.4583816793893</c:v>
                </c:pt>
                <c:pt idx="15">
                  <c:v>2567.0052155024118</c:v>
                </c:pt>
                <c:pt idx="16">
                  <c:v>2873.5000831721313</c:v>
                </c:pt>
                <c:pt idx="17">
                  <c:v>2685.066610352334</c:v>
                </c:pt>
                <c:pt idx="18">
                  <c:v>2201.3653542824945</c:v>
                </c:pt>
                <c:pt idx="19">
                  <c:v>1943.67827385129</c:v>
                </c:pt>
                <c:pt idx="20">
                  <c:v>1839.7457670640413</c:v>
                </c:pt>
                <c:pt idx="21">
                  <c:v>2150.0575264599047</c:v>
                </c:pt>
                <c:pt idx="22">
                  <c:v>1991.0705291644263</c:v>
                </c:pt>
                <c:pt idx="23">
                  <c:v>2528.0816197414747</c:v>
                </c:pt>
                <c:pt idx="24">
                  <c:v>2685.7487410267595</c:v>
                </c:pt>
                <c:pt idx="25">
                  <c:v>2633.606669015232</c:v>
                </c:pt>
                <c:pt idx="26">
                  <c:v>2622.3095635286882</c:v>
                </c:pt>
                <c:pt idx="27">
                  <c:v>2451.281731317184</c:v>
                </c:pt>
                <c:pt idx="28">
                  <c:v>2675.9895069014688</c:v>
                </c:pt>
                <c:pt idx="29">
                  <c:v>3078.070451590188</c:v>
                </c:pt>
                <c:pt idx="30">
                  <c:v>3528.5921582237511</c:v>
                </c:pt>
                <c:pt idx="31">
                  <c:v>4280.7899719777224</c:v>
                </c:pt>
                <c:pt idx="32">
                  <c:v>8263.2142341193958</c:v>
                </c:pt>
                <c:pt idx="33">
                  <c:v>4290.5906053480539</c:v>
                </c:pt>
                <c:pt idx="34">
                  <c:v>3539.9091413230531</c:v>
                </c:pt>
                <c:pt idx="35">
                  <c:v>3678.0285035630527</c:v>
                </c:pt>
                <c:pt idx="36">
                  <c:v>3557.9350984206835</c:v>
                </c:pt>
                <c:pt idx="37">
                  <c:v>4008.212449741628</c:v>
                </c:pt>
                <c:pt idx="38">
                  <c:v>3749.4942423475291</c:v>
                </c:pt>
                <c:pt idx="39">
                  <c:v>4220.11196146989</c:v>
                </c:pt>
                <c:pt idx="40">
                  <c:v>4045.5169721627099</c:v>
                </c:pt>
                <c:pt idx="41">
                  <c:v>4494.7618996313195</c:v>
                </c:pt>
                <c:pt idx="42">
                  <c:v>4676.5291111469514</c:v>
                </c:pt>
                <c:pt idx="43">
                  <c:v>5279.2398604804812</c:v>
                </c:pt>
                <c:pt idx="44">
                  <c:v>5202.3315635598001</c:v>
                </c:pt>
                <c:pt idx="45">
                  <c:v>7137.1686103527372</c:v>
                </c:pt>
              </c:numCache>
            </c:numRef>
          </c:val>
          <c:extLst>
            <c:ext xmlns:c16="http://schemas.microsoft.com/office/drawing/2014/chart" uri="{C3380CC4-5D6E-409C-BE32-E72D297353CC}">
              <c16:uniqueId val="{00000001-0A4A-4F8F-91B3-236E28FFE217}"/>
            </c:ext>
          </c:extLst>
        </c:ser>
        <c:dLbls>
          <c:showLegendKey val="0"/>
          <c:showVal val="0"/>
          <c:showCatName val="0"/>
          <c:showSerName val="0"/>
          <c:showPercent val="0"/>
          <c:showBubbleSize val="0"/>
        </c:dLbls>
        <c:axId val="2125896584"/>
        <c:axId val="2126353656"/>
        <c:extLst>
          <c:ext xmlns:c15="http://schemas.microsoft.com/office/drawing/2012/chart" uri="{02D57815-91ED-43cb-92C2-25804820EDAC}">
            <c15:filteredAreaSeries>
              <c15:ser>
                <c:idx val="0"/>
                <c:order val="0"/>
                <c:cat>
                  <c:strRef>
                    <c:extLst>
                      <c:ext uri="{02D57815-91ED-43cb-92C2-25804820EDAC}">
                        <c15:formulaRef>
                          <c15:sqref>'Complete Data 1978-2022R'!$E$206:$AX$206</c15:sqref>
                        </c15:formulaRef>
                      </c:ext>
                    </c:extLst>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uri="{02D57815-91ED-43cb-92C2-25804820EDAC}">
                        <c15:formulaRef>
                          <c15:sqref>'Complete Data 1978-2022R'!$E$206:$AW$206</c15:sqref>
                        </c15:formulaRef>
                      </c:ext>
                    </c:extLst>
                    <c:numCache>
                      <c:formatCode>General</c:formatCode>
                      <c:ptCount val="45"/>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0</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numCache>
                  </c:numRef>
                </c:val>
                <c:extLst>
                  <c:ext xmlns:c16="http://schemas.microsoft.com/office/drawing/2014/chart" uri="{C3380CC4-5D6E-409C-BE32-E72D297353CC}">
                    <c16:uniqueId val="{00000000-CDBB-4122-93CE-28788F60AFE1}"/>
                  </c:ext>
                </c:extLst>
              </c15:ser>
            </c15:filteredAreaSeries>
          </c:ext>
        </c:extLst>
      </c:areaChart>
      <c:catAx>
        <c:axId val="2125896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26353656"/>
        <c:crosses val="autoZero"/>
        <c:auto val="1"/>
        <c:lblAlgn val="ctr"/>
        <c:lblOffset val="100"/>
        <c:tickLblSkip val="1"/>
        <c:tickMarkSkip val="1"/>
        <c:noMultiLvlLbl val="0"/>
      </c:catAx>
      <c:valAx>
        <c:axId val="2126353656"/>
        <c:scaling>
          <c:orientation val="minMax"/>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 2020$</a:t>
                </a:r>
              </a:p>
            </c:rich>
          </c:tx>
          <c:layout>
            <c:manualLayout>
              <c:xMode val="edge"/>
              <c:yMode val="edge"/>
              <c:x val="1.22086905803441E-2"/>
              <c:y val="0.443719486044637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25896584"/>
        <c:crosses val="autoZero"/>
        <c:crossBetween val="midCat"/>
      </c:valAx>
      <c:spPr>
        <a:solidFill>
          <a:srgbClr val="FFFFFF"/>
        </a:solidFill>
        <a:ln w="12700">
          <a:solidFill>
            <a:srgbClr val="808080"/>
          </a:solidFill>
          <a:prstDash val="solid"/>
        </a:ln>
      </c:spPr>
    </c:plotArea>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U.S. DOE Energy RD&amp;D Spending 
FY1978-FY2022 Request</a:t>
            </a:r>
          </a:p>
        </c:rich>
      </c:tx>
      <c:layout>
        <c:manualLayout>
          <c:xMode val="edge"/>
          <c:yMode val="edge"/>
          <c:x val="0.30706622271550099"/>
          <c:y val="4.2857142857142899E-2"/>
        </c:manualLayout>
      </c:layout>
      <c:overlay val="0"/>
      <c:spPr>
        <a:noFill/>
        <a:ln w="25400">
          <a:noFill/>
        </a:ln>
      </c:spPr>
    </c:title>
    <c:autoTitleDeleted val="0"/>
    <c:plotArea>
      <c:layout>
        <c:manualLayout>
          <c:layoutTarget val="inner"/>
          <c:xMode val="edge"/>
          <c:yMode val="edge"/>
          <c:x val="9.3229744728080002E-2"/>
          <c:y val="0.197389885807504"/>
          <c:w val="0.89678135405105397"/>
          <c:h val="0.52438191037638604"/>
        </c:manualLayout>
      </c:layout>
      <c:barChart>
        <c:barDir val="col"/>
        <c:grouping val="stacked"/>
        <c:varyColors val="0"/>
        <c:ser>
          <c:idx val="0"/>
          <c:order val="0"/>
          <c:tx>
            <c:strRef>
              <c:f>'Complete Data 1978-2022R'!$B$207</c:f>
              <c:strCache>
                <c:ptCount val="1"/>
                <c:pt idx="0">
                  <c:v>Fission</c:v>
                </c:pt>
              </c:strCache>
            </c:strRef>
          </c:tx>
          <c:spPr>
            <a:solidFill>
              <a:srgbClr val="DD0806"/>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1978-2022R'!$E$207:$AX$207</c15:sqref>
                  </c15:fullRef>
                </c:ext>
              </c:extLst>
              <c:f>'Complete Data 1978-2022R'!$E$207:$AX$207</c:f>
              <c:numCache>
                <c:formatCode>0.0</c:formatCode>
                <c:ptCount val="46"/>
                <c:pt idx="0">
                  <c:v>3111.3157760814252</c:v>
                </c:pt>
                <c:pt idx="1">
                  <c:v>2676.4404789719629</c:v>
                </c:pt>
                <c:pt idx="2">
                  <c:v>2403.7092254824211</c:v>
                </c:pt>
                <c:pt idx="3">
                  <c:v>1856.134046600095</c:v>
                </c:pt>
                <c:pt idx="4">
                  <c:v>1944.5517699115042</c:v>
                </c:pt>
                <c:pt idx="5">
                  <c:v>1494.7644828312618</c:v>
                </c:pt>
                <c:pt idx="6">
                  <c:v>1267.6880506940254</c:v>
                </c:pt>
                <c:pt idx="7">
                  <c:v>879.12314563106781</c:v>
                </c:pt>
                <c:pt idx="8">
                  <c:v>728.36367440091283</c:v>
                </c:pt>
                <c:pt idx="9">
                  <c:v>528.59070536370314</c:v>
                </c:pt>
                <c:pt idx="10">
                  <c:v>488.5503719447396</c:v>
                </c:pt>
                <c:pt idx="11">
                  <c:v>461.78619161268318</c:v>
                </c:pt>
                <c:pt idx="12">
                  <c:v>580.13207861425713</c:v>
                </c:pt>
                <c:pt idx="13">
                  <c:v>533.94758930001603</c:v>
                </c:pt>
                <c:pt idx="14">
                  <c:v>507.71862595419839</c:v>
                </c:pt>
                <c:pt idx="15">
                  <c:v>409.25467659793816</c:v>
                </c:pt>
                <c:pt idx="16">
                  <c:v>169.33911959645289</c:v>
                </c:pt>
                <c:pt idx="17">
                  <c:v>187.2875346865597</c:v>
                </c:pt>
                <c:pt idx="18">
                  <c:v>69.92124476921974</c:v>
                </c:pt>
                <c:pt idx="19">
                  <c:v>96.237954587220898</c:v>
                </c:pt>
                <c:pt idx="20">
                  <c:v>11.55422922401989</c:v>
                </c:pt>
                <c:pt idx="21">
                  <c:v>47.152645778381789</c:v>
                </c:pt>
                <c:pt idx="22">
                  <c:v>74.084944457509479</c:v>
                </c:pt>
                <c:pt idx="23">
                  <c:v>90.635991115737724</c:v>
                </c:pt>
                <c:pt idx="24">
                  <c:v>220.21665267969141</c:v>
                </c:pt>
                <c:pt idx="25">
                  <c:v>222.09252477146774</c:v>
                </c:pt>
                <c:pt idx="26">
                  <c:v>234.8191170572531</c:v>
                </c:pt>
                <c:pt idx="27">
                  <c:v>280.91423044417746</c:v>
                </c:pt>
                <c:pt idx="28">
                  <c:v>348.95539303450118</c:v>
                </c:pt>
                <c:pt idx="29">
                  <c:v>435.25845725026664</c:v>
                </c:pt>
                <c:pt idx="30">
                  <c:v>568.39186063633474</c:v>
                </c:pt>
                <c:pt idx="31">
                  <c:v>671.35697856365869</c:v>
                </c:pt>
                <c:pt idx="32">
                  <c:v>0</c:v>
                </c:pt>
                <c:pt idx="33">
                  <c:v>590.5488560525738</c:v>
                </c:pt>
                <c:pt idx="34">
                  <c:v>520.08534267586208</c:v>
                </c:pt>
                <c:pt idx="35">
                  <c:v>566.73233739192005</c:v>
                </c:pt>
                <c:pt idx="36">
                  <c:v>520.35865371588068</c:v>
                </c:pt>
                <c:pt idx="37">
                  <c:v>588.00320634957234</c:v>
                </c:pt>
                <c:pt idx="38">
                  <c:v>502.63678705647743</c:v>
                </c:pt>
                <c:pt idx="39">
                  <c:v>624.69110837085555</c:v>
                </c:pt>
                <c:pt idx="40">
                  <c:v>635.8552489654378</c:v>
                </c:pt>
                <c:pt idx="41" formatCode="0">
                  <c:v>732.62038580144997</c:v>
                </c:pt>
                <c:pt idx="42" formatCode="0">
                  <c:v>816.68868667707932</c:v>
                </c:pt>
                <c:pt idx="43" formatCode="0">
                  <c:v>1025.1268817204302</c:v>
                </c:pt>
                <c:pt idx="44" formatCode="0">
                  <c:v>972.69129572571831</c:v>
                </c:pt>
                <c:pt idx="45" formatCode="0">
                  <c:v>1196.823834876589</c:v>
                </c:pt>
              </c:numCache>
            </c:numRef>
          </c:val>
          <c:extLst>
            <c:ext xmlns:c16="http://schemas.microsoft.com/office/drawing/2014/chart" uri="{C3380CC4-5D6E-409C-BE32-E72D297353CC}">
              <c16:uniqueId val="{00000000-A58A-4DB6-AAB5-1304A72A2273}"/>
            </c:ext>
          </c:extLst>
        </c:ser>
        <c:ser>
          <c:idx val="2"/>
          <c:order val="1"/>
          <c:tx>
            <c:strRef>
              <c:f>'Complete Data 1978-2022R'!$B$209</c:f>
              <c:strCache>
                <c:ptCount val="1"/>
                <c:pt idx="0">
                  <c:v>Efficiency</c:v>
                </c:pt>
              </c:strCache>
            </c:strRef>
          </c:tx>
          <c:spPr>
            <a:solidFill>
              <a:srgbClr val="FCF305"/>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1978-2022R'!$E$209:$AX$209</c15:sqref>
                  </c15:fullRef>
                </c:ext>
              </c:extLst>
              <c:f>'Complete Data 1978-2022R'!$E$209:$AX$209</c:f>
              <c:numCache>
                <c:formatCode>0.0</c:formatCode>
                <c:ptCount val="46"/>
                <c:pt idx="0">
                  <c:v>619.61431297709919</c:v>
                </c:pt>
                <c:pt idx="1">
                  <c:v>751.36226635514004</c:v>
                </c:pt>
                <c:pt idx="2">
                  <c:v>876.99688078244765</c:v>
                </c:pt>
                <c:pt idx="3">
                  <c:v>782.64265335235382</c:v>
                </c:pt>
                <c:pt idx="4">
                  <c:v>378.20411504424777</c:v>
                </c:pt>
                <c:pt idx="5">
                  <c:v>319.10436064883072</c:v>
                </c:pt>
                <c:pt idx="6">
                  <c:v>339.81601287467305</c:v>
                </c:pt>
                <c:pt idx="7">
                  <c:v>349.20178640776697</c:v>
                </c:pt>
                <c:pt idx="8">
                  <c:v>350.37653100038034</c:v>
                </c:pt>
                <c:pt idx="9">
                  <c:v>310.91138868479061</c:v>
                </c:pt>
                <c:pt idx="10">
                  <c:v>297.19649309245483</c:v>
                </c:pt>
                <c:pt idx="11">
                  <c:v>290.27108762359359</c:v>
                </c:pt>
                <c:pt idx="12">
                  <c:v>354.82714856762158</c:v>
                </c:pt>
                <c:pt idx="13">
                  <c:v>408.30225852955311</c:v>
                </c:pt>
                <c:pt idx="14">
                  <c:v>440.71007633587783</c:v>
                </c:pt>
                <c:pt idx="15">
                  <c:v>513.76595304887041</c:v>
                </c:pt>
                <c:pt idx="16">
                  <c:v>616.3488027862428</c:v>
                </c:pt>
                <c:pt idx="17">
                  <c:v>663.31523178807936</c:v>
                </c:pt>
                <c:pt idx="18">
                  <c:v>563.16684181415928</c:v>
                </c:pt>
                <c:pt idx="19">
                  <c:v>600.4569264069263</c:v>
                </c:pt>
                <c:pt idx="20">
                  <c:v>651.88635873956355</c:v>
                </c:pt>
                <c:pt idx="21">
                  <c:v>723.46502727000882</c:v>
                </c:pt>
                <c:pt idx="22">
                  <c:v>748.09922615985272</c:v>
                </c:pt>
                <c:pt idx="23">
                  <c:v>803.14795988288677</c:v>
                </c:pt>
                <c:pt idx="24">
                  <c:v>660.59893236764799</c:v>
                </c:pt>
                <c:pt idx="25">
                  <c:v>681.54522668632512</c:v>
                </c:pt>
                <c:pt idx="26">
                  <c:v>647.25357657225163</c:v>
                </c:pt>
                <c:pt idx="27">
                  <c:v>540.6642813069451</c:v>
                </c:pt>
                <c:pt idx="28">
                  <c:v>523.09482877564096</c:v>
                </c:pt>
                <c:pt idx="29">
                  <c:v>504.06433322567096</c:v>
                </c:pt>
                <c:pt idx="30">
                  <c:v>598.27343572321058</c:v>
                </c:pt>
                <c:pt idx="31">
                  <c:v>741.99529650182319</c:v>
                </c:pt>
                <c:pt idx="32">
                  <c:v>803.68437994826434</c:v>
                </c:pt>
                <c:pt idx="33">
                  <c:v>883.83671952135887</c:v>
                </c:pt>
                <c:pt idx="34">
                  <c:v>772.1633567915909</c:v>
                </c:pt>
                <c:pt idx="35">
                  <c:v>816.33941295862155</c:v>
                </c:pt>
                <c:pt idx="36">
                  <c:v>692.88501813231335</c:v>
                </c:pt>
                <c:pt idx="37">
                  <c:v>785.23946636351047</c:v>
                </c:pt>
                <c:pt idx="38">
                  <c:v>756.22693367029842</c:v>
                </c:pt>
                <c:pt idx="39">
                  <c:v>884.36084465584884</c:v>
                </c:pt>
                <c:pt idx="40">
                  <c:v>841.89779959548252</c:v>
                </c:pt>
                <c:pt idx="41" formatCode="0">
                  <c:v>987.14453692666007</c:v>
                </c:pt>
                <c:pt idx="42" formatCode="0">
                  <c:v>997.69267903512889</c:v>
                </c:pt>
                <c:pt idx="43" formatCode="0">
                  <c:v>1131.0264629847238</c:v>
                </c:pt>
                <c:pt idx="44" formatCode="0">
                  <c:v>1154.8600463895443</c:v>
                </c:pt>
                <c:pt idx="45" formatCode="0">
                  <c:v>1615.1347680782853</c:v>
                </c:pt>
              </c:numCache>
            </c:numRef>
          </c:val>
          <c:extLst>
            <c:ext xmlns:c16="http://schemas.microsoft.com/office/drawing/2014/chart" uri="{C3380CC4-5D6E-409C-BE32-E72D297353CC}">
              <c16:uniqueId val="{00000002-A58A-4DB6-AAB5-1304A72A2273}"/>
            </c:ext>
          </c:extLst>
        </c:ser>
        <c:ser>
          <c:idx val="3"/>
          <c:order val="2"/>
          <c:tx>
            <c:strRef>
              <c:f>'Complete Data 1978-2022R'!$B$211</c:f>
              <c:strCache>
                <c:ptCount val="1"/>
                <c:pt idx="0">
                  <c:v>Renewables</c:v>
                </c:pt>
              </c:strCache>
            </c:strRef>
          </c:tx>
          <c:spPr>
            <a:solidFill>
              <a:srgbClr val="666699"/>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1978-2022R'!$E$211:$AX$211</c15:sqref>
                  </c15:fullRef>
                </c:ext>
              </c:extLst>
              <c:f>'Complete Data 1978-2022R'!$E$211:$AX$211</c:f>
              <c:numCache>
                <c:formatCode>0.0</c:formatCode>
                <c:ptCount val="46"/>
                <c:pt idx="0">
                  <c:v>2164.8916030534347</c:v>
                </c:pt>
                <c:pt idx="1">
                  <c:v>2530.5066004672894</c:v>
                </c:pt>
                <c:pt idx="2">
                  <c:v>2477.1889505683316</c:v>
                </c:pt>
                <c:pt idx="3">
                  <c:v>2201.8346647646222</c:v>
                </c:pt>
                <c:pt idx="4">
                  <c:v>998.17004424778759</c:v>
                </c:pt>
                <c:pt idx="5">
                  <c:v>720.71118601221815</c:v>
                </c:pt>
                <c:pt idx="6">
                  <c:v>579.22669483001414</c:v>
                </c:pt>
                <c:pt idx="7">
                  <c:v>558.76656310679596</c:v>
                </c:pt>
                <c:pt idx="8">
                  <c:v>446.90665652339294</c:v>
                </c:pt>
                <c:pt idx="9">
                  <c:v>376.23585598824388</c:v>
                </c:pt>
                <c:pt idx="10">
                  <c:v>303.47529224229538</c:v>
                </c:pt>
                <c:pt idx="11">
                  <c:v>308.11326287078072</c:v>
                </c:pt>
                <c:pt idx="12">
                  <c:v>260.73141239173879</c:v>
                </c:pt>
                <c:pt idx="13">
                  <c:v>362.69498638475096</c:v>
                </c:pt>
                <c:pt idx="14">
                  <c:v>415.2811908396946</c:v>
                </c:pt>
                <c:pt idx="15">
                  <c:v>424.87048575225151</c:v>
                </c:pt>
                <c:pt idx="16">
                  <c:v>503.98844870120445</c:v>
                </c:pt>
                <c:pt idx="17">
                  <c:v>571.65943356347748</c:v>
                </c:pt>
                <c:pt idx="18">
                  <c:v>395.41501659292038</c:v>
                </c:pt>
                <c:pt idx="19">
                  <c:v>350.71312770562764</c:v>
                </c:pt>
                <c:pt idx="20">
                  <c:v>443.50701589011578</c:v>
                </c:pt>
                <c:pt idx="21">
                  <c:v>531.58053038379524</c:v>
                </c:pt>
                <c:pt idx="22">
                  <c:v>415.06908735841694</c:v>
                </c:pt>
                <c:pt idx="23">
                  <c:v>491.53100292360506</c:v>
                </c:pt>
                <c:pt idx="24">
                  <c:v>499.68663822311458</c:v>
                </c:pt>
                <c:pt idx="25">
                  <c:v>392.55567022975788</c:v>
                </c:pt>
                <c:pt idx="26">
                  <c:v>352.9368939030245</c:v>
                </c:pt>
                <c:pt idx="27">
                  <c:v>382.91622020575142</c:v>
                </c:pt>
                <c:pt idx="28">
                  <c:v>340.26698485489396</c:v>
                </c:pt>
                <c:pt idx="29">
                  <c:v>675.19795258548845</c:v>
                </c:pt>
                <c:pt idx="30">
                  <c:v>811.95560327620694</c:v>
                </c:pt>
                <c:pt idx="31">
                  <c:v>988.40706019366303</c:v>
                </c:pt>
                <c:pt idx="32">
                  <c:v>1905.3598495203294</c:v>
                </c:pt>
                <c:pt idx="33">
                  <c:v>1127.2941743245092</c:v>
                </c:pt>
                <c:pt idx="34">
                  <c:v>847.5578012798253</c:v>
                </c:pt>
                <c:pt idx="35">
                  <c:v>891.6907519361672</c:v>
                </c:pt>
                <c:pt idx="36">
                  <c:v>831.22425577979595</c:v>
                </c:pt>
                <c:pt idx="37">
                  <c:v>898.70285237394387</c:v>
                </c:pt>
                <c:pt idx="38">
                  <c:v>832.44172539298563</c:v>
                </c:pt>
                <c:pt idx="39">
                  <c:v>910.85482502409059</c:v>
                </c:pt>
                <c:pt idx="40">
                  <c:v>871.46395010760739</c:v>
                </c:pt>
                <c:pt idx="41" formatCode="0">
                  <c:v>942.76226865534352</c:v>
                </c:pt>
                <c:pt idx="42" formatCode="0">
                  <c:v>943.52020856954164</c:v>
                </c:pt>
                <c:pt idx="43" formatCode="0">
                  <c:v>1093.0292405866951</c:v>
                </c:pt>
                <c:pt idx="44" formatCode="0">
                  <c:v>1086.2486759621413</c:v>
                </c:pt>
                <c:pt idx="45" formatCode="0">
                  <c:v>1535.1784910980653</c:v>
                </c:pt>
              </c:numCache>
            </c:numRef>
          </c:val>
          <c:extLst>
            <c:ext xmlns:c16="http://schemas.microsoft.com/office/drawing/2014/chart" uri="{C3380CC4-5D6E-409C-BE32-E72D297353CC}">
              <c16:uniqueId val="{00000003-A58A-4DB6-AAB5-1304A72A2273}"/>
            </c:ext>
          </c:extLst>
        </c:ser>
        <c:ser>
          <c:idx val="4"/>
          <c:order val="3"/>
          <c:tx>
            <c:strRef>
              <c:f>'Complete Data 1978-2022R'!$B$212</c:f>
              <c:strCache>
                <c:ptCount val="1"/>
                <c:pt idx="0">
                  <c:v>Fossil including CCT demo</c:v>
                </c:pt>
              </c:strCache>
            </c:strRef>
          </c:tx>
          <c:spPr>
            <a:solidFill>
              <a:srgbClr val="660066"/>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1978-2022R'!$E$212:$AX$212</c15:sqref>
                  </c15:fullRef>
                </c:ext>
              </c:extLst>
              <c:f>'Complete Data 1978-2022R'!$E$212:$AX$212</c:f>
              <c:numCache>
                <c:formatCode>0.0</c:formatCode>
                <c:ptCount val="46"/>
                <c:pt idx="0">
                  <c:v>2739.7619592875317</c:v>
                </c:pt>
                <c:pt idx="1">
                  <c:v>2499.9393691588784</c:v>
                </c:pt>
                <c:pt idx="2">
                  <c:v>2484.923658472112</c:v>
                </c:pt>
                <c:pt idx="3">
                  <c:v>2660.4498811222065</c:v>
                </c:pt>
                <c:pt idx="4">
                  <c:v>1040.2480530973448</c:v>
                </c:pt>
                <c:pt idx="5">
                  <c:v>514.69210027385702</c:v>
                </c:pt>
                <c:pt idx="6">
                  <c:v>592.13110038221669</c:v>
                </c:pt>
                <c:pt idx="7">
                  <c:v>631.53514563106796</c:v>
                </c:pt>
                <c:pt idx="8">
                  <c:v>662.22662609357155</c:v>
                </c:pt>
                <c:pt idx="9">
                  <c:v>606.111829537105</c:v>
                </c:pt>
                <c:pt idx="10">
                  <c:v>1038.6927736450584</c:v>
                </c:pt>
                <c:pt idx="11">
                  <c:v>1084.1519604500511</c:v>
                </c:pt>
                <c:pt idx="12">
                  <c:v>1792.6924716855428</c:v>
                </c:pt>
                <c:pt idx="13">
                  <c:v>1509.7268941214161</c:v>
                </c:pt>
                <c:pt idx="14">
                  <c:v>1416.973099236641</c:v>
                </c:pt>
                <c:pt idx="15">
                  <c:v>662.31277129779983</c:v>
                </c:pt>
                <c:pt idx="16">
                  <c:v>1031.4941808155565</c:v>
                </c:pt>
                <c:pt idx="17">
                  <c:v>690.03495843314079</c:v>
                </c:pt>
                <c:pt idx="18">
                  <c:v>778.84775995575217</c:v>
                </c:pt>
                <c:pt idx="19">
                  <c:v>519.76672077922069</c:v>
                </c:pt>
                <c:pt idx="20">
                  <c:v>364.38348505251815</c:v>
                </c:pt>
                <c:pt idx="21">
                  <c:v>484.6538699360342</c:v>
                </c:pt>
                <c:pt idx="22">
                  <c:v>368.63772946230961</c:v>
                </c:pt>
                <c:pt idx="23">
                  <c:v>758.5828295411211</c:v>
                </c:pt>
                <c:pt idx="24">
                  <c:v>857.99569582130755</c:v>
                </c:pt>
                <c:pt idx="25">
                  <c:v>761.92303968546514</c:v>
                </c:pt>
                <c:pt idx="26">
                  <c:v>737.34500720115216</c:v>
                </c:pt>
                <c:pt idx="27">
                  <c:v>508.92550343382607</c:v>
                </c:pt>
                <c:pt idx="28">
                  <c:v>698.43948027057479</c:v>
                </c:pt>
                <c:pt idx="29">
                  <c:v>705.3067120729429</c:v>
                </c:pt>
                <c:pt idx="30">
                  <c:v>788.46177064512688</c:v>
                </c:pt>
                <c:pt idx="31">
                  <c:v>1019.4828128319523</c:v>
                </c:pt>
                <c:pt idx="32">
                  <c:v>4062.868536222647</c:v>
                </c:pt>
                <c:pt idx="33">
                  <c:v>762.67844692620804</c:v>
                </c:pt>
                <c:pt idx="34">
                  <c:v>486.65187948115607</c:v>
                </c:pt>
                <c:pt idx="35">
                  <c:v>369.8064399999999</c:v>
                </c:pt>
                <c:pt idx="36">
                  <c:v>554.33621419431051</c:v>
                </c:pt>
                <c:pt idx="37">
                  <c:v>605.79160527336182</c:v>
                </c:pt>
                <c:pt idx="38">
                  <c:v>585.71165123456785</c:v>
                </c:pt>
                <c:pt idx="39">
                  <c:v>671.76960352422896</c:v>
                </c:pt>
                <c:pt idx="40">
                  <c:v>608.47036339672366</c:v>
                </c:pt>
                <c:pt idx="41" formatCode="0">
                  <c:v>639.76870221976606</c:v>
                </c:pt>
                <c:pt idx="42" formatCode="0">
                  <c:v>702.81454183266931</c:v>
                </c:pt>
                <c:pt idx="43" formatCode="0">
                  <c:v>696.9</c:v>
                </c:pt>
                <c:pt idx="44" formatCode="0">
                  <c:v>654.26578832562598</c:v>
                </c:pt>
                <c:pt idx="45" formatCode="0">
                  <c:v>776.9586608442504</c:v>
                </c:pt>
              </c:numCache>
            </c:numRef>
          </c:val>
          <c:extLst>
            <c:ext xmlns:c16="http://schemas.microsoft.com/office/drawing/2014/chart" uri="{C3380CC4-5D6E-409C-BE32-E72D297353CC}">
              <c16:uniqueId val="{00000004-A58A-4DB6-AAB5-1304A72A2273}"/>
            </c:ext>
          </c:extLst>
        </c:ser>
        <c:ser>
          <c:idx val="5"/>
          <c:order val="4"/>
          <c:tx>
            <c:v>Electricity T&amp;D</c:v>
          </c:tx>
          <c:spPr>
            <a:solidFill>
              <a:srgbClr val="006411"/>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1978-2022R'!$E$213:$AX$213</c15:sqref>
                  </c15:fullRef>
                </c:ext>
              </c:extLst>
              <c:f>'Complete Data 1978-2022R'!$E$213:$AX$213</c:f>
              <c:numCache>
                <c:formatCode>0.0</c:formatCode>
                <c:ptCount val="46"/>
                <c:pt idx="25">
                  <c:v>102.59245607568498</c:v>
                </c:pt>
                <c:pt idx="26">
                  <c:v>97.335573691790671</c:v>
                </c:pt>
                <c:pt idx="27">
                  <c:v>113.60726341520196</c:v>
                </c:pt>
                <c:pt idx="28">
                  <c:v>164.48703494926718</c:v>
                </c:pt>
                <c:pt idx="29">
                  <c:v>99.307920465780512</c:v>
                </c:pt>
                <c:pt idx="30">
                  <c:v>106.17493888829844</c:v>
                </c:pt>
                <c:pt idx="31">
                  <c:v>130.7626938602082</c:v>
                </c:pt>
                <c:pt idx="32">
                  <c:v>700.36835982939124</c:v>
                </c:pt>
                <c:pt idx="33">
                  <c:v>162.51929012345681</c:v>
                </c:pt>
                <c:pt idx="34">
                  <c:v>132.25435740279639</c:v>
                </c:pt>
                <c:pt idx="35">
                  <c:v>128.22443984183769</c:v>
                </c:pt>
                <c:pt idx="36">
                  <c:v>119.09367228516165</c:v>
                </c:pt>
                <c:pt idx="37">
                  <c:v>133.28504165157551</c:v>
                </c:pt>
                <c:pt idx="38">
                  <c:v>156.19701003086416</c:v>
                </c:pt>
                <c:pt idx="39">
                  <c:v>222.01915341888525</c:v>
                </c:pt>
                <c:pt idx="40">
                  <c:v>243.26100546036525</c:v>
                </c:pt>
                <c:pt idx="41" formatCode="0">
                  <c:v>270.54379662890295</c:v>
                </c:pt>
                <c:pt idx="42" formatCode="0">
                  <c:v>269.52942774357115</c:v>
                </c:pt>
                <c:pt idx="43" formatCode="0">
                  <c:v>333</c:v>
                </c:pt>
                <c:pt idx="44" formatCode="0">
                  <c:v>349.27561294825932</c:v>
                </c:pt>
                <c:pt idx="45" formatCode="0">
                  <c:v>315.10043668122273</c:v>
                </c:pt>
              </c:numCache>
            </c:numRef>
          </c:val>
          <c:extLst>
            <c:ext xmlns:c16="http://schemas.microsoft.com/office/drawing/2014/chart" uri="{C3380CC4-5D6E-409C-BE32-E72D297353CC}">
              <c16:uniqueId val="{00000005-A58A-4DB6-AAB5-1304A72A2273}"/>
            </c:ext>
          </c:extLst>
        </c:ser>
        <c:ser>
          <c:idx val="6"/>
          <c:order val="5"/>
          <c:tx>
            <c:v>Hydrogen EERE</c:v>
          </c:tx>
          <c:spPr>
            <a:solidFill>
              <a:srgbClr val="0066CC"/>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1978-2022R'!$E$210:$AX$210</c15:sqref>
                  </c15:fullRef>
                </c:ext>
              </c:extLst>
              <c:f>'Complete Data 1978-2022R'!$E$210:$AX$210</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15.678188942098387</c:v>
                </c:pt>
                <c:pt idx="17">
                  <c:v>13.954515992672961</c:v>
                </c:pt>
                <c:pt idx="18">
                  <c:v>22.252793141592921</c:v>
                </c:pt>
                <c:pt idx="19">
                  <c:v>22.532359307359307</c:v>
                </c:pt>
                <c:pt idx="20">
                  <c:v>28.642687853487743</c:v>
                </c:pt>
                <c:pt idx="21">
                  <c:v>37.463342217484005</c:v>
                </c:pt>
                <c:pt idx="22">
                  <c:v>35.589071735451114</c:v>
                </c:pt>
                <c:pt idx="23">
                  <c:v>38.052167281047417</c:v>
                </c:pt>
                <c:pt idx="24">
                  <c:v>106.76401054084576</c:v>
                </c:pt>
                <c:pt idx="25">
                  <c:v>127.21071384690993</c:v>
                </c:pt>
                <c:pt idx="26">
                  <c:v>194.77037926068169</c:v>
                </c:pt>
                <c:pt idx="27">
                  <c:v>218.5039227098126</c:v>
                </c:pt>
                <c:pt idx="28">
                  <c:v>194.75636978579482</c:v>
                </c:pt>
                <c:pt idx="29">
                  <c:v>234.2780402065253</c:v>
                </c:pt>
                <c:pt idx="30">
                  <c:v>246.63352109682219</c:v>
                </c:pt>
                <c:pt idx="31">
                  <c:v>196.77165923093264</c:v>
                </c:pt>
                <c:pt idx="32">
                  <c:v>51.404503930316544</c:v>
                </c:pt>
                <c:pt idx="33">
                  <c:v>204.38325853251226</c:v>
                </c:pt>
                <c:pt idx="34">
                  <c:v>110.1147175977939</c:v>
                </c:pt>
                <c:pt idx="35">
                  <c:v>114.00301999999999</c:v>
                </c:pt>
                <c:pt idx="36">
                  <c:v>106.12591790530563</c:v>
                </c:pt>
                <c:pt idx="37">
                  <c:v>101.34709189608375</c:v>
                </c:pt>
                <c:pt idx="38">
                  <c:v>102.90115740740741</c:v>
                </c:pt>
                <c:pt idx="39">
                  <c:v>108.85405094809423</c:v>
                </c:pt>
                <c:pt idx="40">
                  <c:v>107.00941442289587</c:v>
                </c:pt>
                <c:pt idx="41" formatCode="0">
                  <c:v>119.20512112001472</c:v>
                </c:pt>
                <c:pt idx="42" formatCode="0">
                  <c:v>122.28178196305686</c:v>
                </c:pt>
                <c:pt idx="43" formatCode="0">
                  <c:v>150</c:v>
                </c:pt>
                <c:pt idx="44" formatCode="0">
                  <c:v>147.29081232004188</c:v>
                </c:pt>
                <c:pt idx="45" formatCode="0">
                  <c:v>190.31295487627366</c:v>
                </c:pt>
              </c:numCache>
            </c:numRef>
          </c:val>
          <c:extLst>
            <c:ext xmlns:c16="http://schemas.microsoft.com/office/drawing/2014/chart" uri="{C3380CC4-5D6E-409C-BE32-E72D297353CC}">
              <c16:uniqueId val="{00000006-A58A-4DB6-AAB5-1304A72A2273}"/>
            </c:ext>
          </c:extLst>
        </c:ser>
        <c:ser>
          <c:idx val="7"/>
          <c:order val="6"/>
          <c:tx>
            <c:v>ARPA-E</c:v>
          </c:tx>
          <c:spPr>
            <a:solidFill>
              <a:srgbClr val="F20884"/>
            </a:solidFill>
            <a:ln w="12700">
              <a:solidFill>
                <a:srgbClr val="000000"/>
              </a:solidFill>
              <a:prstDash val="solid"/>
            </a:ln>
          </c:spPr>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1978-2022R'!$E$214:$AX$214</c15:sqref>
                  </c15:fullRef>
                </c:ext>
              </c:extLst>
              <c:f>'Complete Data 1978-2022R'!$E$214:$AX$214</c:f>
              <c:numCache>
                <c:formatCode>0.0</c:formatCode>
                <c:ptCount val="46"/>
                <c:pt idx="31">
                  <c:v>10.400446144040789</c:v>
                </c:pt>
                <c:pt idx="32">
                  <c:v>464.91189717442103</c:v>
                </c:pt>
                <c:pt idx="33">
                  <c:v>0</c:v>
                </c:pt>
                <c:pt idx="34">
                  <c:v>206.4363599223777</c:v>
                </c:pt>
                <c:pt idx="35">
                  <c:v>309.48500000000001</c:v>
                </c:pt>
                <c:pt idx="36">
                  <c:v>277.61122157692682</c:v>
                </c:pt>
                <c:pt idx="37">
                  <c:v>305.48129895308256</c:v>
                </c:pt>
                <c:pt idx="38">
                  <c:v>303.91661458333334</c:v>
                </c:pt>
                <c:pt idx="39">
                  <c:v>313.73677456425975</c:v>
                </c:pt>
                <c:pt idx="40">
                  <c:v>323.46509131990206</c:v>
                </c:pt>
                <c:pt idx="41" formatCode="0">
                  <c:v>366.3225200331583</c:v>
                </c:pt>
                <c:pt idx="42" formatCode="0">
                  <c:v>373.06133647229262</c:v>
                </c:pt>
                <c:pt idx="43" formatCode="0">
                  <c:v>425</c:v>
                </c:pt>
                <c:pt idx="44" formatCode="0">
                  <c:v>419.28784573771924</c:v>
                </c:pt>
                <c:pt idx="45" formatCode="0">
                  <c:v>481.80494905385734</c:v>
                </c:pt>
              </c:numCache>
            </c:numRef>
          </c:val>
          <c:extLst>
            <c:ext xmlns:c16="http://schemas.microsoft.com/office/drawing/2014/chart" uri="{C3380CC4-5D6E-409C-BE32-E72D297353CC}">
              <c16:uniqueId val="{00000007-A58A-4DB6-AAB5-1304A72A2273}"/>
            </c:ext>
          </c:extLst>
        </c:ser>
        <c:ser>
          <c:idx val="1"/>
          <c:order val="8"/>
          <c:tx>
            <c:strRef>
              <c:f>'Complete Data 1978-2022R'!$BA$215</c:f>
              <c:strCache>
                <c:ptCount val="1"/>
                <c:pt idx="0">
                  <c:v>ARPA-C</c:v>
                </c:pt>
              </c:strCache>
            </c:strRef>
          </c:tx>
          <c:invertIfNegative val="0"/>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1978-2022R'!$D$215:$AX$215</c15:sqref>
                  </c15:fullRef>
                </c:ext>
              </c:extLst>
              <c:f>'Complete Data 1978-2022R'!$D$215:$AW$215</c:f>
              <c:numCache>
                <c:formatCode>0.0</c:formatCode>
                <c:ptCount val="46"/>
              </c:numCache>
            </c:numRef>
          </c:val>
          <c:extLst>
            <c:ext xmlns:c16="http://schemas.microsoft.com/office/drawing/2014/chart" uri="{C3380CC4-5D6E-409C-BE32-E72D297353CC}">
              <c16:uniqueId val="{00000001-35C6-4783-B5EE-F7B9ABB7F752}"/>
            </c:ext>
          </c:extLst>
        </c:ser>
        <c:ser>
          <c:idx val="9"/>
          <c:order val="9"/>
          <c:tx>
            <c:strRef>
              <c:f>'Complete Data 1978-2022R'!$BA$216</c:f>
              <c:strCache>
                <c:ptCount val="1"/>
                <c:pt idx="0">
                  <c:v>OCDE</c:v>
                </c:pt>
              </c:strCache>
            </c:strRef>
          </c:tx>
          <c:invertIfNegative val="0"/>
          <c:dPt>
            <c:idx val="45"/>
            <c:invertIfNegative val="0"/>
            <c:bubble3D val="0"/>
            <c:spPr>
              <a:ln w="12700">
                <a:solidFill>
                  <a:srgbClr val="000000"/>
                </a:solidFill>
              </a:ln>
            </c:spPr>
            <c:extLst>
              <c:ext xmlns:c16="http://schemas.microsoft.com/office/drawing/2014/chart" uri="{C3380CC4-5D6E-409C-BE32-E72D297353CC}">
                <c16:uniqueId val="{00000003-35C6-4783-B5EE-F7B9ABB7F752}"/>
              </c:ext>
            </c:extLst>
          </c:dPt>
          <c:cat>
            <c:strRef>
              <c:extLst>
                <c:ext xmlns:c15="http://schemas.microsoft.com/office/drawing/2012/chart" uri="{02D57815-91ED-43cb-92C2-25804820EDAC}">
                  <c15:fullRef>
                    <c15:sqref>'Complete Data 1978-2022R'!$E$206:$AX$206</c15:sqref>
                  </c15:fullRef>
                </c:ext>
              </c:extLst>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xmlns:c15="http://schemas.microsoft.com/office/drawing/2012/chart" uri="{02D57815-91ED-43cb-92C2-25804820EDAC}">
                  <c15:fullRef>
                    <c15:sqref>'Complete Data 1978-2022R'!$E$216:$AX$216</c15:sqref>
                  </c15:fullRef>
                </c:ext>
              </c:extLst>
              <c:f>'Complete Data 1978-2022R'!$E$216:$AX$216</c:f>
              <c:numCache>
                <c:formatCode>0.0</c:formatCode>
                <c:ptCount val="46"/>
                <c:pt idx="45" formatCode="0">
                  <c:v>385.44395924308589</c:v>
                </c:pt>
              </c:numCache>
            </c:numRef>
          </c:val>
          <c:extLst>
            <c:ext xmlns:c16="http://schemas.microsoft.com/office/drawing/2014/chart" uri="{C3380CC4-5D6E-409C-BE32-E72D297353CC}">
              <c16:uniqueId val="{00000002-35C6-4783-B5EE-F7B9ABB7F752}"/>
            </c:ext>
          </c:extLst>
        </c:ser>
        <c:dLbls>
          <c:showLegendKey val="0"/>
          <c:showVal val="0"/>
          <c:showCatName val="0"/>
          <c:showSerName val="0"/>
          <c:showPercent val="0"/>
          <c:showBubbleSize val="0"/>
        </c:dLbls>
        <c:gapWidth val="100"/>
        <c:overlap val="100"/>
        <c:axId val="-2121107672"/>
        <c:axId val="-2121104312"/>
        <c:extLst>
          <c:ext xmlns:c15="http://schemas.microsoft.com/office/drawing/2012/chart" uri="{02D57815-91ED-43cb-92C2-25804820EDAC}">
            <c15:filteredBarSeries>
              <c15:ser>
                <c:idx val="8"/>
                <c:order val="7"/>
                <c:tx>
                  <c:strRef>
                    <c:extLst>
                      <c:ext uri="{02D57815-91ED-43cb-92C2-25804820EDAC}">
                        <c15:formulaRef>
                          <c15:sqref>'Complete Data 1978-2022R'!$AY$182</c15:sqref>
                        </c15:formulaRef>
                      </c:ext>
                    </c:extLst>
                    <c:strCache>
                      <c:ptCount val="1"/>
                    </c:strCache>
                  </c:strRef>
                </c:tx>
                <c:spPr>
                  <a:solidFill>
                    <a:schemeClr val="tx1"/>
                  </a:solidFill>
                </c:spPr>
                <c:invertIfNegative val="0"/>
                <c:dPt>
                  <c:idx val="41"/>
                  <c:invertIfNegative val="0"/>
                  <c:bubble3D val="0"/>
                  <c:extLst>
                    <c:ext xmlns:c16="http://schemas.microsoft.com/office/drawing/2014/chart" uri="{C3380CC4-5D6E-409C-BE32-E72D297353CC}">
                      <c16:uniqueId val="{00000009-A58A-4DB6-AAB5-1304A72A2273}"/>
                    </c:ext>
                  </c:extLst>
                </c:dPt>
                <c:cat>
                  <c:strRef>
                    <c:extLst>
                      <c:ext uri="{02D57815-91ED-43cb-92C2-25804820EDAC}">
                        <c15:fullRef>
                          <c15:sqref>'Complete Data 1978-2022R'!$E$206:$AX$206</c15:sqref>
                        </c15:fullRef>
                        <c15:formulaRef>
                          <c15:sqref>'Complete Data 1978-2022R'!$E$206:$AX$206</c15:sqref>
                        </c15:formulaRef>
                      </c:ext>
                    </c:extLst>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extLst>
                      <c:ext uri="{02D57815-91ED-43cb-92C2-25804820EDAC}">
                        <c15:fullRef>
                          <c15:sqref>'Complete Data 1978-2022R'!$E$182:$AT$182</c15:sqref>
                        </c15:fullRef>
                        <c15:formulaRef>
                          <c15:sqref>'Complete Data 1978-2022R'!$E$182:$AT$182</c15:sqref>
                        </c15:formulaRef>
                      </c:ext>
                    </c:extLst>
                    <c:numCache>
                      <c:formatCode>General</c:formatCode>
                      <c:ptCount val="42"/>
                    </c:numCache>
                  </c:numRef>
                </c:val>
                <c:extLst>
                  <c:ext xmlns:c16="http://schemas.microsoft.com/office/drawing/2014/chart" uri="{C3380CC4-5D6E-409C-BE32-E72D297353CC}">
                    <c16:uniqueId val="{0000000A-A58A-4DB6-AAB5-1304A72A2273}"/>
                  </c:ext>
                </c:extLst>
              </c15:ser>
            </c15:filteredBarSeries>
          </c:ext>
        </c:extLst>
      </c:barChart>
      <c:catAx>
        <c:axId val="-2121107672"/>
        <c:scaling>
          <c:orientation val="minMax"/>
        </c:scaling>
        <c:delete val="0"/>
        <c:axPos val="b"/>
        <c:numFmt formatCode="0" sourceLinked="0"/>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2121104312"/>
        <c:crosses val="autoZero"/>
        <c:auto val="1"/>
        <c:lblAlgn val="ctr"/>
        <c:lblOffset val="100"/>
        <c:tickLblSkip val="1"/>
        <c:tickMarkSkip val="1"/>
        <c:noMultiLvlLbl val="0"/>
      </c:catAx>
      <c:valAx>
        <c:axId val="-2121104312"/>
        <c:scaling>
          <c:orientation val="minMax"/>
        </c:scaling>
        <c:delete val="0"/>
        <c:axPos val="l"/>
        <c:majorGridlines>
          <c:spPr>
            <a:ln w="3175">
              <a:solidFill>
                <a:srgbClr val="80808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1.4428374494731199E-2"/>
              <c:y val="0.417618196197091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21107672"/>
        <c:crosses val="autoZero"/>
        <c:crossBetween val="between"/>
      </c:valAx>
      <c:spPr>
        <a:solidFill>
          <a:srgbClr val="FFFFFF"/>
        </a:solidFill>
        <a:ln w="12700">
          <a:solidFill>
            <a:srgbClr val="808080"/>
          </a:solidFill>
          <a:prstDash val="solid"/>
        </a:ln>
      </c:spPr>
    </c:plotArea>
    <c:legend>
      <c:legendPos val="b"/>
      <c:layout>
        <c:manualLayout>
          <c:xMode val="edge"/>
          <c:yMode val="edge"/>
          <c:x val="8.2435022960736806E-5"/>
          <c:y val="0.79915852227014295"/>
          <c:w val="0.89999994616057599"/>
          <c:h val="3.8046089788514648E-2"/>
        </c:manualLayout>
      </c:layout>
      <c:overlay val="0"/>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U.S. DOE Energy RD&amp;D Plus Deployment Spending 
FY2008-FY2022 Request (in 2020$)</a:t>
            </a:r>
          </a:p>
        </c:rich>
      </c:tx>
      <c:layout>
        <c:manualLayout>
          <c:xMode val="edge"/>
          <c:yMode val="edge"/>
          <c:x val="0.17055123936367"/>
          <c:y val="4.1326808047852097E-2"/>
        </c:manualLayout>
      </c:layout>
      <c:overlay val="0"/>
      <c:spPr>
        <a:noFill/>
        <a:ln w="25400">
          <a:noFill/>
        </a:ln>
      </c:spPr>
    </c:title>
    <c:autoTitleDeleted val="0"/>
    <c:plotArea>
      <c:layout>
        <c:manualLayout>
          <c:layoutTarget val="inner"/>
          <c:xMode val="edge"/>
          <c:yMode val="edge"/>
          <c:x val="0.11542730299667001"/>
          <c:y val="0.19902120717781399"/>
          <c:w val="0.85016648168701403"/>
          <c:h val="0.53507340946166404"/>
        </c:manualLayout>
      </c:layout>
      <c:barChart>
        <c:barDir val="col"/>
        <c:grouping val="stacked"/>
        <c:varyColors val="0"/>
        <c:ser>
          <c:idx val="0"/>
          <c:order val="0"/>
          <c:tx>
            <c:strRef>
              <c:f>'Complete Data 1978-2022R'!$BA$207</c:f>
              <c:strCache>
                <c:ptCount val="1"/>
                <c:pt idx="0">
                  <c:v>Fission</c:v>
                </c:pt>
              </c:strCache>
            </c:strRef>
          </c:tx>
          <c:spPr>
            <a:solidFill>
              <a:srgbClr val="DD0806"/>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1978-2022R'!$AI$207:$AX$207</c:f>
              <c:numCache>
                <c:formatCode>0.0</c:formatCode>
                <c:ptCount val="16"/>
                <c:pt idx="0">
                  <c:v>568.39186063633474</c:v>
                </c:pt>
                <c:pt idx="1">
                  <c:v>671.35697856365869</c:v>
                </c:pt>
                <c:pt idx="2">
                  <c:v>0</c:v>
                </c:pt>
                <c:pt idx="3">
                  <c:v>590.5488560525738</c:v>
                </c:pt>
                <c:pt idx="4">
                  <c:v>520.08534267586208</c:v>
                </c:pt>
                <c:pt idx="5">
                  <c:v>566.73233739192005</c:v>
                </c:pt>
                <c:pt idx="6">
                  <c:v>520.35865371588068</c:v>
                </c:pt>
                <c:pt idx="7">
                  <c:v>588.00320634957234</c:v>
                </c:pt>
                <c:pt idx="8">
                  <c:v>502.63678705647743</c:v>
                </c:pt>
                <c:pt idx="9">
                  <c:v>624.69110837085555</c:v>
                </c:pt>
                <c:pt idx="10">
                  <c:v>635.8552489654378</c:v>
                </c:pt>
                <c:pt idx="11" formatCode="0">
                  <c:v>732.62038580144997</c:v>
                </c:pt>
                <c:pt idx="12" formatCode="0">
                  <c:v>816.68868667707932</c:v>
                </c:pt>
                <c:pt idx="13" formatCode="0">
                  <c:v>1025.1268817204302</c:v>
                </c:pt>
                <c:pt idx="14" formatCode="0">
                  <c:v>972.69129572571831</c:v>
                </c:pt>
                <c:pt idx="15" formatCode="0">
                  <c:v>1196.823834876589</c:v>
                </c:pt>
              </c:numCache>
            </c:numRef>
          </c:val>
          <c:extLst>
            <c:ext xmlns:c16="http://schemas.microsoft.com/office/drawing/2014/chart" uri="{C3380CC4-5D6E-409C-BE32-E72D297353CC}">
              <c16:uniqueId val="{00000000-DF8A-4254-B17C-26533B78DEEB}"/>
            </c:ext>
          </c:extLst>
        </c:ser>
        <c:ser>
          <c:idx val="1"/>
          <c:order val="1"/>
          <c:tx>
            <c:strRef>
              <c:f>'Complete Data 1978-2022R'!$B$208</c:f>
              <c:strCache>
                <c:ptCount val="1"/>
                <c:pt idx="0">
                  <c:v>Fusion</c:v>
                </c:pt>
              </c:strCache>
            </c:strRef>
          </c:tx>
          <c:spPr>
            <a:solidFill>
              <a:srgbClr val="FF9900"/>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1978-2022R'!$AI$208:$AX$208</c:f>
              <c:numCache>
                <c:formatCode>0.0</c:formatCode>
                <c:ptCount val="16"/>
                <c:pt idx="0">
                  <c:v>352.72660218939313</c:v>
                </c:pt>
                <c:pt idx="1">
                  <c:v>471.60643722115998</c:v>
                </c:pt>
                <c:pt idx="2">
                  <c:v>108.78627575950711</c:v>
                </c:pt>
                <c:pt idx="3">
                  <c:v>489.81505062102076</c:v>
                </c:pt>
                <c:pt idx="4">
                  <c:v>422.0681033602288</c:v>
                </c:pt>
                <c:pt idx="5">
                  <c:v>442.28219999999999</c:v>
                </c:pt>
                <c:pt idx="6">
                  <c:v>418.52162614430551</c:v>
                </c:pt>
                <c:pt idx="7">
                  <c:v>550.59071345482744</c:v>
                </c:pt>
                <c:pt idx="8">
                  <c:v>496.48722993827158</c:v>
                </c:pt>
                <c:pt idx="9">
                  <c:v>472.06014173529974</c:v>
                </c:pt>
                <c:pt idx="10">
                  <c:v>402.6096780267369</c:v>
                </c:pt>
                <c:pt idx="11" formatCode="0">
                  <c:v>425.09582757667857</c:v>
                </c:pt>
                <c:pt idx="12" formatCode="0">
                  <c:v>440.21441506700467</c:v>
                </c:pt>
                <c:pt idx="13" formatCode="0">
                  <c:v>414</c:v>
                </c:pt>
                <c:pt idx="14" formatCode="0">
                  <c:v>407.50458075211588</c:v>
                </c:pt>
                <c:pt idx="15" formatCode="0">
                  <c:v>432.66084425036394</c:v>
                </c:pt>
              </c:numCache>
            </c:numRef>
          </c:val>
          <c:extLst>
            <c:ext xmlns:c16="http://schemas.microsoft.com/office/drawing/2014/chart" uri="{C3380CC4-5D6E-409C-BE32-E72D297353CC}">
              <c16:uniqueId val="{00000001-DF8A-4254-B17C-26533B78DEEB}"/>
            </c:ext>
          </c:extLst>
        </c:ser>
        <c:ser>
          <c:idx val="2"/>
          <c:order val="2"/>
          <c:tx>
            <c:strRef>
              <c:f>'Complete Data 1978-2022R'!$B$209</c:f>
              <c:strCache>
                <c:ptCount val="1"/>
                <c:pt idx="0">
                  <c:v>Efficiency</c:v>
                </c:pt>
              </c:strCache>
            </c:strRef>
          </c:tx>
          <c:spPr>
            <a:solidFill>
              <a:srgbClr val="FCF305"/>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1978-2022R'!$AI$209:$AX$209</c:f>
              <c:numCache>
                <c:formatCode>0.0</c:formatCode>
                <c:ptCount val="16"/>
                <c:pt idx="0">
                  <c:v>598.27343572321058</c:v>
                </c:pt>
                <c:pt idx="1">
                  <c:v>741.99529650182319</c:v>
                </c:pt>
                <c:pt idx="2">
                  <c:v>803.68437994826434</c:v>
                </c:pt>
                <c:pt idx="3">
                  <c:v>883.83671952135887</c:v>
                </c:pt>
                <c:pt idx="4">
                  <c:v>772.1633567915909</c:v>
                </c:pt>
                <c:pt idx="5">
                  <c:v>816.33941295862155</c:v>
                </c:pt>
                <c:pt idx="6">
                  <c:v>692.88501813231335</c:v>
                </c:pt>
                <c:pt idx="7">
                  <c:v>785.23946636351047</c:v>
                </c:pt>
                <c:pt idx="8">
                  <c:v>756.22693367029842</c:v>
                </c:pt>
                <c:pt idx="9">
                  <c:v>884.36084465584884</c:v>
                </c:pt>
                <c:pt idx="10">
                  <c:v>841.89779959548252</c:v>
                </c:pt>
                <c:pt idx="11" formatCode="0">
                  <c:v>987.14453692666007</c:v>
                </c:pt>
                <c:pt idx="12" formatCode="0">
                  <c:v>997.69267903512889</c:v>
                </c:pt>
                <c:pt idx="13" formatCode="0">
                  <c:v>1131.0264629847238</c:v>
                </c:pt>
                <c:pt idx="14" formatCode="0">
                  <c:v>1154.8600463895443</c:v>
                </c:pt>
                <c:pt idx="15" formatCode="0">
                  <c:v>1615.1347680782853</c:v>
                </c:pt>
              </c:numCache>
            </c:numRef>
          </c:val>
          <c:extLst>
            <c:ext xmlns:c16="http://schemas.microsoft.com/office/drawing/2014/chart" uri="{C3380CC4-5D6E-409C-BE32-E72D297353CC}">
              <c16:uniqueId val="{00000002-DF8A-4254-B17C-26533B78DEEB}"/>
            </c:ext>
          </c:extLst>
        </c:ser>
        <c:ser>
          <c:idx val="3"/>
          <c:order val="3"/>
          <c:tx>
            <c:strRef>
              <c:f>'Complete Data 1978-2022R'!$B$211</c:f>
              <c:strCache>
                <c:ptCount val="1"/>
                <c:pt idx="0">
                  <c:v>Renewables</c:v>
                </c:pt>
              </c:strCache>
            </c:strRef>
          </c:tx>
          <c:spPr>
            <a:solidFill>
              <a:srgbClr val="666699"/>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1978-2022R'!$AI$211:$AX$211</c:f>
              <c:numCache>
                <c:formatCode>0.0</c:formatCode>
                <c:ptCount val="16"/>
                <c:pt idx="0">
                  <c:v>811.95560327620694</c:v>
                </c:pt>
                <c:pt idx="1">
                  <c:v>988.40706019366303</c:v>
                </c:pt>
                <c:pt idx="2">
                  <c:v>1905.3598495203294</c:v>
                </c:pt>
                <c:pt idx="3">
                  <c:v>1127.2941743245092</c:v>
                </c:pt>
                <c:pt idx="4">
                  <c:v>847.5578012798253</c:v>
                </c:pt>
                <c:pt idx="5">
                  <c:v>891.6907519361672</c:v>
                </c:pt>
                <c:pt idx="6">
                  <c:v>831.22425577979595</c:v>
                </c:pt>
                <c:pt idx="7">
                  <c:v>898.70285237394387</c:v>
                </c:pt>
                <c:pt idx="8">
                  <c:v>832.44172539298563</c:v>
                </c:pt>
                <c:pt idx="9">
                  <c:v>910.85482502409059</c:v>
                </c:pt>
                <c:pt idx="10">
                  <c:v>871.46395010760739</c:v>
                </c:pt>
                <c:pt idx="11" formatCode="0">
                  <c:v>942.76226865534352</c:v>
                </c:pt>
                <c:pt idx="12" formatCode="0">
                  <c:v>943.52020856954164</c:v>
                </c:pt>
                <c:pt idx="13" formatCode="0">
                  <c:v>1093.0292405866951</c:v>
                </c:pt>
                <c:pt idx="14" formatCode="0">
                  <c:v>1086.2486759621413</c:v>
                </c:pt>
                <c:pt idx="15" formatCode="0">
                  <c:v>1535.1784910980653</c:v>
                </c:pt>
              </c:numCache>
            </c:numRef>
          </c:val>
          <c:extLst>
            <c:ext xmlns:c16="http://schemas.microsoft.com/office/drawing/2014/chart" uri="{C3380CC4-5D6E-409C-BE32-E72D297353CC}">
              <c16:uniqueId val="{00000003-DF8A-4254-B17C-26533B78DEEB}"/>
            </c:ext>
          </c:extLst>
        </c:ser>
        <c:ser>
          <c:idx val="4"/>
          <c:order val="4"/>
          <c:tx>
            <c:strRef>
              <c:f>'Complete Data 1978-2022R'!$B$212</c:f>
              <c:strCache>
                <c:ptCount val="1"/>
                <c:pt idx="0">
                  <c:v>Fossil including CCT demo</c:v>
                </c:pt>
              </c:strCache>
            </c:strRef>
          </c:tx>
          <c:spPr>
            <a:solidFill>
              <a:srgbClr val="660066"/>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1978-2022R'!$AI$212:$AX$212</c:f>
              <c:numCache>
                <c:formatCode>0.0</c:formatCode>
                <c:ptCount val="16"/>
                <c:pt idx="0">
                  <c:v>788.46177064512688</c:v>
                </c:pt>
                <c:pt idx="1">
                  <c:v>1019.4828128319523</c:v>
                </c:pt>
                <c:pt idx="2">
                  <c:v>4062.868536222647</c:v>
                </c:pt>
                <c:pt idx="3">
                  <c:v>762.67844692620804</c:v>
                </c:pt>
                <c:pt idx="4">
                  <c:v>486.65187948115607</c:v>
                </c:pt>
                <c:pt idx="5">
                  <c:v>369.8064399999999</c:v>
                </c:pt>
                <c:pt idx="6">
                  <c:v>554.33621419431051</c:v>
                </c:pt>
                <c:pt idx="7">
                  <c:v>605.79160527336182</c:v>
                </c:pt>
                <c:pt idx="8">
                  <c:v>585.71165123456785</c:v>
                </c:pt>
                <c:pt idx="9">
                  <c:v>671.76960352422896</c:v>
                </c:pt>
                <c:pt idx="10">
                  <c:v>608.47036339672366</c:v>
                </c:pt>
                <c:pt idx="11" formatCode="0">
                  <c:v>639.76870221976606</c:v>
                </c:pt>
                <c:pt idx="12" formatCode="0">
                  <c:v>702.81454183266931</c:v>
                </c:pt>
                <c:pt idx="13" formatCode="0">
                  <c:v>696.9</c:v>
                </c:pt>
                <c:pt idx="14" formatCode="0">
                  <c:v>654.26578832562598</c:v>
                </c:pt>
                <c:pt idx="15" formatCode="0">
                  <c:v>776.9586608442504</c:v>
                </c:pt>
              </c:numCache>
            </c:numRef>
          </c:val>
          <c:extLst>
            <c:ext xmlns:c16="http://schemas.microsoft.com/office/drawing/2014/chart" uri="{C3380CC4-5D6E-409C-BE32-E72D297353CC}">
              <c16:uniqueId val="{00000004-DF8A-4254-B17C-26533B78DEEB}"/>
            </c:ext>
          </c:extLst>
        </c:ser>
        <c:ser>
          <c:idx val="5"/>
          <c:order val="5"/>
          <c:tx>
            <c:v>Electricity T&amp;D</c:v>
          </c:tx>
          <c:spPr>
            <a:solidFill>
              <a:srgbClr val="006411"/>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1978-2022R'!$AI$213:$AX$213</c:f>
              <c:numCache>
                <c:formatCode>0.0</c:formatCode>
                <c:ptCount val="16"/>
                <c:pt idx="0">
                  <c:v>106.17493888829844</c:v>
                </c:pt>
                <c:pt idx="1">
                  <c:v>130.7626938602082</c:v>
                </c:pt>
                <c:pt idx="2">
                  <c:v>700.36835982939124</c:v>
                </c:pt>
                <c:pt idx="3">
                  <c:v>162.51929012345681</c:v>
                </c:pt>
                <c:pt idx="4">
                  <c:v>132.25435740279639</c:v>
                </c:pt>
                <c:pt idx="5">
                  <c:v>128.22443984183769</c:v>
                </c:pt>
                <c:pt idx="6">
                  <c:v>119.09367228516165</c:v>
                </c:pt>
                <c:pt idx="7">
                  <c:v>133.28504165157551</c:v>
                </c:pt>
                <c:pt idx="8">
                  <c:v>156.19701003086416</c:v>
                </c:pt>
                <c:pt idx="9">
                  <c:v>222.01915341888525</c:v>
                </c:pt>
                <c:pt idx="10">
                  <c:v>243.26100546036525</c:v>
                </c:pt>
                <c:pt idx="11" formatCode="0">
                  <c:v>270.54379662890295</c:v>
                </c:pt>
                <c:pt idx="12" formatCode="0">
                  <c:v>269.52942774357115</c:v>
                </c:pt>
                <c:pt idx="13" formatCode="0">
                  <c:v>333</c:v>
                </c:pt>
                <c:pt idx="14" formatCode="0">
                  <c:v>349.27561294825932</c:v>
                </c:pt>
                <c:pt idx="15" formatCode="0">
                  <c:v>315.10043668122273</c:v>
                </c:pt>
              </c:numCache>
            </c:numRef>
          </c:val>
          <c:extLst>
            <c:ext xmlns:c16="http://schemas.microsoft.com/office/drawing/2014/chart" uri="{C3380CC4-5D6E-409C-BE32-E72D297353CC}">
              <c16:uniqueId val="{00000005-DF8A-4254-B17C-26533B78DEEB}"/>
            </c:ext>
          </c:extLst>
        </c:ser>
        <c:ser>
          <c:idx val="6"/>
          <c:order val="6"/>
          <c:tx>
            <c:v>Hydrogen (EERE)</c:v>
          </c:tx>
          <c:spPr>
            <a:solidFill>
              <a:srgbClr val="0066CC"/>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1978-2022R'!$AI$210:$AX$210</c:f>
              <c:numCache>
                <c:formatCode>0.0</c:formatCode>
                <c:ptCount val="16"/>
                <c:pt idx="0">
                  <c:v>246.63352109682219</c:v>
                </c:pt>
                <c:pt idx="1">
                  <c:v>196.77165923093264</c:v>
                </c:pt>
                <c:pt idx="2">
                  <c:v>51.404503930316544</c:v>
                </c:pt>
                <c:pt idx="3">
                  <c:v>204.38325853251226</c:v>
                </c:pt>
                <c:pt idx="4">
                  <c:v>110.1147175977939</c:v>
                </c:pt>
                <c:pt idx="5">
                  <c:v>114.00301999999999</c:v>
                </c:pt>
                <c:pt idx="6">
                  <c:v>106.12591790530563</c:v>
                </c:pt>
                <c:pt idx="7">
                  <c:v>101.34709189608375</c:v>
                </c:pt>
                <c:pt idx="8">
                  <c:v>102.90115740740741</c:v>
                </c:pt>
                <c:pt idx="9">
                  <c:v>108.85405094809423</c:v>
                </c:pt>
                <c:pt idx="10">
                  <c:v>107.00941442289587</c:v>
                </c:pt>
                <c:pt idx="11" formatCode="0">
                  <c:v>119.20512112001472</c:v>
                </c:pt>
                <c:pt idx="12" formatCode="0">
                  <c:v>122.28178196305686</c:v>
                </c:pt>
                <c:pt idx="13" formatCode="0">
                  <c:v>150</c:v>
                </c:pt>
                <c:pt idx="14" formatCode="0">
                  <c:v>147.29081232004188</c:v>
                </c:pt>
                <c:pt idx="15" formatCode="0">
                  <c:v>190.31295487627366</c:v>
                </c:pt>
              </c:numCache>
            </c:numRef>
          </c:val>
          <c:extLst>
            <c:ext xmlns:c16="http://schemas.microsoft.com/office/drawing/2014/chart" uri="{C3380CC4-5D6E-409C-BE32-E72D297353CC}">
              <c16:uniqueId val="{00000006-DF8A-4254-B17C-26533B78DEEB}"/>
            </c:ext>
          </c:extLst>
        </c:ser>
        <c:ser>
          <c:idx val="7"/>
          <c:order val="7"/>
          <c:tx>
            <c:v>ARPA-E</c:v>
          </c:tx>
          <c:spPr>
            <a:solidFill>
              <a:srgbClr val="F20884"/>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1978-2022R'!$AI$214:$AX$214</c:f>
              <c:numCache>
                <c:formatCode>0.0</c:formatCode>
                <c:ptCount val="16"/>
                <c:pt idx="1">
                  <c:v>10.400446144040789</c:v>
                </c:pt>
                <c:pt idx="2">
                  <c:v>464.91189717442103</c:v>
                </c:pt>
                <c:pt idx="3">
                  <c:v>0</c:v>
                </c:pt>
                <c:pt idx="4">
                  <c:v>206.4363599223777</c:v>
                </c:pt>
                <c:pt idx="5">
                  <c:v>309.48500000000001</c:v>
                </c:pt>
                <c:pt idx="6">
                  <c:v>277.61122157692682</c:v>
                </c:pt>
                <c:pt idx="7">
                  <c:v>305.48129895308256</c:v>
                </c:pt>
                <c:pt idx="8">
                  <c:v>303.91661458333334</c:v>
                </c:pt>
                <c:pt idx="9">
                  <c:v>313.73677456425975</c:v>
                </c:pt>
                <c:pt idx="10">
                  <c:v>323.46509131990206</c:v>
                </c:pt>
                <c:pt idx="11" formatCode="0">
                  <c:v>366.3225200331583</c:v>
                </c:pt>
                <c:pt idx="12" formatCode="0">
                  <c:v>373.06133647229262</c:v>
                </c:pt>
                <c:pt idx="13" formatCode="0">
                  <c:v>425</c:v>
                </c:pt>
                <c:pt idx="14" formatCode="0">
                  <c:v>419.28784573771924</c:v>
                </c:pt>
                <c:pt idx="15" formatCode="0">
                  <c:v>481.80494905385734</c:v>
                </c:pt>
              </c:numCache>
            </c:numRef>
          </c:val>
          <c:extLst>
            <c:ext xmlns:c16="http://schemas.microsoft.com/office/drawing/2014/chart" uri="{C3380CC4-5D6E-409C-BE32-E72D297353CC}">
              <c16:uniqueId val="{00000007-DF8A-4254-B17C-26533B78DEEB}"/>
            </c:ext>
          </c:extLst>
        </c:ser>
        <c:ser>
          <c:idx val="8"/>
          <c:order val="8"/>
          <c:tx>
            <c:strRef>
              <c:f>'Complete Data 1978-2022R'!$BA$215</c:f>
              <c:strCache>
                <c:ptCount val="1"/>
                <c:pt idx="0">
                  <c:v>ARPA-C</c:v>
                </c:pt>
              </c:strCache>
            </c:strRef>
          </c:tx>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1978-2022R'!$AI$215:$AX$215</c:f>
              <c:numCache>
                <c:formatCode>0.0</c:formatCode>
                <c:ptCount val="16"/>
                <c:pt idx="15" formatCode="0">
                  <c:v>192.72197962154294</c:v>
                </c:pt>
              </c:numCache>
            </c:numRef>
          </c:val>
          <c:extLst>
            <c:ext xmlns:c16="http://schemas.microsoft.com/office/drawing/2014/chart" uri="{C3380CC4-5D6E-409C-BE32-E72D297353CC}">
              <c16:uniqueId val="{00000000-163D-48C3-BDB1-2DF582B136CC}"/>
            </c:ext>
          </c:extLst>
        </c:ser>
        <c:ser>
          <c:idx val="11"/>
          <c:order val="9"/>
          <c:tx>
            <c:strRef>
              <c:f>'Complete Data 1978-2022R'!$BA$216</c:f>
              <c:strCache>
                <c:ptCount val="1"/>
                <c:pt idx="0">
                  <c:v>OCDE</c:v>
                </c:pt>
              </c:strCache>
            </c:strRef>
          </c:tx>
          <c:spPr>
            <a:ln>
              <a:solidFill>
                <a:srgbClr val="808080"/>
              </a:solidFill>
            </a:ln>
          </c:spPr>
          <c:invertIfNegative val="0"/>
          <c:dPt>
            <c:idx val="15"/>
            <c:invertIfNegative val="0"/>
            <c:bubble3D val="0"/>
            <c:spPr>
              <a:ln w="12700">
                <a:solidFill>
                  <a:srgbClr val="808080"/>
                </a:solidFill>
              </a:ln>
            </c:spPr>
            <c:extLst>
              <c:ext xmlns:c16="http://schemas.microsoft.com/office/drawing/2014/chart" uri="{C3380CC4-5D6E-409C-BE32-E72D297353CC}">
                <c16:uniqueId val="{00000002-163D-48C3-BDB1-2DF582B136CC}"/>
              </c:ext>
            </c:extLst>
          </c:dPt>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1978-2022R'!$AI$216:$AX$216</c:f>
              <c:numCache>
                <c:formatCode>0.0</c:formatCode>
                <c:ptCount val="16"/>
                <c:pt idx="15" formatCode="0">
                  <c:v>385.44395924308589</c:v>
                </c:pt>
              </c:numCache>
            </c:numRef>
          </c:val>
          <c:extLst>
            <c:ext xmlns:c16="http://schemas.microsoft.com/office/drawing/2014/chart" uri="{C3380CC4-5D6E-409C-BE32-E72D297353CC}">
              <c16:uniqueId val="{00000001-163D-48C3-BDB1-2DF582B136CC}"/>
            </c:ext>
          </c:extLst>
        </c:ser>
        <c:ser>
          <c:idx val="10"/>
          <c:order val="10"/>
          <c:tx>
            <c:strRef>
              <c:f>'Complete Data 1978-2022R'!$AY$226</c:f>
              <c:strCache>
                <c:ptCount val="1"/>
                <c:pt idx="0">
                  <c:v>BES and Environmental and Biological R&amp;D</c:v>
                </c:pt>
              </c:strCache>
            </c:strRef>
          </c:tx>
          <c:spPr>
            <a:solidFill>
              <a:srgbClr val="969696"/>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1978-2022R'!$AI$222:$AX$222</c:f>
              <c:numCache>
                <c:formatCode>0.0</c:formatCode>
                <c:ptCount val="16"/>
                <c:pt idx="0">
                  <c:v>1498.6993304283135</c:v>
                </c:pt>
                <c:pt idx="1">
                  <c:v>1836.216698534098</c:v>
                </c:pt>
                <c:pt idx="2">
                  <c:v>663.47673677501587</c:v>
                </c:pt>
                <c:pt idx="3">
                  <c:v>1878.2116689280867</c:v>
                </c:pt>
                <c:pt idx="4">
                  <c:v>1709.1919109386172</c:v>
                </c:pt>
                <c:pt idx="5">
                  <c:v>1680.67236</c:v>
                </c:pt>
                <c:pt idx="6">
                  <c:v>1718.508731174328</c:v>
                </c:pt>
                <c:pt idx="7">
                  <c:v>1756.3920124079098</c:v>
                </c:pt>
                <c:pt idx="8">
                  <c:v>1826.7126350308642</c:v>
                </c:pt>
                <c:pt idx="9">
                  <c:v>1992.7835663665965</c:v>
                </c:pt>
                <c:pt idx="10">
                  <c:v>1982.8526642816794</c:v>
                </c:pt>
                <c:pt idx="11">
                  <c:v>2166.4235055724416</c:v>
                </c:pt>
                <c:pt idx="12">
                  <c:v>2207.1861644331761</c:v>
                </c:pt>
                <c:pt idx="13">
                  <c:v>2213</c:v>
                </c:pt>
                <c:pt idx="14">
                  <c:v>2204.452491056627</c:v>
                </c:pt>
                <c:pt idx="15">
                  <c:v>2216.3027656477439</c:v>
                </c:pt>
              </c:numCache>
            </c:numRef>
          </c:val>
          <c:extLst>
            <c:ext xmlns:c16="http://schemas.microsoft.com/office/drawing/2014/chart" uri="{C3380CC4-5D6E-409C-BE32-E72D297353CC}">
              <c16:uniqueId val="{00000009-DF8A-4254-B17C-26533B78DEEB}"/>
            </c:ext>
          </c:extLst>
        </c:ser>
        <c:ser>
          <c:idx val="9"/>
          <c:order val="11"/>
          <c:tx>
            <c:v>Deployment</c:v>
          </c:tx>
          <c:spPr>
            <a:solidFill>
              <a:srgbClr val="99CC00"/>
            </a:solidFill>
            <a:ln w="12700">
              <a:solidFill>
                <a:srgbClr val="000000"/>
              </a:solidFill>
              <a:prstDash val="solid"/>
            </a:ln>
          </c:spPr>
          <c:invertIfNegative val="0"/>
          <c:cat>
            <c:strRef>
              <c:f>'Complete Data 1978-2022R'!$AI$206:$AX$206</c:f>
              <c:strCache>
                <c:ptCount val="16"/>
                <c:pt idx="0">
                  <c:v>2008</c:v>
                </c:pt>
                <c:pt idx="1">
                  <c:v>2009</c:v>
                </c:pt>
                <c:pt idx="2">
                  <c:v>2009 ARRA</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 Request</c:v>
                </c:pt>
              </c:strCache>
            </c:strRef>
          </c:cat>
          <c:val>
            <c:numRef>
              <c:f>'Complete Data 1978-2022R'!$AI$220:$AX$220</c:f>
              <c:numCache>
                <c:formatCode>0.0</c:formatCode>
                <c:ptCount val="16"/>
                <c:pt idx="0">
                  <c:v>348.18146455521315</c:v>
                </c:pt>
                <c:pt idx="1">
                  <c:v>9597.459974506055</c:v>
                </c:pt>
                <c:pt idx="2">
                  <c:v>26234.467898874016</c:v>
                </c:pt>
                <c:pt idx="3">
                  <c:v>366.48032564450472</c:v>
                </c:pt>
                <c:pt idx="4">
                  <c:v>499.30932489020529</c:v>
                </c:pt>
                <c:pt idx="5">
                  <c:v>169.82285999999999</c:v>
                </c:pt>
                <c:pt idx="6">
                  <c:v>232.6351018801063</c:v>
                </c:pt>
                <c:pt idx="7">
                  <c:v>303.49581233036054</c:v>
                </c:pt>
                <c:pt idx="8">
                  <c:v>315.86747685185185</c:v>
                </c:pt>
                <c:pt idx="9">
                  <c:v>339.49530741237311</c:v>
                </c:pt>
                <c:pt idx="10">
                  <c:v>1738.4262097533419</c:v>
                </c:pt>
                <c:pt idx="11">
                  <c:v>379.27959841576853</c:v>
                </c:pt>
                <c:pt idx="12">
                  <c:v>366.13203549438606</c:v>
                </c:pt>
                <c:pt idx="13">
                  <c:v>446.5</c:v>
                </c:pt>
                <c:pt idx="14">
                  <c:v>-1820.0234709013175</c:v>
                </c:pt>
                <c:pt idx="15">
                  <c:v>1369.0005822416304</c:v>
                </c:pt>
              </c:numCache>
            </c:numRef>
          </c:val>
          <c:extLst>
            <c:ext xmlns:c16="http://schemas.microsoft.com/office/drawing/2014/chart" uri="{C3380CC4-5D6E-409C-BE32-E72D297353CC}">
              <c16:uniqueId val="{00000008-DF8A-4254-B17C-26533B78DEEB}"/>
            </c:ext>
          </c:extLst>
        </c:ser>
        <c:dLbls>
          <c:showLegendKey val="0"/>
          <c:showVal val="0"/>
          <c:showCatName val="0"/>
          <c:showSerName val="0"/>
          <c:showPercent val="0"/>
          <c:showBubbleSize val="0"/>
        </c:dLbls>
        <c:gapWidth val="100"/>
        <c:overlap val="100"/>
        <c:axId val="2123653128"/>
        <c:axId val="2123510104"/>
      </c:barChart>
      <c:catAx>
        <c:axId val="2123653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23510104"/>
        <c:crosses val="autoZero"/>
        <c:auto val="1"/>
        <c:lblAlgn val="ctr"/>
        <c:lblOffset val="100"/>
        <c:tickLblSkip val="1"/>
        <c:tickMarkSkip val="1"/>
        <c:noMultiLvlLbl val="0"/>
      </c:catAx>
      <c:valAx>
        <c:axId val="2123510104"/>
        <c:scaling>
          <c:orientation val="minMax"/>
        </c:scaling>
        <c:delete val="0"/>
        <c:axPos val="l"/>
        <c:majorGridlines>
          <c:spPr>
            <a:ln w="3175">
              <a:solidFill>
                <a:srgbClr val="C0C0C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1.44284631087781E-2"/>
              <c:y val="0.4045676153225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23653128"/>
        <c:crosses val="autoZero"/>
        <c:crossBetween val="between"/>
      </c:valAx>
      <c:spPr>
        <a:solidFill>
          <a:srgbClr val="FFFFFF"/>
        </a:solidFill>
        <a:ln w="12700">
          <a:solidFill>
            <a:schemeClr val="tx1"/>
          </a:solidFill>
          <a:prstDash val="solid"/>
        </a:ln>
      </c:spPr>
    </c:plotArea>
    <c:legend>
      <c:legendPos val="b"/>
      <c:layout>
        <c:manualLayout>
          <c:xMode val="edge"/>
          <c:yMode val="edge"/>
          <c:x val="1.55382907880133E-2"/>
          <c:y val="0.805872756933116"/>
          <c:w val="0.61733144895349623"/>
          <c:h val="0.19412726728650795"/>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600" b="1" i="0" u="none" strike="noStrike" baseline="0">
                <a:solidFill>
                  <a:srgbClr val="000000"/>
                </a:solidFill>
                <a:latin typeface="Arial"/>
                <a:ea typeface="Arial"/>
                <a:cs typeface="Arial"/>
              </a:defRPr>
            </a:pPr>
            <a:r>
              <a:rPr lang="en-US" sz="2600" b="1" i="0" u="none" strike="noStrike" baseline="0">
                <a:solidFill>
                  <a:srgbClr val="000000"/>
                </a:solidFill>
                <a:latin typeface="Arial"/>
                <a:cs typeface="Arial"/>
              </a:rPr>
              <a:t>U.S. DOE Energy RD&amp;D</a:t>
            </a:r>
            <a:r>
              <a:rPr lang="en-US" sz="1600" b="1" i="0" u="none" strike="noStrike" baseline="0">
                <a:solidFill>
                  <a:srgbClr val="000000"/>
                </a:solidFill>
                <a:latin typeface="Arial"/>
                <a:cs typeface="Arial"/>
              </a:rPr>
              <a:t> </a:t>
            </a:r>
          </a:p>
          <a:p>
            <a:pPr>
              <a:defRPr sz="2600" b="1" i="0" u="none" strike="noStrike" baseline="0">
                <a:solidFill>
                  <a:srgbClr val="000000"/>
                </a:solidFill>
                <a:latin typeface="Arial"/>
                <a:ea typeface="Arial"/>
                <a:cs typeface="Arial"/>
              </a:defRPr>
            </a:pPr>
            <a:r>
              <a:rPr lang="en-US" sz="1600" b="1" i="0" u="none" strike="noStrike" baseline="0">
                <a:solidFill>
                  <a:srgbClr val="000000"/>
                </a:solidFill>
                <a:latin typeface="Arial"/>
                <a:cs typeface="Arial"/>
              </a:rPr>
              <a:t>1978-FY2022 Request</a:t>
            </a:r>
          </a:p>
        </c:rich>
      </c:tx>
      <c:layout>
        <c:manualLayout>
          <c:xMode val="edge"/>
          <c:yMode val="edge"/>
          <c:x val="0.27487976322604601"/>
          <c:y val="2.2680412371133999E-2"/>
        </c:manualLayout>
      </c:layout>
      <c:overlay val="0"/>
      <c:spPr>
        <a:noFill/>
        <a:ln w="25400">
          <a:noFill/>
        </a:ln>
      </c:spPr>
    </c:title>
    <c:autoTitleDeleted val="0"/>
    <c:plotArea>
      <c:layout>
        <c:manualLayout>
          <c:layoutTarget val="inner"/>
          <c:xMode val="edge"/>
          <c:yMode val="edge"/>
          <c:x val="8.4720680725120207E-2"/>
          <c:y val="0.189300592580567"/>
          <c:w val="0.69102480651457021"/>
          <c:h val="0.60848287112561095"/>
        </c:manualLayout>
      </c:layout>
      <c:areaChart>
        <c:grouping val="stacked"/>
        <c:varyColors val="0"/>
        <c:ser>
          <c:idx val="0"/>
          <c:order val="0"/>
          <c:tx>
            <c:strRef>
              <c:f>'Complete Data 1978-2022R'!$BA$207</c:f>
              <c:strCache>
                <c:ptCount val="1"/>
                <c:pt idx="0">
                  <c:v>Fission</c:v>
                </c:pt>
              </c:strCache>
            </c:strRef>
          </c:tx>
          <c:spPr>
            <a:solidFill>
              <a:srgbClr val="DD0806"/>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1978-2022R'!$E$207:$AX$207</c:f>
              <c:numCache>
                <c:formatCode>0.0</c:formatCode>
                <c:ptCount val="46"/>
                <c:pt idx="0">
                  <c:v>3111.3157760814252</c:v>
                </c:pt>
                <c:pt idx="1">
                  <c:v>2676.4404789719629</c:v>
                </c:pt>
                <c:pt idx="2">
                  <c:v>2403.7092254824211</c:v>
                </c:pt>
                <c:pt idx="3">
                  <c:v>1856.134046600095</c:v>
                </c:pt>
                <c:pt idx="4">
                  <c:v>1944.5517699115042</c:v>
                </c:pt>
                <c:pt idx="5">
                  <c:v>1494.7644828312618</c:v>
                </c:pt>
                <c:pt idx="6">
                  <c:v>1267.6880506940254</c:v>
                </c:pt>
                <c:pt idx="7">
                  <c:v>879.12314563106781</c:v>
                </c:pt>
                <c:pt idx="8">
                  <c:v>728.36367440091283</c:v>
                </c:pt>
                <c:pt idx="9">
                  <c:v>528.59070536370314</c:v>
                </c:pt>
                <c:pt idx="10">
                  <c:v>488.5503719447396</c:v>
                </c:pt>
                <c:pt idx="11">
                  <c:v>461.78619161268318</c:v>
                </c:pt>
                <c:pt idx="12">
                  <c:v>580.13207861425713</c:v>
                </c:pt>
                <c:pt idx="13">
                  <c:v>533.94758930001603</c:v>
                </c:pt>
                <c:pt idx="14">
                  <c:v>507.71862595419839</c:v>
                </c:pt>
                <c:pt idx="15">
                  <c:v>409.25467659793816</c:v>
                </c:pt>
                <c:pt idx="16">
                  <c:v>169.33911959645289</c:v>
                </c:pt>
                <c:pt idx="17">
                  <c:v>187.2875346865597</c:v>
                </c:pt>
                <c:pt idx="18">
                  <c:v>69.92124476921974</c:v>
                </c:pt>
                <c:pt idx="19">
                  <c:v>96.237954587220898</c:v>
                </c:pt>
                <c:pt idx="20">
                  <c:v>11.55422922401989</c:v>
                </c:pt>
                <c:pt idx="21">
                  <c:v>47.152645778381789</c:v>
                </c:pt>
                <c:pt idx="22">
                  <c:v>74.084944457509479</c:v>
                </c:pt>
                <c:pt idx="23">
                  <c:v>90.635991115737724</c:v>
                </c:pt>
                <c:pt idx="24">
                  <c:v>220.21665267969141</c:v>
                </c:pt>
                <c:pt idx="25">
                  <c:v>222.09252477146774</c:v>
                </c:pt>
                <c:pt idx="26">
                  <c:v>234.8191170572531</c:v>
                </c:pt>
                <c:pt idx="27">
                  <c:v>280.91423044417746</c:v>
                </c:pt>
                <c:pt idx="28">
                  <c:v>348.95539303450118</c:v>
                </c:pt>
                <c:pt idx="29">
                  <c:v>435.25845725026664</c:v>
                </c:pt>
                <c:pt idx="30">
                  <c:v>568.39186063633474</c:v>
                </c:pt>
                <c:pt idx="31">
                  <c:v>671.35697856365869</c:v>
                </c:pt>
                <c:pt idx="32">
                  <c:v>0</c:v>
                </c:pt>
                <c:pt idx="33">
                  <c:v>590.5488560525738</c:v>
                </c:pt>
                <c:pt idx="34">
                  <c:v>520.08534267586208</c:v>
                </c:pt>
                <c:pt idx="35">
                  <c:v>566.73233739192005</c:v>
                </c:pt>
                <c:pt idx="36">
                  <c:v>520.35865371588068</c:v>
                </c:pt>
                <c:pt idx="37">
                  <c:v>588.00320634957234</c:v>
                </c:pt>
                <c:pt idx="38">
                  <c:v>502.63678705647743</c:v>
                </c:pt>
                <c:pt idx="39">
                  <c:v>624.69110837085555</c:v>
                </c:pt>
                <c:pt idx="40">
                  <c:v>635.8552489654378</c:v>
                </c:pt>
                <c:pt idx="41" formatCode="0">
                  <c:v>732.62038580144997</c:v>
                </c:pt>
                <c:pt idx="42" formatCode="0">
                  <c:v>816.68868667707932</c:v>
                </c:pt>
                <c:pt idx="43" formatCode="0">
                  <c:v>1025.1268817204302</c:v>
                </c:pt>
                <c:pt idx="44" formatCode="0">
                  <c:v>972.69129572571831</c:v>
                </c:pt>
                <c:pt idx="45" formatCode="0">
                  <c:v>1196.823834876589</c:v>
                </c:pt>
              </c:numCache>
            </c:numRef>
          </c:val>
          <c:extLst>
            <c:ext xmlns:c16="http://schemas.microsoft.com/office/drawing/2014/chart" uri="{C3380CC4-5D6E-409C-BE32-E72D297353CC}">
              <c16:uniqueId val="{00000000-07DE-4D5B-854E-57E686E9D41E}"/>
            </c:ext>
          </c:extLst>
        </c:ser>
        <c:ser>
          <c:idx val="1"/>
          <c:order val="1"/>
          <c:tx>
            <c:strRef>
              <c:f>'Complete Data 1978-2022R'!$BA$208</c:f>
              <c:strCache>
                <c:ptCount val="1"/>
                <c:pt idx="0">
                  <c:v>Fusion</c:v>
                </c:pt>
              </c:strCache>
            </c:strRef>
          </c:tx>
          <c:spPr>
            <a:solidFill>
              <a:srgbClr val="FF9900"/>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1978-2022R'!$E$208:$AX$208</c:f>
              <c:numCache>
                <c:formatCode>0.0</c:formatCode>
                <c:ptCount val="46"/>
                <c:pt idx="0">
                  <c:v>1189.8312977099235</c:v>
                </c:pt>
                <c:pt idx="1">
                  <c:v>1167.1423481308411</c:v>
                </c:pt>
                <c:pt idx="2">
                  <c:v>1042.1031456515991</c:v>
                </c:pt>
                <c:pt idx="3">
                  <c:v>1054.4939134569663</c:v>
                </c:pt>
                <c:pt idx="4">
                  <c:v>1123.4081415929202</c:v>
                </c:pt>
                <c:pt idx="5">
                  <c:v>1086.7566041710552</c:v>
                </c:pt>
                <c:pt idx="6">
                  <c:v>1060.4251860792597</c:v>
                </c:pt>
                <c:pt idx="7">
                  <c:v>938.78027184466021</c:v>
                </c:pt>
                <c:pt idx="8">
                  <c:v>773.73925446937994</c:v>
                </c:pt>
                <c:pt idx="9">
                  <c:v>706.1657604702425</c:v>
                </c:pt>
                <c:pt idx="10">
                  <c:v>660.37020899752031</c:v>
                </c:pt>
                <c:pt idx="11">
                  <c:v>665.34047050801223</c:v>
                </c:pt>
                <c:pt idx="12">
                  <c:v>593.62788141239162</c:v>
                </c:pt>
                <c:pt idx="13">
                  <c:v>516.64206311068403</c:v>
                </c:pt>
                <c:pt idx="14">
                  <c:v>570.77538931297704</c:v>
                </c:pt>
                <c:pt idx="15">
                  <c:v>556.80132880555141</c:v>
                </c:pt>
                <c:pt idx="16">
                  <c:v>536.65134233057609</c:v>
                </c:pt>
                <c:pt idx="17">
                  <c:v>558.81493588840351</c:v>
                </c:pt>
                <c:pt idx="18">
                  <c:v>371.76169800884958</c:v>
                </c:pt>
                <c:pt idx="19">
                  <c:v>353.97118506493507</c:v>
                </c:pt>
                <c:pt idx="20">
                  <c:v>339.7719903043361</c:v>
                </c:pt>
                <c:pt idx="21">
                  <c:v>325.74211087420042</c:v>
                </c:pt>
                <c:pt idx="22">
                  <c:v>349.59046999088662</c:v>
                </c:pt>
                <c:pt idx="23">
                  <c:v>346.13166899707642</c:v>
                </c:pt>
                <c:pt idx="24">
                  <c:v>340.48681139415231</c:v>
                </c:pt>
                <c:pt idx="25">
                  <c:v>332.82194372773063</c:v>
                </c:pt>
                <c:pt idx="26">
                  <c:v>345.64313490158423</c:v>
                </c:pt>
                <c:pt idx="27">
                  <c:v>358.80230473751595</c:v>
                </c:pt>
                <c:pt idx="28">
                  <c:v>356.14405862457721</c:v>
                </c:pt>
                <c:pt idx="29">
                  <c:v>385.35337800725029</c:v>
                </c:pt>
                <c:pt idx="30">
                  <c:v>352.72660218939313</c:v>
                </c:pt>
                <c:pt idx="31">
                  <c:v>471.60643722115998</c:v>
                </c:pt>
                <c:pt idx="32">
                  <c:v>108.78627575950711</c:v>
                </c:pt>
                <c:pt idx="33">
                  <c:v>489.81505062102076</c:v>
                </c:pt>
                <c:pt idx="34">
                  <c:v>422.0681033602288</c:v>
                </c:pt>
                <c:pt idx="35">
                  <c:v>442.28219999999999</c:v>
                </c:pt>
                <c:pt idx="36">
                  <c:v>418.52162614430551</c:v>
                </c:pt>
                <c:pt idx="37">
                  <c:v>550.59071345482744</c:v>
                </c:pt>
                <c:pt idx="38">
                  <c:v>496.48722993827158</c:v>
                </c:pt>
                <c:pt idx="39">
                  <c:v>472.06014173529974</c:v>
                </c:pt>
                <c:pt idx="40">
                  <c:v>402.6096780267369</c:v>
                </c:pt>
                <c:pt idx="41" formatCode="0">
                  <c:v>425.09582757667857</c:v>
                </c:pt>
                <c:pt idx="42" formatCode="0">
                  <c:v>440.21441506700467</c:v>
                </c:pt>
                <c:pt idx="43" formatCode="0">
                  <c:v>414</c:v>
                </c:pt>
                <c:pt idx="44" formatCode="0">
                  <c:v>407.50458075211588</c:v>
                </c:pt>
                <c:pt idx="45" formatCode="0">
                  <c:v>432.66084425036394</c:v>
                </c:pt>
              </c:numCache>
            </c:numRef>
          </c:val>
          <c:extLst>
            <c:ext xmlns:c16="http://schemas.microsoft.com/office/drawing/2014/chart" uri="{C3380CC4-5D6E-409C-BE32-E72D297353CC}">
              <c16:uniqueId val="{00000001-07DE-4D5B-854E-57E686E9D41E}"/>
            </c:ext>
          </c:extLst>
        </c:ser>
        <c:ser>
          <c:idx val="2"/>
          <c:order val="2"/>
          <c:tx>
            <c:strRef>
              <c:f>'Complete Data 1978-2022R'!$BA$209</c:f>
              <c:strCache>
                <c:ptCount val="1"/>
                <c:pt idx="0">
                  <c:v>Efficiency</c:v>
                </c:pt>
              </c:strCache>
            </c:strRef>
          </c:tx>
          <c:spPr>
            <a:solidFill>
              <a:srgbClr val="FCF305"/>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1978-2022R'!$E$209:$AX$209</c:f>
              <c:numCache>
                <c:formatCode>0.0</c:formatCode>
                <c:ptCount val="46"/>
                <c:pt idx="0">
                  <c:v>619.61431297709919</c:v>
                </c:pt>
                <c:pt idx="1">
                  <c:v>751.36226635514004</c:v>
                </c:pt>
                <c:pt idx="2">
                  <c:v>876.99688078244765</c:v>
                </c:pt>
                <c:pt idx="3">
                  <c:v>782.64265335235382</c:v>
                </c:pt>
                <c:pt idx="4">
                  <c:v>378.20411504424777</c:v>
                </c:pt>
                <c:pt idx="5">
                  <c:v>319.10436064883072</c:v>
                </c:pt>
                <c:pt idx="6">
                  <c:v>339.81601287467305</c:v>
                </c:pt>
                <c:pt idx="7">
                  <c:v>349.20178640776697</c:v>
                </c:pt>
                <c:pt idx="8">
                  <c:v>350.37653100038034</c:v>
                </c:pt>
                <c:pt idx="9">
                  <c:v>310.91138868479061</c:v>
                </c:pt>
                <c:pt idx="10">
                  <c:v>297.19649309245483</c:v>
                </c:pt>
                <c:pt idx="11">
                  <c:v>290.27108762359359</c:v>
                </c:pt>
                <c:pt idx="12">
                  <c:v>354.82714856762158</c:v>
                </c:pt>
                <c:pt idx="13">
                  <c:v>408.30225852955311</c:v>
                </c:pt>
                <c:pt idx="14">
                  <c:v>440.71007633587783</c:v>
                </c:pt>
                <c:pt idx="15">
                  <c:v>513.76595304887041</c:v>
                </c:pt>
                <c:pt idx="16">
                  <c:v>616.3488027862428</c:v>
                </c:pt>
                <c:pt idx="17">
                  <c:v>663.31523178807936</c:v>
                </c:pt>
                <c:pt idx="18">
                  <c:v>563.16684181415928</c:v>
                </c:pt>
                <c:pt idx="19">
                  <c:v>600.4569264069263</c:v>
                </c:pt>
                <c:pt idx="20">
                  <c:v>651.88635873956355</c:v>
                </c:pt>
                <c:pt idx="21">
                  <c:v>723.46502727000882</c:v>
                </c:pt>
                <c:pt idx="22">
                  <c:v>748.09922615985272</c:v>
                </c:pt>
                <c:pt idx="23">
                  <c:v>803.14795988288677</c:v>
                </c:pt>
                <c:pt idx="24">
                  <c:v>660.59893236764799</c:v>
                </c:pt>
                <c:pt idx="25">
                  <c:v>681.54522668632512</c:v>
                </c:pt>
                <c:pt idx="26">
                  <c:v>647.25357657225163</c:v>
                </c:pt>
                <c:pt idx="27">
                  <c:v>540.6642813069451</c:v>
                </c:pt>
                <c:pt idx="28">
                  <c:v>523.09482877564096</c:v>
                </c:pt>
                <c:pt idx="29">
                  <c:v>504.06433322567096</c:v>
                </c:pt>
                <c:pt idx="30">
                  <c:v>598.27343572321058</c:v>
                </c:pt>
                <c:pt idx="31">
                  <c:v>741.99529650182319</c:v>
                </c:pt>
                <c:pt idx="32">
                  <c:v>803.68437994826434</c:v>
                </c:pt>
                <c:pt idx="33">
                  <c:v>883.83671952135887</c:v>
                </c:pt>
                <c:pt idx="34">
                  <c:v>772.1633567915909</c:v>
                </c:pt>
                <c:pt idx="35">
                  <c:v>816.33941295862155</c:v>
                </c:pt>
                <c:pt idx="36">
                  <c:v>692.88501813231335</c:v>
                </c:pt>
                <c:pt idx="37">
                  <c:v>785.23946636351047</c:v>
                </c:pt>
                <c:pt idx="38">
                  <c:v>756.22693367029842</c:v>
                </c:pt>
                <c:pt idx="39">
                  <c:v>884.36084465584884</c:v>
                </c:pt>
                <c:pt idx="40">
                  <c:v>841.89779959548252</c:v>
                </c:pt>
                <c:pt idx="41" formatCode="0">
                  <c:v>987.14453692666007</c:v>
                </c:pt>
                <c:pt idx="42" formatCode="0">
                  <c:v>997.69267903512889</c:v>
                </c:pt>
                <c:pt idx="43" formatCode="0">
                  <c:v>1131.0264629847238</c:v>
                </c:pt>
                <c:pt idx="44" formatCode="0">
                  <c:v>1154.8600463895443</c:v>
                </c:pt>
                <c:pt idx="45" formatCode="0">
                  <c:v>1615.1347680782853</c:v>
                </c:pt>
              </c:numCache>
            </c:numRef>
          </c:val>
          <c:extLst>
            <c:ext xmlns:c16="http://schemas.microsoft.com/office/drawing/2014/chart" uri="{C3380CC4-5D6E-409C-BE32-E72D297353CC}">
              <c16:uniqueId val="{00000002-07DE-4D5B-854E-57E686E9D41E}"/>
            </c:ext>
          </c:extLst>
        </c:ser>
        <c:ser>
          <c:idx val="3"/>
          <c:order val="3"/>
          <c:tx>
            <c:strRef>
              <c:f>'Complete Data 1978-2022R'!$BA$211</c:f>
              <c:strCache>
                <c:ptCount val="1"/>
                <c:pt idx="0">
                  <c:v>Renewables</c:v>
                </c:pt>
              </c:strCache>
            </c:strRef>
          </c:tx>
          <c:spPr>
            <a:solidFill>
              <a:srgbClr val="666699"/>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1978-2022R'!$E$211:$AX$211</c:f>
              <c:numCache>
                <c:formatCode>0.0</c:formatCode>
                <c:ptCount val="46"/>
                <c:pt idx="0">
                  <c:v>2164.8916030534347</c:v>
                </c:pt>
                <c:pt idx="1">
                  <c:v>2530.5066004672894</c:v>
                </c:pt>
                <c:pt idx="2">
                  <c:v>2477.1889505683316</c:v>
                </c:pt>
                <c:pt idx="3">
                  <c:v>2201.8346647646222</c:v>
                </c:pt>
                <c:pt idx="4">
                  <c:v>998.17004424778759</c:v>
                </c:pt>
                <c:pt idx="5">
                  <c:v>720.71118601221815</c:v>
                </c:pt>
                <c:pt idx="6">
                  <c:v>579.22669483001414</c:v>
                </c:pt>
                <c:pt idx="7">
                  <c:v>558.76656310679596</c:v>
                </c:pt>
                <c:pt idx="8">
                  <c:v>446.90665652339294</c:v>
                </c:pt>
                <c:pt idx="9">
                  <c:v>376.23585598824388</c:v>
                </c:pt>
                <c:pt idx="10">
                  <c:v>303.47529224229538</c:v>
                </c:pt>
                <c:pt idx="11">
                  <c:v>308.11326287078072</c:v>
                </c:pt>
                <c:pt idx="12">
                  <c:v>260.73141239173879</c:v>
                </c:pt>
                <c:pt idx="13">
                  <c:v>362.69498638475096</c:v>
                </c:pt>
                <c:pt idx="14">
                  <c:v>415.2811908396946</c:v>
                </c:pt>
                <c:pt idx="15">
                  <c:v>424.87048575225151</c:v>
                </c:pt>
                <c:pt idx="16">
                  <c:v>503.98844870120445</c:v>
                </c:pt>
                <c:pt idx="17">
                  <c:v>571.65943356347748</c:v>
                </c:pt>
                <c:pt idx="18">
                  <c:v>395.41501659292038</c:v>
                </c:pt>
                <c:pt idx="19">
                  <c:v>350.71312770562764</c:v>
                </c:pt>
                <c:pt idx="20">
                  <c:v>443.50701589011578</c:v>
                </c:pt>
                <c:pt idx="21">
                  <c:v>531.58053038379524</c:v>
                </c:pt>
                <c:pt idx="22">
                  <c:v>415.06908735841694</c:v>
                </c:pt>
                <c:pt idx="23">
                  <c:v>491.53100292360506</c:v>
                </c:pt>
                <c:pt idx="24">
                  <c:v>499.68663822311458</c:v>
                </c:pt>
                <c:pt idx="25">
                  <c:v>392.55567022975788</c:v>
                </c:pt>
                <c:pt idx="26">
                  <c:v>352.9368939030245</c:v>
                </c:pt>
                <c:pt idx="27">
                  <c:v>382.91622020575142</c:v>
                </c:pt>
                <c:pt idx="28">
                  <c:v>340.26698485489396</c:v>
                </c:pt>
                <c:pt idx="29">
                  <c:v>675.19795258548845</c:v>
                </c:pt>
                <c:pt idx="30">
                  <c:v>811.95560327620694</c:v>
                </c:pt>
                <c:pt idx="31">
                  <c:v>988.40706019366303</c:v>
                </c:pt>
                <c:pt idx="32">
                  <c:v>1905.3598495203294</c:v>
                </c:pt>
                <c:pt idx="33">
                  <c:v>1127.2941743245092</c:v>
                </c:pt>
                <c:pt idx="34">
                  <c:v>847.5578012798253</c:v>
                </c:pt>
                <c:pt idx="35">
                  <c:v>891.6907519361672</c:v>
                </c:pt>
                <c:pt idx="36">
                  <c:v>831.22425577979595</c:v>
                </c:pt>
                <c:pt idx="37">
                  <c:v>898.70285237394387</c:v>
                </c:pt>
                <c:pt idx="38">
                  <c:v>832.44172539298563</c:v>
                </c:pt>
                <c:pt idx="39">
                  <c:v>910.85482502409059</c:v>
                </c:pt>
                <c:pt idx="40">
                  <c:v>871.46395010760739</c:v>
                </c:pt>
                <c:pt idx="41" formatCode="0">
                  <c:v>942.76226865534352</c:v>
                </c:pt>
                <c:pt idx="42" formatCode="0">
                  <c:v>943.52020856954164</c:v>
                </c:pt>
                <c:pt idx="43" formatCode="0">
                  <c:v>1093.0292405866951</c:v>
                </c:pt>
                <c:pt idx="44" formatCode="0">
                  <c:v>1086.2486759621413</c:v>
                </c:pt>
                <c:pt idx="45" formatCode="0">
                  <c:v>1535.1784910980653</c:v>
                </c:pt>
              </c:numCache>
            </c:numRef>
          </c:val>
          <c:extLst>
            <c:ext xmlns:c16="http://schemas.microsoft.com/office/drawing/2014/chart" uri="{C3380CC4-5D6E-409C-BE32-E72D297353CC}">
              <c16:uniqueId val="{00000003-07DE-4D5B-854E-57E686E9D41E}"/>
            </c:ext>
          </c:extLst>
        </c:ser>
        <c:ser>
          <c:idx val="4"/>
          <c:order val="4"/>
          <c:tx>
            <c:strRef>
              <c:f>'Complete Data 1978-2022R'!$BA$212</c:f>
              <c:strCache>
                <c:ptCount val="1"/>
                <c:pt idx="0">
                  <c:v>Fossil including CCT demo</c:v>
                </c:pt>
              </c:strCache>
            </c:strRef>
          </c:tx>
          <c:spPr>
            <a:solidFill>
              <a:srgbClr val="660066"/>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1978-2022R'!$E$212:$AX$212</c:f>
              <c:numCache>
                <c:formatCode>0.0</c:formatCode>
                <c:ptCount val="46"/>
                <c:pt idx="0">
                  <c:v>2739.7619592875317</c:v>
                </c:pt>
                <c:pt idx="1">
                  <c:v>2499.9393691588784</c:v>
                </c:pt>
                <c:pt idx="2">
                  <c:v>2484.923658472112</c:v>
                </c:pt>
                <c:pt idx="3">
                  <c:v>2660.4498811222065</c:v>
                </c:pt>
                <c:pt idx="4">
                  <c:v>1040.2480530973448</c:v>
                </c:pt>
                <c:pt idx="5">
                  <c:v>514.69210027385702</c:v>
                </c:pt>
                <c:pt idx="6">
                  <c:v>592.13110038221669</c:v>
                </c:pt>
                <c:pt idx="7">
                  <c:v>631.53514563106796</c:v>
                </c:pt>
                <c:pt idx="8">
                  <c:v>662.22662609357155</c:v>
                </c:pt>
                <c:pt idx="9">
                  <c:v>606.111829537105</c:v>
                </c:pt>
                <c:pt idx="10">
                  <c:v>1038.6927736450584</c:v>
                </c:pt>
                <c:pt idx="11">
                  <c:v>1084.1519604500511</c:v>
                </c:pt>
                <c:pt idx="12">
                  <c:v>1792.6924716855428</c:v>
                </c:pt>
                <c:pt idx="13">
                  <c:v>1509.7268941214161</c:v>
                </c:pt>
                <c:pt idx="14">
                  <c:v>1416.973099236641</c:v>
                </c:pt>
                <c:pt idx="15">
                  <c:v>662.31277129779983</c:v>
                </c:pt>
                <c:pt idx="16">
                  <c:v>1031.4941808155565</c:v>
                </c:pt>
                <c:pt idx="17">
                  <c:v>690.03495843314079</c:v>
                </c:pt>
                <c:pt idx="18">
                  <c:v>778.84775995575217</c:v>
                </c:pt>
                <c:pt idx="19">
                  <c:v>519.76672077922069</c:v>
                </c:pt>
                <c:pt idx="20">
                  <c:v>364.38348505251815</c:v>
                </c:pt>
                <c:pt idx="21">
                  <c:v>484.6538699360342</c:v>
                </c:pt>
                <c:pt idx="22">
                  <c:v>368.63772946230961</c:v>
                </c:pt>
                <c:pt idx="23">
                  <c:v>758.5828295411211</c:v>
                </c:pt>
                <c:pt idx="24">
                  <c:v>857.99569582130755</c:v>
                </c:pt>
                <c:pt idx="25">
                  <c:v>761.92303968546514</c:v>
                </c:pt>
                <c:pt idx="26">
                  <c:v>737.34500720115216</c:v>
                </c:pt>
                <c:pt idx="27">
                  <c:v>508.92550343382607</c:v>
                </c:pt>
                <c:pt idx="28">
                  <c:v>698.43948027057479</c:v>
                </c:pt>
                <c:pt idx="29">
                  <c:v>705.3067120729429</c:v>
                </c:pt>
                <c:pt idx="30">
                  <c:v>788.46177064512688</c:v>
                </c:pt>
                <c:pt idx="31">
                  <c:v>1019.4828128319523</c:v>
                </c:pt>
                <c:pt idx="32">
                  <c:v>4062.868536222647</c:v>
                </c:pt>
                <c:pt idx="33">
                  <c:v>762.67844692620804</c:v>
                </c:pt>
                <c:pt idx="34">
                  <c:v>486.65187948115607</c:v>
                </c:pt>
                <c:pt idx="35">
                  <c:v>369.8064399999999</c:v>
                </c:pt>
                <c:pt idx="36">
                  <c:v>554.33621419431051</c:v>
                </c:pt>
                <c:pt idx="37">
                  <c:v>605.79160527336182</c:v>
                </c:pt>
                <c:pt idx="38">
                  <c:v>585.71165123456785</c:v>
                </c:pt>
                <c:pt idx="39">
                  <c:v>671.76960352422896</c:v>
                </c:pt>
                <c:pt idx="40">
                  <c:v>608.47036339672366</c:v>
                </c:pt>
                <c:pt idx="41" formatCode="0">
                  <c:v>639.76870221976606</c:v>
                </c:pt>
                <c:pt idx="42" formatCode="0">
                  <c:v>702.81454183266931</c:v>
                </c:pt>
                <c:pt idx="43" formatCode="0">
                  <c:v>696.9</c:v>
                </c:pt>
                <c:pt idx="44" formatCode="0">
                  <c:v>654.26578832562598</c:v>
                </c:pt>
                <c:pt idx="45" formatCode="0">
                  <c:v>776.9586608442504</c:v>
                </c:pt>
              </c:numCache>
            </c:numRef>
          </c:val>
          <c:extLst>
            <c:ext xmlns:c16="http://schemas.microsoft.com/office/drawing/2014/chart" uri="{C3380CC4-5D6E-409C-BE32-E72D297353CC}">
              <c16:uniqueId val="{00000004-07DE-4D5B-854E-57E686E9D41E}"/>
            </c:ext>
          </c:extLst>
        </c:ser>
        <c:ser>
          <c:idx val="5"/>
          <c:order val="5"/>
          <c:tx>
            <c:v>Electricity T&amp;D</c:v>
          </c:tx>
          <c:spPr>
            <a:solidFill>
              <a:srgbClr val="006411"/>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1978-2022R'!$E$213:$AX$213</c:f>
              <c:numCache>
                <c:formatCode>0.0</c:formatCode>
                <c:ptCount val="46"/>
                <c:pt idx="25">
                  <c:v>102.59245607568498</c:v>
                </c:pt>
                <c:pt idx="26">
                  <c:v>97.335573691790671</c:v>
                </c:pt>
                <c:pt idx="27">
                  <c:v>113.60726341520196</c:v>
                </c:pt>
                <c:pt idx="28">
                  <c:v>164.48703494926718</c:v>
                </c:pt>
                <c:pt idx="29">
                  <c:v>99.307920465780512</c:v>
                </c:pt>
                <c:pt idx="30">
                  <c:v>106.17493888829844</c:v>
                </c:pt>
                <c:pt idx="31">
                  <c:v>130.7626938602082</c:v>
                </c:pt>
                <c:pt idx="32">
                  <c:v>700.36835982939124</c:v>
                </c:pt>
                <c:pt idx="33">
                  <c:v>162.51929012345681</c:v>
                </c:pt>
                <c:pt idx="34">
                  <c:v>132.25435740279639</c:v>
                </c:pt>
                <c:pt idx="35">
                  <c:v>128.22443984183769</c:v>
                </c:pt>
                <c:pt idx="36">
                  <c:v>119.09367228516165</c:v>
                </c:pt>
                <c:pt idx="37">
                  <c:v>133.28504165157551</c:v>
                </c:pt>
                <c:pt idx="38">
                  <c:v>156.19701003086416</c:v>
                </c:pt>
                <c:pt idx="39">
                  <c:v>222.01915341888525</c:v>
                </c:pt>
                <c:pt idx="40">
                  <c:v>243.26100546036525</c:v>
                </c:pt>
                <c:pt idx="41" formatCode="0">
                  <c:v>270.54379662890295</c:v>
                </c:pt>
                <c:pt idx="42" formatCode="0">
                  <c:v>269.52942774357115</c:v>
                </c:pt>
                <c:pt idx="43" formatCode="0">
                  <c:v>333</c:v>
                </c:pt>
                <c:pt idx="44" formatCode="0">
                  <c:v>349.27561294825932</c:v>
                </c:pt>
                <c:pt idx="45" formatCode="0">
                  <c:v>315.10043668122273</c:v>
                </c:pt>
              </c:numCache>
            </c:numRef>
          </c:val>
          <c:extLst>
            <c:ext xmlns:c16="http://schemas.microsoft.com/office/drawing/2014/chart" uri="{C3380CC4-5D6E-409C-BE32-E72D297353CC}">
              <c16:uniqueId val="{00000005-07DE-4D5B-854E-57E686E9D41E}"/>
            </c:ext>
          </c:extLst>
        </c:ser>
        <c:ser>
          <c:idx val="6"/>
          <c:order val="6"/>
          <c:tx>
            <c:v>Hydrogen (EERE)</c:v>
          </c:tx>
          <c:spPr>
            <a:solidFill>
              <a:srgbClr val="0066CC"/>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1978-2022R'!$E$210:$AX$210</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15.678188942098387</c:v>
                </c:pt>
                <c:pt idx="17">
                  <c:v>13.954515992672961</c:v>
                </c:pt>
                <c:pt idx="18">
                  <c:v>22.252793141592921</c:v>
                </c:pt>
                <c:pt idx="19">
                  <c:v>22.532359307359307</c:v>
                </c:pt>
                <c:pt idx="20">
                  <c:v>28.642687853487743</c:v>
                </c:pt>
                <c:pt idx="21">
                  <c:v>37.463342217484005</c:v>
                </c:pt>
                <c:pt idx="22">
                  <c:v>35.589071735451114</c:v>
                </c:pt>
                <c:pt idx="23">
                  <c:v>38.052167281047417</c:v>
                </c:pt>
                <c:pt idx="24">
                  <c:v>106.76401054084576</c:v>
                </c:pt>
                <c:pt idx="25">
                  <c:v>127.21071384690993</c:v>
                </c:pt>
                <c:pt idx="26">
                  <c:v>194.77037926068169</c:v>
                </c:pt>
                <c:pt idx="27">
                  <c:v>218.5039227098126</c:v>
                </c:pt>
                <c:pt idx="28">
                  <c:v>194.75636978579482</c:v>
                </c:pt>
                <c:pt idx="29">
                  <c:v>234.2780402065253</c:v>
                </c:pt>
                <c:pt idx="30">
                  <c:v>246.63352109682219</c:v>
                </c:pt>
                <c:pt idx="31">
                  <c:v>196.77165923093264</c:v>
                </c:pt>
                <c:pt idx="32">
                  <c:v>51.404503930316544</c:v>
                </c:pt>
                <c:pt idx="33">
                  <c:v>204.38325853251226</c:v>
                </c:pt>
                <c:pt idx="34">
                  <c:v>110.1147175977939</c:v>
                </c:pt>
                <c:pt idx="35">
                  <c:v>114.00301999999999</c:v>
                </c:pt>
                <c:pt idx="36">
                  <c:v>106.12591790530563</c:v>
                </c:pt>
                <c:pt idx="37">
                  <c:v>101.34709189608375</c:v>
                </c:pt>
                <c:pt idx="38">
                  <c:v>102.90115740740741</c:v>
                </c:pt>
                <c:pt idx="39">
                  <c:v>108.85405094809423</c:v>
                </c:pt>
                <c:pt idx="40">
                  <c:v>107.00941442289587</c:v>
                </c:pt>
                <c:pt idx="41" formatCode="0">
                  <c:v>119.20512112001472</c:v>
                </c:pt>
                <c:pt idx="42" formatCode="0">
                  <c:v>122.28178196305686</c:v>
                </c:pt>
                <c:pt idx="43" formatCode="0">
                  <c:v>150</c:v>
                </c:pt>
                <c:pt idx="44" formatCode="0">
                  <c:v>147.29081232004188</c:v>
                </c:pt>
                <c:pt idx="45" formatCode="0">
                  <c:v>190.31295487627366</c:v>
                </c:pt>
              </c:numCache>
            </c:numRef>
          </c:val>
          <c:extLst>
            <c:ext xmlns:c16="http://schemas.microsoft.com/office/drawing/2014/chart" uri="{C3380CC4-5D6E-409C-BE32-E72D297353CC}">
              <c16:uniqueId val="{00000006-07DE-4D5B-854E-57E686E9D41E}"/>
            </c:ext>
          </c:extLst>
        </c:ser>
        <c:ser>
          <c:idx val="7"/>
          <c:order val="7"/>
          <c:tx>
            <c:v>ARPA-E</c:v>
          </c:tx>
          <c:spPr>
            <a:solidFill>
              <a:srgbClr val="F20884"/>
            </a:solidFill>
            <a:ln w="12700">
              <a:solidFill>
                <a:srgbClr val="000000"/>
              </a:solidFill>
              <a:prstDash val="solid"/>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1978-2022R'!$E$214:$AX$214</c:f>
              <c:numCache>
                <c:formatCode>0.0</c:formatCode>
                <c:ptCount val="46"/>
                <c:pt idx="31">
                  <c:v>10.400446144040789</c:v>
                </c:pt>
                <c:pt idx="32">
                  <c:v>464.91189717442103</c:v>
                </c:pt>
                <c:pt idx="33">
                  <c:v>0</c:v>
                </c:pt>
                <c:pt idx="34">
                  <c:v>206.4363599223777</c:v>
                </c:pt>
                <c:pt idx="35">
                  <c:v>309.48500000000001</c:v>
                </c:pt>
                <c:pt idx="36">
                  <c:v>277.61122157692682</c:v>
                </c:pt>
                <c:pt idx="37">
                  <c:v>305.48129895308256</c:v>
                </c:pt>
                <c:pt idx="38">
                  <c:v>303.91661458333334</c:v>
                </c:pt>
                <c:pt idx="39">
                  <c:v>313.73677456425975</c:v>
                </c:pt>
                <c:pt idx="40">
                  <c:v>323.46509131990206</c:v>
                </c:pt>
                <c:pt idx="41" formatCode="0">
                  <c:v>366.3225200331583</c:v>
                </c:pt>
                <c:pt idx="42" formatCode="0">
                  <c:v>373.06133647229262</c:v>
                </c:pt>
                <c:pt idx="43" formatCode="0">
                  <c:v>425</c:v>
                </c:pt>
                <c:pt idx="44" formatCode="0">
                  <c:v>419.28784573771924</c:v>
                </c:pt>
                <c:pt idx="45" formatCode="0">
                  <c:v>481.80494905385734</c:v>
                </c:pt>
              </c:numCache>
            </c:numRef>
          </c:val>
          <c:extLst>
            <c:ext xmlns:c16="http://schemas.microsoft.com/office/drawing/2014/chart" uri="{C3380CC4-5D6E-409C-BE32-E72D297353CC}">
              <c16:uniqueId val="{00000007-07DE-4D5B-854E-57E686E9D41E}"/>
            </c:ext>
          </c:extLst>
        </c:ser>
        <c:ser>
          <c:idx val="8"/>
          <c:order val="8"/>
          <c:tx>
            <c:strRef>
              <c:f>'Complete Data 1978-2022R'!$BA$215</c:f>
              <c:strCache>
                <c:ptCount val="1"/>
                <c:pt idx="0">
                  <c:v>ARPA-C</c:v>
                </c:pt>
              </c:strCache>
            </c:strRef>
          </c:tx>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1978-2022R'!$E$215:$AX$215</c:f>
              <c:numCache>
                <c:formatCode>0.0</c:formatCode>
                <c:ptCount val="46"/>
                <c:pt idx="45" formatCode="0">
                  <c:v>192.72197962154294</c:v>
                </c:pt>
              </c:numCache>
            </c:numRef>
          </c:val>
          <c:extLst>
            <c:ext xmlns:c16="http://schemas.microsoft.com/office/drawing/2014/chart" uri="{C3380CC4-5D6E-409C-BE32-E72D297353CC}">
              <c16:uniqueId val="{00000000-0A37-4C10-8595-A9D2FB2E720D}"/>
            </c:ext>
          </c:extLst>
        </c:ser>
        <c:ser>
          <c:idx val="9"/>
          <c:order val="9"/>
          <c:tx>
            <c:strRef>
              <c:f>'Complete Data 1978-2022R'!$BA$216</c:f>
              <c:strCache>
                <c:ptCount val="1"/>
                <c:pt idx="0">
                  <c:v>OCDE</c:v>
                </c:pt>
              </c:strCache>
            </c:strRef>
          </c:tx>
          <c:spPr>
            <a:ln w="12700">
              <a:solidFill>
                <a:schemeClr val="tx1"/>
              </a:solidFill>
            </a:ln>
          </c:spPr>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1978-2022R'!$E$216:$AX$216</c:f>
              <c:numCache>
                <c:formatCode>0.0</c:formatCode>
                <c:ptCount val="46"/>
                <c:pt idx="45" formatCode="0">
                  <c:v>385.44395924308589</c:v>
                </c:pt>
              </c:numCache>
            </c:numRef>
          </c:val>
          <c:extLst>
            <c:ext xmlns:c16="http://schemas.microsoft.com/office/drawing/2014/chart" uri="{C3380CC4-5D6E-409C-BE32-E72D297353CC}">
              <c16:uniqueId val="{00000001-0A37-4C10-8595-A9D2FB2E720D}"/>
            </c:ext>
          </c:extLst>
        </c:ser>
        <c:dLbls>
          <c:showLegendKey val="0"/>
          <c:showVal val="0"/>
          <c:showCatName val="0"/>
          <c:showSerName val="0"/>
          <c:showPercent val="0"/>
          <c:showBubbleSize val="0"/>
        </c:dLbls>
        <c:axId val="2146914648"/>
        <c:axId val="2146908200"/>
      </c:areaChart>
      <c:catAx>
        <c:axId val="2146914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2146908200"/>
        <c:crosses val="autoZero"/>
        <c:auto val="1"/>
        <c:lblAlgn val="ctr"/>
        <c:lblOffset val="100"/>
        <c:tickLblSkip val="1"/>
        <c:tickMarkSkip val="1"/>
        <c:noMultiLvlLbl val="0"/>
      </c:catAx>
      <c:valAx>
        <c:axId val="2146908200"/>
        <c:scaling>
          <c:orientation val="minMax"/>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 2020$</a:t>
                </a:r>
              </a:p>
            </c:rich>
          </c:tx>
          <c:layout>
            <c:manualLayout>
              <c:xMode val="edge"/>
              <c:yMode val="edge"/>
              <c:x val="7.7691455234762397E-3"/>
              <c:y val="0.437194174257630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6914648"/>
        <c:crosses val="autoZero"/>
        <c:crossBetween val="midCat"/>
      </c:valAx>
      <c:spPr>
        <a:solidFill>
          <a:srgbClr val="FFFFFF"/>
        </a:solidFill>
        <a:ln w="12700">
          <a:solidFill>
            <a:srgbClr val="808080"/>
          </a:solidFill>
          <a:prstDash val="solid"/>
        </a:ln>
      </c:spPr>
    </c:plotArea>
    <c:legend>
      <c:legendPos val="r"/>
      <c:layout>
        <c:manualLayout>
          <c:xMode val="edge"/>
          <c:yMode val="edge"/>
          <c:x val="0.83684794672586005"/>
          <c:y val="0.24959216965742301"/>
          <c:w val="0.16315208291271283"/>
          <c:h val="0.38046089788514653"/>
        </c:manualLayout>
      </c:layout>
      <c:overlay val="0"/>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600" b="1" i="0" u="none" strike="noStrike" baseline="0">
                <a:solidFill>
                  <a:srgbClr val="000000"/>
                </a:solidFill>
                <a:latin typeface="Arial"/>
                <a:cs typeface="Arial"/>
              </a:rPr>
              <a:t>U.S. Non-Nuclear DOE Energy RD&amp;D Spending</a:t>
            </a:r>
          </a:p>
          <a:p>
            <a:pPr>
              <a:defRPr sz="1600" b="1" i="0" u="none" strike="noStrike" baseline="0">
                <a:solidFill>
                  <a:srgbClr val="000000"/>
                </a:solidFill>
                <a:latin typeface="Arial"/>
                <a:ea typeface="Arial"/>
                <a:cs typeface="Arial"/>
              </a:defRPr>
            </a:pPr>
            <a:r>
              <a:rPr lang="en-US" sz="1600" b="1" i="0" u="none" strike="noStrike" baseline="0">
                <a:solidFill>
                  <a:srgbClr val="000000"/>
                </a:solidFill>
                <a:latin typeface="Arial"/>
                <a:cs typeface="Arial"/>
              </a:rPr>
              <a:t>from 1978 to the FY2022 Request</a:t>
            </a:r>
            <a:r>
              <a:rPr lang="en-US" sz="1800" b="1" i="0" u="none" strike="noStrike" baseline="0">
                <a:solidFill>
                  <a:srgbClr val="000000"/>
                </a:solidFill>
                <a:latin typeface="Arial"/>
                <a:cs typeface="Arial"/>
              </a:rPr>
              <a:t> </a:t>
            </a:r>
          </a:p>
        </c:rich>
      </c:tx>
      <c:layout>
        <c:manualLayout>
          <c:xMode val="edge"/>
          <c:yMode val="edge"/>
          <c:x val="0.23862373869932901"/>
          <c:y val="1.9575935361021E-2"/>
        </c:manualLayout>
      </c:layout>
      <c:overlay val="0"/>
      <c:spPr>
        <a:noFill/>
        <a:ln w="25400">
          <a:noFill/>
        </a:ln>
      </c:spPr>
    </c:title>
    <c:autoTitleDeleted val="0"/>
    <c:plotArea>
      <c:layout>
        <c:manualLayout>
          <c:layoutTarget val="inner"/>
          <c:xMode val="edge"/>
          <c:yMode val="edge"/>
          <c:x val="9.3229744728079905E-2"/>
          <c:y val="0.13050570962479599"/>
          <c:w val="0.89678135405105397"/>
          <c:h val="0.58075040783034304"/>
        </c:manualLayout>
      </c:layout>
      <c:barChart>
        <c:barDir val="col"/>
        <c:grouping val="stacked"/>
        <c:varyColors val="0"/>
        <c:ser>
          <c:idx val="2"/>
          <c:order val="0"/>
          <c:tx>
            <c:strRef>
              <c:f>'Complete Data 1978-2022R'!$B$209</c:f>
              <c:strCache>
                <c:ptCount val="1"/>
                <c:pt idx="0">
                  <c:v>Efficiency</c:v>
                </c:pt>
              </c:strCache>
            </c:strRef>
          </c:tx>
          <c:spPr>
            <a:solidFill>
              <a:srgbClr val="FCF305"/>
            </a:solidFill>
            <a:ln w="12700">
              <a:solidFill>
                <a:srgbClr val="000000"/>
              </a:solidFill>
              <a:prstDash val="solid"/>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1978-2022R'!$E$209:$AX$209</c:f>
              <c:numCache>
                <c:formatCode>0.0</c:formatCode>
                <c:ptCount val="46"/>
                <c:pt idx="0">
                  <c:v>619.61431297709919</c:v>
                </c:pt>
                <c:pt idx="1">
                  <c:v>751.36226635514004</c:v>
                </c:pt>
                <c:pt idx="2">
                  <c:v>876.99688078244765</c:v>
                </c:pt>
                <c:pt idx="3">
                  <c:v>782.64265335235382</c:v>
                </c:pt>
                <c:pt idx="4">
                  <c:v>378.20411504424777</c:v>
                </c:pt>
                <c:pt idx="5">
                  <c:v>319.10436064883072</c:v>
                </c:pt>
                <c:pt idx="6">
                  <c:v>339.81601287467305</c:v>
                </c:pt>
                <c:pt idx="7">
                  <c:v>349.20178640776697</c:v>
                </c:pt>
                <c:pt idx="8">
                  <c:v>350.37653100038034</c:v>
                </c:pt>
                <c:pt idx="9">
                  <c:v>310.91138868479061</c:v>
                </c:pt>
                <c:pt idx="10">
                  <c:v>297.19649309245483</c:v>
                </c:pt>
                <c:pt idx="11">
                  <c:v>290.27108762359359</c:v>
                </c:pt>
                <c:pt idx="12">
                  <c:v>354.82714856762158</c:v>
                </c:pt>
                <c:pt idx="13">
                  <c:v>408.30225852955311</c:v>
                </c:pt>
                <c:pt idx="14">
                  <c:v>440.71007633587783</c:v>
                </c:pt>
                <c:pt idx="15">
                  <c:v>513.76595304887041</c:v>
                </c:pt>
                <c:pt idx="16">
                  <c:v>616.3488027862428</c:v>
                </c:pt>
                <c:pt idx="17">
                  <c:v>663.31523178807936</c:v>
                </c:pt>
                <c:pt idx="18">
                  <c:v>563.16684181415928</c:v>
                </c:pt>
                <c:pt idx="19">
                  <c:v>600.4569264069263</c:v>
                </c:pt>
                <c:pt idx="20">
                  <c:v>651.88635873956355</c:v>
                </c:pt>
                <c:pt idx="21">
                  <c:v>723.46502727000882</c:v>
                </c:pt>
                <c:pt idx="22">
                  <c:v>748.09922615985272</c:v>
                </c:pt>
                <c:pt idx="23">
                  <c:v>803.14795988288677</c:v>
                </c:pt>
                <c:pt idx="24">
                  <c:v>660.59893236764799</c:v>
                </c:pt>
                <c:pt idx="25">
                  <c:v>681.54522668632512</c:v>
                </c:pt>
                <c:pt idx="26">
                  <c:v>647.25357657225163</c:v>
                </c:pt>
                <c:pt idx="27">
                  <c:v>540.6642813069451</c:v>
                </c:pt>
                <c:pt idx="28">
                  <c:v>523.09482877564096</c:v>
                </c:pt>
                <c:pt idx="29">
                  <c:v>504.06433322567096</c:v>
                </c:pt>
                <c:pt idx="30">
                  <c:v>598.27343572321058</c:v>
                </c:pt>
                <c:pt idx="31">
                  <c:v>741.99529650182319</c:v>
                </c:pt>
                <c:pt idx="32">
                  <c:v>803.68437994826434</c:v>
                </c:pt>
                <c:pt idx="33">
                  <c:v>883.83671952135887</c:v>
                </c:pt>
                <c:pt idx="34">
                  <c:v>772.1633567915909</c:v>
                </c:pt>
                <c:pt idx="35">
                  <c:v>816.33941295862155</c:v>
                </c:pt>
                <c:pt idx="36">
                  <c:v>692.88501813231335</c:v>
                </c:pt>
                <c:pt idx="37">
                  <c:v>785.23946636351047</c:v>
                </c:pt>
                <c:pt idx="38">
                  <c:v>756.22693367029842</c:v>
                </c:pt>
                <c:pt idx="39">
                  <c:v>884.36084465584884</c:v>
                </c:pt>
                <c:pt idx="40">
                  <c:v>841.89779959548252</c:v>
                </c:pt>
                <c:pt idx="41" formatCode="0">
                  <c:v>987.14453692666007</c:v>
                </c:pt>
                <c:pt idx="42" formatCode="0">
                  <c:v>997.69267903512889</c:v>
                </c:pt>
                <c:pt idx="43" formatCode="0">
                  <c:v>1131.0264629847238</c:v>
                </c:pt>
                <c:pt idx="44" formatCode="0">
                  <c:v>1154.8600463895443</c:v>
                </c:pt>
                <c:pt idx="45" formatCode="0">
                  <c:v>1615.1347680782853</c:v>
                </c:pt>
              </c:numCache>
            </c:numRef>
          </c:val>
          <c:extLst>
            <c:ext xmlns:c16="http://schemas.microsoft.com/office/drawing/2014/chart" uri="{C3380CC4-5D6E-409C-BE32-E72D297353CC}">
              <c16:uniqueId val="{00000000-1BF5-48F4-B421-2B0C8469AC9F}"/>
            </c:ext>
          </c:extLst>
        </c:ser>
        <c:ser>
          <c:idx val="3"/>
          <c:order val="1"/>
          <c:tx>
            <c:strRef>
              <c:f>'Complete Data 1978-2022R'!$B$211</c:f>
              <c:strCache>
                <c:ptCount val="1"/>
                <c:pt idx="0">
                  <c:v>Renewables</c:v>
                </c:pt>
              </c:strCache>
            </c:strRef>
          </c:tx>
          <c:spPr>
            <a:solidFill>
              <a:srgbClr val="666699"/>
            </a:solidFill>
            <a:ln w="12700">
              <a:solidFill>
                <a:srgbClr val="000000"/>
              </a:solidFill>
              <a:prstDash val="solid"/>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1978-2022R'!$E$211:$AX$211</c:f>
              <c:numCache>
                <c:formatCode>0.0</c:formatCode>
                <c:ptCount val="46"/>
                <c:pt idx="0">
                  <c:v>2164.8916030534347</c:v>
                </c:pt>
                <c:pt idx="1">
                  <c:v>2530.5066004672894</c:v>
                </c:pt>
                <c:pt idx="2">
                  <c:v>2477.1889505683316</c:v>
                </c:pt>
                <c:pt idx="3">
                  <c:v>2201.8346647646222</c:v>
                </c:pt>
                <c:pt idx="4">
                  <c:v>998.17004424778759</c:v>
                </c:pt>
                <c:pt idx="5">
                  <c:v>720.71118601221815</c:v>
                </c:pt>
                <c:pt idx="6">
                  <c:v>579.22669483001414</c:v>
                </c:pt>
                <c:pt idx="7">
                  <c:v>558.76656310679596</c:v>
                </c:pt>
                <c:pt idx="8">
                  <c:v>446.90665652339294</c:v>
                </c:pt>
                <c:pt idx="9">
                  <c:v>376.23585598824388</c:v>
                </c:pt>
                <c:pt idx="10">
                  <c:v>303.47529224229538</c:v>
                </c:pt>
                <c:pt idx="11">
                  <c:v>308.11326287078072</c:v>
                </c:pt>
                <c:pt idx="12">
                  <c:v>260.73141239173879</c:v>
                </c:pt>
                <c:pt idx="13">
                  <c:v>362.69498638475096</c:v>
                </c:pt>
                <c:pt idx="14">
                  <c:v>415.2811908396946</c:v>
                </c:pt>
                <c:pt idx="15">
                  <c:v>424.87048575225151</c:v>
                </c:pt>
                <c:pt idx="16">
                  <c:v>503.98844870120445</c:v>
                </c:pt>
                <c:pt idx="17">
                  <c:v>571.65943356347748</c:v>
                </c:pt>
                <c:pt idx="18">
                  <c:v>395.41501659292038</c:v>
                </c:pt>
                <c:pt idx="19">
                  <c:v>350.71312770562764</c:v>
                </c:pt>
                <c:pt idx="20">
                  <c:v>443.50701589011578</c:v>
                </c:pt>
                <c:pt idx="21">
                  <c:v>531.58053038379524</c:v>
                </c:pt>
                <c:pt idx="22">
                  <c:v>415.06908735841694</c:v>
                </c:pt>
                <c:pt idx="23">
                  <c:v>491.53100292360506</c:v>
                </c:pt>
                <c:pt idx="24">
                  <c:v>499.68663822311458</c:v>
                </c:pt>
                <c:pt idx="25">
                  <c:v>392.55567022975788</c:v>
                </c:pt>
                <c:pt idx="26">
                  <c:v>352.9368939030245</c:v>
                </c:pt>
                <c:pt idx="27">
                  <c:v>382.91622020575142</c:v>
                </c:pt>
                <c:pt idx="28">
                  <c:v>340.26698485489396</c:v>
                </c:pt>
                <c:pt idx="29">
                  <c:v>675.19795258548845</c:v>
                </c:pt>
                <c:pt idx="30">
                  <c:v>811.95560327620694</c:v>
                </c:pt>
                <c:pt idx="31">
                  <c:v>988.40706019366303</c:v>
                </c:pt>
                <c:pt idx="32">
                  <c:v>1905.3598495203294</c:v>
                </c:pt>
                <c:pt idx="33">
                  <c:v>1127.2941743245092</c:v>
                </c:pt>
                <c:pt idx="34">
                  <c:v>847.5578012798253</c:v>
                </c:pt>
                <c:pt idx="35">
                  <c:v>891.6907519361672</c:v>
                </c:pt>
                <c:pt idx="36">
                  <c:v>831.22425577979595</c:v>
                </c:pt>
                <c:pt idx="37">
                  <c:v>898.70285237394387</c:v>
                </c:pt>
                <c:pt idx="38">
                  <c:v>832.44172539298563</c:v>
                </c:pt>
                <c:pt idx="39">
                  <c:v>910.85482502409059</c:v>
                </c:pt>
                <c:pt idx="40">
                  <c:v>871.46395010760739</c:v>
                </c:pt>
                <c:pt idx="41" formatCode="0">
                  <c:v>942.76226865534352</c:v>
                </c:pt>
                <c:pt idx="42" formatCode="0">
                  <c:v>943.52020856954164</c:v>
                </c:pt>
                <c:pt idx="43" formatCode="0">
                  <c:v>1093.0292405866951</c:v>
                </c:pt>
                <c:pt idx="44" formatCode="0">
                  <c:v>1086.2486759621413</c:v>
                </c:pt>
                <c:pt idx="45" formatCode="0">
                  <c:v>1535.1784910980653</c:v>
                </c:pt>
              </c:numCache>
            </c:numRef>
          </c:val>
          <c:extLst>
            <c:ext xmlns:c16="http://schemas.microsoft.com/office/drawing/2014/chart" uri="{C3380CC4-5D6E-409C-BE32-E72D297353CC}">
              <c16:uniqueId val="{00000001-1BF5-48F4-B421-2B0C8469AC9F}"/>
            </c:ext>
          </c:extLst>
        </c:ser>
        <c:ser>
          <c:idx val="4"/>
          <c:order val="2"/>
          <c:tx>
            <c:strRef>
              <c:f>'Complete Data 1978-2022R'!$B$212</c:f>
              <c:strCache>
                <c:ptCount val="1"/>
                <c:pt idx="0">
                  <c:v>Fossil including CCT demo</c:v>
                </c:pt>
              </c:strCache>
            </c:strRef>
          </c:tx>
          <c:spPr>
            <a:solidFill>
              <a:srgbClr val="660066"/>
            </a:solidFill>
            <a:ln w="12700">
              <a:solidFill>
                <a:srgbClr val="000000"/>
              </a:solidFill>
              <a:prstDash val="solid"/>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1978-2022R'!$E$212:$AX$212</c:f>
              <c:numCache>
                <c:formatCode>0.0</c:formatCode>
                <c:ptCount val="46"/>
                <c:pt idx="0">
                  <c:v>2739.7619592875317</c:v>
                </c:pt>
                <c:pt idx="1">
                  <c:v>2499.9393691588784</c:v>
                </c:pt>
                <c:pt idx="2">
                  <c:v>2484.923658472112</c:v>
                </c:pt>
                <c:pt idx="3">
                  <c:v>2660.4498811222065</c:v>
                </c:pt>
                <c:pt idx="4">
                  <c:v>1040.2480530973448</c:v>
                </c:pt>
                <c:pt idx="5">
                  <c:v>514.69210027385702</c:v>
                </c:pt>
                <c:pt idx="6">
                  <c:v>592.13110038221669</c:v>
                </c:pt>
                <c:pt idx="7">
                  <c:v>631.53514563106796</c:v>
                </c:pt>
                <c:pt idx="8">
                  <c:v>662.22662609357155</c:v>
                </c:pt>
                <c:pt idx="9">
                  <c:v>606.111829537105</c:v>
                </c:pt>
                <c:pt idx="10">
                  <c:v>1038.6927736450584</c:v>
                </c:pt>
                <c:pt idx="11">
                  <c:v>1084.1519604500511</c:v>
                </c:pt>
                <c:pt idx="12">
                  <c:v>1792.6924716855428</c:v>
                </c:pt>
                <c:pt idx="13">
                  <c:v>1509.7268941214161</c:v>
                </c:pt>
                <c:pt idx="14">
                  <c:v>1416.973099236641</c:v>
                </c:pt>
                <c:pt idx="15">
                  <c:v>662.31277129779983</c:v>
                </c:pt>
                <c:pt idx="16">
                  <c:v>1031.4941808155565</c:v>
                </c:pt>
                <c:pt idx="17">
                  <c:v>690.03495843314079</c:v>
                </c:pt>
                <c:pt idx="18">
                  <c:v>778.84775995575217</c:v>
                </c:pt>
                <c:pt idx="19">
                  <c:v>519.76672077922069</c:v>
                </c:pt>
                <c:pt idx="20">
                  <c:v>364.38348505251815</c:v>
                </c:pt>
                <c:pt idx="21">
                  <c:v>484.6538699360342</c:v>
                </c:pt>
                <c:pt idx="22">
                  <c:v>368.63772946230961</c:v>
                </c:pt>
                <c:pt idx="23">
                  <c:v>758.5828295411211</c:v>
                </c:pt>
                <c:pt idx="24">
                  <c:v>857.99569582130755</c:v>
                </c:pt>
                <c:pt idx="25">
                  <c:v>761.92303968546514</c:v>
                </c:pt>
                <c:pt idx="26">
                  <c:v>737.34500720115216</c:v>
                </c:pt>
                <c:pt idx="27">
                  <c:v>508.92550343382607</c:v>
                </c:pt>
                <c:pt idx="28">
                  <c:v>698.43948027057479</c:v>
                </c:pt>
                <c:pt idx="29">
                  <c:v>705.3067120729429</c:v>
                </c:pt>
                <c:pt idx="30">
                  <c:v>788.46177064512688</c:v>
                </c:pt>
                <c:pt idx="31">
                  <c:v>1019.4828128319523</c:v>
                </c:pt>
                <c:pt idx="32">
                  <c:v>4062.868536222647</c:v>
                </c:pt>
                <c:pt idx="33">
                  <c:v>762.67844692620804</c:v>
                </c:pt>
                <c:pt idx="34">
                  <c:v>486.65187948115607</c:v>
                </c:pt>
                <c:pt idx="35">
                  <c:v>369.8064399999999</c:v>
                </c:pt>
                <c:pt idx="36">
                  <c:v>554.33621419431051</c:v>
                </c:pt>
                <c:pt idx="37">
                  <c:v>605.79160527336182</c:v>
                </c:pt>
                <c:pt idx="38">
                  <c:v>585.71165123456785</c:v>
                </c:pt>
                <c:pt idx="39">
                  <c:v>671.76960352422896</c:v>
                </c:pt>
                <c:pt idx="40">
                  <c:v>608.47036339672366</c:v>
                </c:pt>
                <c:pt idx="41" formatCode="0">
                  <c:v>639.76870221976606</c:v>
                </c:pt>
                <c:pt idx="42" formatCode="0">
                  <c:v>702.81454183266931</c:v>
                </c:pt>
                <c:pt idx="43" formatCode="0">
                  <c:v>696.9</c:v>
                </c:pt>
                <c:pt idx="44" formatCode="0">
                  <c:v>654.26578832562598</c:v>
                </c:pt>
                <c:pt idx="45" formatCode="0">
                  <c:v>776.9586608442504</c:v>
                </c:pt>
              </c:numCache>
            </c:numRef>
          </c:val>
          <c:extLst>
            <c:ext xmlns:c16="http://schemas.microsoft.com/office/drawing/2014/chart" uri="{C3380CC4-5D6E-409C-BE32-E72D297353CC}">
              <c16:uniqueId val="{00000002-1BF5-48F4-B421-2B0C8469AC9F}"/>
            </c:ext>
          </c:extLst>
        </c:ser>
        <c:ser>
          <c:idx val="0"/>
          <c:order val="3"/>
          <c:tx>
            <c:v>Electricity T&amp;D</c:v>
          </c:tx>
          <c:spPr>
            <a:solidFill>
              <a:srgbClr val="006411"/>
            </a:solidFill>
            <a:ln w="12700">
              <a:solidFill>
                <a:srgbClr val="000000"/>
              </a:solidFill>
              <a:prstDash val="solid"/>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1978-2022R'!$E$213:$AX$213</c:f>
              <c:numCache>
                <c:formatCode>0.0</c:formatCode>
                <c:ptCount val="46"/>
                <c:pt idx="25">
                  <c:v>102.59245607568498</c:v>
                </c:pt>
                <c:pt idx="26">
                  <c:v>97.335573691790671</c:v>
                </c:pt>
                <c:pt idx="27">
                  <c:v>113.60726341520196</c:v>
                </c:pt>
                <c:pt idx="28">
                  <c:v>164.48703494926718</c:v>
                </c:pt>
                <c:pt idx="29">
                  <c:v>99.307920465780512</c:v>
                </c:pt>
                <c:pt idx="30">
                  <c:v>106.17493888829844</c:v>
                </c:pt>
                <c:pt idx="31">
                  <c:v>130.7626938602082</c:v>
                </c:pt>
                <c:pt idx="32">
                  <c:v>700.36835982939124</c:v>
                </c:pt>
                <c:pt idx="33">
                  <c:v>162.51929012345681</c:v>
                </c:pt>
                <c:pt idx="34">
                  <c:v>132.25435740279639</c:v>
                </c:pt>
                <c:pt idx="35">
                  <c:v>128.22443984183769</c:v>
                </c:pt>
                <c:pt idx="36">
                  <c:v>119.09367228516165</c:v>
                </c:pt>
                <c:pt idx="37">
                  <c:v>133.28504165157551</c:v>
                </c:pt>
                <c:pt idx="38">
                  <c:v>156.19701003086416</c:v>
                </c:pt>
                <c:pt idx="39">
                  <c:v>222.01915341888525</c:v>
                </c:pt>
                <c:pt idx="40">
                  <c:v>243.26100546036525</c:v>
                </c:pt>
                <c:pt idx="41" formatCode="0">
                  <c:v>270.54379662890295</c:v>
                </c:pt>
                <c:pt idx="42" formatCode="0">
                  <c:v>269.52942774357115</c:v>
                </c:pt>
                <c:pt idx="43" formatCode="0">
                  <c:v>333</c:v>
                </c:pt>
                <c:pt idx="44" formatCode="0">
                  <c:v>349.27561294825932</c:v>
                </c:pt>
                <c:pt idx="45" formatCode="0">
                  <c:v>315.10043668122273</c:v>
                </c:pt>
              </c:numCache>
            </c:numRef>
          </c:val>
          <c:extLst>
            <c:ext xmlns:c16="http://schemas.microsoft.com/office/drawing/2014/chart" uri="{C3380CC4-5D6E-409C-BE32-E72D297353CC}">
              <c16:uniqueId val="{00000003-1BF5-48F4-B421-2B0C8469AC9F}"/>
            </c:ext>
          </c:extLst>
        </c:ser>
        <c:ser>
          <c:idx val="1"/>
          <c:order val="4"/>
          <c:tx>
            <c:v>Hydrogen (EERE)</c:v>
          </c:tx>
          <c:spPr>
            <a:solidFill>
              <a:srgbClr val="3366FF"/>
            </a:solidFill>
            <a:ln w="12700">
              <a:solidFill>
                <a:srgbClr val="000000"/>
              </a:solidFill>
              <a:prstDash val="solid"/>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1978-2022R'!$E$210:$AX$210</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15.678188942098387</c:v>
                </c:pt>
                <c:pt idx="17">
                  <c:v>13.954515992672961</c:v>
                </c:pt>
                <c:pt idx="18">
                  <c:v>22.252793141592921</c:v>
                </c:pt>
                <c:pt idx="19">
                  <c:v>22.532359307359307</c:v>
                </c:pt>
                <c:pt idx="20">
                  <c:v>28.642687853487743</c:v>
                </c:pt>
                <c:pt idx="21">
                  <c:v>37.463342217484005</c:v>
                </c:pt>
                <c:pt idx="22">
                  <c:v>35.589071735451114</c:v>
                </c:pt>
                <c:pt idx="23">
                  <c:v>38.052167281047417</c:v>
                </c:pt>
                <c:pt idx="24">
                  <c:v>106.76401054084576</c:v>
                </c:pt>
                <c:pt idx="25">
                  <c:v>127.21071384690993</c:v>
                </c:pt>
                <c:pt idx="26">
                  <c:v>194.77037926068169</c:v>
                </c:pt>
                <c:pt idx="27">
                  <c:v>218.5039227098126</c:v>
                </c:pt>
                <c:pt idx="28">
                  <c:v>194.75636978579482</c:v>
                </c:pt>
                <c:pt idx="29">
                  <c:v>234.2780402065253</c:v>
                </c:pt>
                <c:pt idx="30">
                  <c:v>246.63352109682219</c:v>
                </c:pt>
                <c:pt idx="31">
                  <c:v>196.77165923093264</c:v>
                </c:pt>
                <c:pt idx="32">
                  <c:v>51.404503930316544</c:v>
                </c:pt>
                <c:pt idx="33">
                  <c:v>204.38325853251226</c:v>
                </c:pt>
                <c:pt idx="34">
                  <c:v>110.1147175977939</c:v>
                </c:pt>
                <c:pt idx="35">
                  <c:v>114.00301999999999</c:v>
                </c:pt>
                <c:pt idx="36">
                  <c:v>106.12591790530563</c:v>
                </c:pt>
                <c:pt idx="37">
                  <c:v>101.34709189608375</c:v>
                </c:pt>
                <c:pt idx="38">
                  <c:v>102.90115740740741</c:v>
                </c:pt>
                <c:pt idx="39">
                  <c:v>108.85405094809423</c:v>
                </c:pt>
                <c:pt idx="40">
                  <c:v>107.00941442289587</c:v>
                </c:pt>
                <c:pt idx="41" formatCode="0">
                  <c:v>119.20512112001472</c:v>
                </c:pt>
                <c:pt idx="42" formatCode="0">
                  <c:v>122.28178196305686</c:v>
                </c:pt>
                <c:pt idx="43" formatCode="0">
                  <c:v>150</c:v>
                </c:pt>
                <c:pt idx="44" formatCode="0">
                  <c:v>147.29081232004188</c:v>
                </c:pt>
                <c:pt idx="45" formatCode="0">
                  <c:v>190.31295487627366</c:v>
                </c:pt>
              </c:numCache>
            </c:numRef>
          </c:val>
          <c:extLst>
            <c:ext xmlns:c16="http://schemas.microsoft.com/office/drawing/2014/chart" uri="{C3380CC4-5D6E-409C-BE32-E72D297353CC}">
              <c16:uniqueId val="{00000004-1BF5-48F4-B421-2B0C8469AC9F}"/>
            </c:ext>
          </c:extLst>
        </c:ser>
        <c:ser>
          <c:idx val="5"/>
          <c:order val="5"/>
          <c:tx>
            <c:strRef>
              <c:f>'Complete Data 1978-2022R'!$BA$214</c:f>
              <c:strCache>
                <c:ptCount val="1"/>
                <c:pt idx="0">
                  <c:v>ARPA-E</c:v>
                </c:pt>
              </c:strCache>
            </c:strRef>
          </c:tx>
          <c:spPr>
            <a:solidFill>
              <a:srgbClr val="FF33CC"/>
            </a:solidFill>
            <a:ln w="9525">
              <a:solidFill>
                <a:srgbClr val="000000"/>
              </a:solidFill>
            </a:ln>
          </c:spPr>
          <c:invertIfNegative val="0"/>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1978-2022R'!$E$214:$AX$214</c:f>
              <c:numCache>
                <c:formatCode>0.0</c:formatCode>
                <c:ptCount val="46"/>
                <c:pt idx="31">
                  <c:v>10.400446144040789</c:v>
                </c:pt>
                <c:pt idx="32">
                  <c:v>464.91189717442103</c:v>
                </c:pt>
                <c:pt idx="33">
                  <c:v>0</c:v>
                </c:pt>
                <c:pt idx="34">
                  <c:v>206.4363599223777</c:v>
                </c:pt>
                <c:pt idx="35">
                  <c:v>309.48500000000001</c:v>
                </c:pt>
                <c:pt idx="36">
                  <c:v>277.61122157692682</c:v>
                </c:pt>
                <c:pt idx="37">
                  <c:v>305.48129895308256</c:v>
                </c:pt>
                <c:pt idx="38">
                  <c:v>303.91661458333334</c:v>
                </c:pt>
                <c:pt idx="39">
                  <c:v>313.73677456425975</c:v>
                </c:pt>
                <c:pt idx="40">
                  <c:v>323.46509131990206</c:v>
                </c:pt>
                <c:pt idx="41" formatCode="0">
                  <c:v>366.3225200331583</c:v>
                </c:pt>
                <c:pt idx="42" formatCode="0">
                  <c:v>373.06133647229262</c:v>
                </c:pt>
                <c:pt idx="43" formatCode="0">
                  <c:v>425</c:v>
                </c:pt>
                <c:pt idx="44" formatCode="0">
                  <c:v>419.28784573771924</c:v>
                </c:pt>
                <c:pt idx="45" formatCode="0">
                  <c:v>481.80494905385734</c:v>
                </c:pt>
              </c:numCache>
            </c:numRef>
          </c:val>
          <c:extLst>
            <c:ext xmlns:c16="http://schemas.microsoft.com/office/drawing/2014/chart" uri="{C3380CC4-5D6E-409C-BE32-E72D297353CC}">
              <c16:uniqueId val="{00000005-1BF5-48F4-B421-2B0C8469AC9F}"/>
            </c:ext>
          </c:extLst>
        </c:ser>
        <c:ser>
          <c:idx val="6"/>
          <c:order val="6"/>
          <c:tx>
            <c:strRef>
              <c:f>'Complete Data 1978-2022R'!$BA$215</c:f>
              <c:strCache>
                <c:ptCount val="1"/>
                <c:pt idx="0">
                  <c:v>ARPA-C</c:v>
                </c:pt>
              </c:strCache>
            </c:strRef>
          </c:tx>
          <c:invertIfNegative val="0"/>
          <c:dPt>
            <c:idx val="45"/>
            <c:invertIfNegative val="0"/>
            <c:bubble3D val="0"/>
            <c:spPr>
              <a:ln>
                <a:solidFill>
                  <a:srgbClr val="000000"/>
                </a:solidFill>
              </a:ln>
            </c:spPr>
            <c:extLst>
              <c:ext xmlns:c16="http://schemas.microsoft.com/office/drawing/2014/chart" uri="{C3380CC4-5D6E-409C-BE32-E72D297353CC}">
                <c16:uniqueId val="{00000005-CDCA-4953-A317-BA0490E4F7DA}"/>
              </c:ext>
            </c:extLst>
          </c:dPt>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1978-2022R'!$E$215:$AX$215</c:f>
              <c:numCache>
                <c:formatCode>0.0</c:formatCode>
                <c:ptCount val="46"/>
                <c:pt idx="45" formatCode="0">
                  <c:v>192.72197962154294</c:v>
                </c:pt>
              </c:numCache>
            </c:numRef>
          </c:val>
          <c:extLst>
            <c:ext xmlns:c16="http://schemas.microsoft.com/office/drawing/2014/chart" uri="{C3380CC4-5D6E-409C-BE32-E72D297353CC}">
              <c16:uniqueId val="{00000002-CDCA-4953-A317-BA0490E4F7DA}"/>
            </c:ext>
          </c:extLst>
        </c:ser>
        <c:ser>
          <c:idx val="7"/>
          <c:order val="7"/>
          <c:tx>
            <c:strRef>
              <c:f>'Complete Data 1978-2022R'!$BA$216</c:f>
              <c:strCache>
                <c:ptCount val="1"/>
                <c:pt idx="0">
                  <c:v>OCDE</c:v>
                </c:pt>
              </c:strCache>
            </c:strRef>
          </c:tx>
          <c:invertIfNegative val="0"/>
          <c:dPt>
            <c:idx val="45"/>
            <c:invertIfNegative val="0"/>
            <c:bubble3D val="0"/>
            <c:spPr>
              <a:ln>
                <a:solidFill>
                  <a:srgbClr val="000000"/>
                </a:solidFill>
              </a:ln>
            </c:spPr>
            <c:extLst>
              <c:ext xmlns:c16="http://schemas.microsoft.com/office/drawing/2014/chart" uri="{C3380CC4-5D6E-409C-BE32-E72D297353CC}">
                <c16:uniqueId val="{00000004-CDCA-4953-A317-BA0490E4F7DA}"/>
              </c:ext>
            </c:extLst>
          </c:dPt>
          <c:cat>
            <c:strRef>
              <c:f>'Complete Data 1978-2022R'!$E$206:$AX$206</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 Request</c:v>
                </c:pt>
              </c:strCache>
            </c:strRef>
          </c:cat>
          <c:val>
            <c:numRef>
              <c:f>'Complete Data 1978-2022R'!$E$216:$AX$216</c:f>
              <c:numCache>
                <c:formatCode>0.0</c:formatCode>
                <c:ptCount val="46"/>
                <c:pt idx="45" formatCode="0">
                  <c:v>385.44395924308589</c:v>
                </c:pt>
              </c:numCache>
            </c:numRef>
          </c:val>
          <c:extLst>
            <c:ext xmlns:c16="http://schemas.microsoft.com/office/drawing/2014/chart" uri="{C3380CC4-5D6E-409C-BE32-E72D297353CC}">
              <c16:uniqueId val="{00000003-CDCA-4953-A317-BA0490E4F7DA}"/>
            </c:ext>
          </c:extLst>
        </c:ser>
        <c:dLbls>
          <c:showLegendKey val="0"/>
          <c:showVal val="0"/>
          <c:showCatName val="0"/>
          <c:showSerName val="0"/>
          <c:showPercent val="0"/>
          <c:showBubbleSize val="0"/>
        </c:dLbls>
        <c:gapWidth val="100"/>
        <c:overlap val="100"/>
        <c:axId val="2146838472"/>
        <c:axId val="2146835048"/>
      </c:barChart>
      <c:catAx>
        <c:axId val="2146838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46835048"/>
        <c:crosses val="autoZero"/>
        <c:auto val="1"/>
        <c:lblAlgn val="ctr"/>
        <c:lblOffset val="100"/>
        <c:tickLblSkip val="1"/>
        <c:tickMarkSkip val="1"/>
        <c:noMultiLvlLbl val="0"/>
      </c:catAx>
      <c:valAx>
        <c:axId val="2146835048"/>
        <c:scaling>
          <c:orientation val="minMax"/>
        </c:scaling>
        <c:delete val="0"/>
        <c:axPos val="l"/>
        <c:majorGridlines>
          <c:spPr>
            <a:ln w="3175">
              <a:solidFill>
                <a:srgbClr val="969696"/>
              </a:solidFill>
              <a:prstDash val="solid"/>
            </a:ln>
          </c:spPr>
        </c:majorGridlines>
        <c:title>
          <c:tx>
            <c:rich>
              <a:bodyPr/>
              <a:lstStyle/>
              <a:p>
                <a:pPr>
                  <a:defRPr sz="950" b="1" i="0" u="none" strike="noStrike" baseline="0">
                    <a:solidFill>
                      <a:srgbClr val="000000"/>
                    </a:solidFill>
                    <a:latin typeface="Arial"/>
                    <a:ea typeface="Arial"/>
                    <a:cs typeface="Arial"/>
                  </a:defRPr>
                </a:pPr>
                <a:r>
                  <a:rPr lang="en-US" sz="950"/>
                  <a:t>million 2020$</a:t>
                </a:r>
              </a:p>
            </c:rich>
          </c:tx>
          <c:layout>
            <c:manualLayout>
              <c:xMode val="edge"/>
              <c:yMode val="edge"/>
              <c:x val="1.22086905803441E-2"/>
              <c:y val="0.357259362187569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6838472"/>
        <c:crosses val="autoZero"/>
        <c:crossBetween val="between"/>
      </c:valAx>
      <c:spPr>
        <a:solidFill>
          <a:srgbClr val="FFFFFF"/>
        </a:solidFill>
        <a:ln w="12700">
          <a:solidFill>
            <a:srgbClr val="808080"/>
          </a:solidFill>
          <a:prstDash val="solid"/>
        </a:ln>
      </c:spPr>
    </c:plotArea>
    <c:legend>
      <c:legendPos val="b"/>
      <c:layout>
        <c:manualLayout>
          <c:xMode val="edge"/>
          <c:yMode val="edge"/>
          <c:x val="3.6908324920923344E-2"/>
          <c:y val="0.78758597687310894"/>
          <c:w val="0.74396478901675756"/>
          <c:h val="0.13174526769810627"/>
        </c:manualLayout>
      </c:layout>
      <c:overlay val="0"/>
      <c:spPr>
        <a:solidFill>
          <a:srgbClr val="FFFFFF"/>
        </a:solidFill>
        <a:ln w="3175">
          <a:noFill/>
          <a:prstDash val="solid"/>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Cumulative Spending on U.S. DOE Energy RD&amp;D 
(FY1985-FY2022R including ARRA)
(million 2020</a:t>
            </a:r>
          </a:p>
          <a:p>
            <a:pPr>
              <a:defRPr sz="1600" b="1" i="0" u="none" strike="noStrike" baseline="0">
                <a:solidFill>
                  <a:srgbClr val="000000"/>
                </a:solidFill>
                <a:latin typeface="Arial"/>
                <a:ea typeface="Arial"/>
                <a:cs typeface="Arial"/>
              </a:defRPr>
            </a:pPr>
            <a:r>
              <a:rPr lang="en-US"/>
              <a:t>$)</a:t>
            </a:r>
          </a:p>
        </c:rich>
      </c:tx>
      <c:layout>
        <c:manualLayout>
          <c:xMode val="edge"/>
          <c:yMode val="edge"/>
          <c:x val="0.25675816676761559"/>
          <c:y val="1.9575875005153152E-2"/>
        </c:manualLayout>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28296296296296303"/>
          <c:y val="0.28540305010893202"/>
          <c:w val="0.42074074074074103"/>
          <c:h val="0.387799564270152"/>
        </c:manualLayout>
      </c:layout>
      <c:pie3DChart>
        <c:varyColors val="1"/>
        <c:ser>
          <c:idx val="0"/>
          <c:order val="0"/>
          <c:tx>
            <c:strRef>
              <c:f>'Complete Data 1978-2022R'!$AZ$216</c:f>
              <c:strCache>
                <c:ptCount val="1"/>
                <c:pt idx="0">
                  <c:v>385</c:v>
                </c:pt>
              </c:strCache>
            </c:strRef>
          </c:tx>
          <c:spPr>
            <a:solidFill>
              <a:srgbClr val="9999FF"/>
            </a:solidFill>
            <a:ln w="12700">
              <a:solidFill>
                <a:srgbClr val="000000"/>
              </a:solidFill>
              <a:prstDash val="solid"/>
            </a:ln>
          </c:spPr>
          <c:dPt>
            <c:idx val="0"/>
            <c:bubble3D val="0"/>
            <c:spPr>
              <a:solidFill>
                <a:srgbClr val="DD0806"/>
              </a:solidFill>
              <a:ln w="12700">
                <a:solidFill>
                  <a:srgbClr val="000000"/>
                </a:solidFill>
                <a:prstDash val="solid"/>
              </a:ln>
            </c:spPr>
            <c:extLst>
              <c:ext xmlns:c16="http://schemas.microsoft.com/office/drawing/2014/chart" uri="{C3380CC4-5D6E-409C-BE32-E72D297353CC}">
                <c16:uniqueId val="{00000001-629A-4A8B-BFB9-5ACFE0172E10}"/>
              </c:ext>
            </c:extLst>
          </c:dPt>
          <c:dPt>
            <c:idx val="1"/>
            <c:bubble3D val="0"/>
            <c:spPr>
              <a:solidFill>
                <a:srgbClr val="FF6600"/>
              </a:solidFill>
              <a:ln w="12700">
                <a:solidFill>
                  <a:srgbClr val="000000"/>
                </a:solidFill>
                <a:prstDash val="solid"/>
              </a:ln>
            </c:spPr>
            <c:extLst>
              <c:ext xmlns:c16="http://schemas.microsoft.com/office/drawing/2014/chart" uri="{C3380CC4-5D6E-409C-BE32-E72D297353CC}">
                <c16:uniqueId val="{00000003-629A-4A8B-BFB9-5ACFE0172E10}"/>
              </c:ext>
            </c:extLst>
          </c:dPt>
          <c:dPt>
            <c:idx val="2"/>
            <c:bubble3D val="0"/>
            <c:spPr>
              <a:solidFill>
                <a:srgbClr val="FCF305"/>
              </a:solidFill>
              <a:ln w="12700">
                <a:solidFill>
                  <a:srgbClr val="000000"/>
                </a:solidFill>
                <a:prstDash val="solid"/>
              </a:ln>
            </c:spPr>
            <c:extLst>
              <c:ext xmlns:c16="http://schemas.microsoft.com/office/drawing/2014/chart" uri="{C3380CC4-5D6E-409C-BE32-E72D297353CC}">
                <c16:uniqueId val="{00000005-629A-4A8B-BFB9-5ACFE0172E10}"/>
              </c:ext>
            </c:extLst>
          </c:dPt>
          <c:dPt>
            <c:idx val="3"/>
            <c:bubble3D val="0"/>
            <c:spPr>
              <a:solidFill>
                <a:srgbClr val="3366FF"/>
              </a:solidFill>
              <a:ln w="12700">
                <a:solidFill>
                  <a:srgbClr val="000000"/>
                </a:solidFill>
                <a:prstDash val="solid"/>
              </a:ln>
            </c:spPr>
            <c:extLst>
              <c:ext xmlns:c16="http://schemas.microsoft.com/office/drawing/2014/chart" uri="{C3380CC4-5D6E-409C-BE32-E72D297353CC}">
                <c16:uniqueId val="{00000007-629A-4A8B-BFB9-5ACFE0172E10}"/>
              </c:ext>
            </c:extLst>
          </c:dPt>
          <c:dPt>
            <c:idx val="4"/>
            <c:bubble3D val="0"/>
            <c:explosion val="1"/>
            <c:extLst>
              <c:ext xmlns:c16="http://schemas.microsoft.com/office/drawing/2014/chart" uri="{C3380CC4-5D6E-409C-BE32-E72D297353CC}">
                <c16:uniqueId val="{00000008-629A-4A8B-BFB9-5ACFE0172E10}"/>
              </c:ext>
            </c:extLst>
          </c:dPt>
          <c:dPt>
            <c:idx val="5"/>
            <c:bubble3D val="0"/>
            <c:spPr>
              <a:solidFill>
                <a:srgbClr val="4600A5"/>
              </a:solidFill>
              <a:ln w="12700">
                <a:solidFill>
                  <a:srgbClr val="000000"/>
                </a:solidFill>
                <a:prstDash val="solid"/>
              </a:ln>
            </c:spPr>
            <c:extLst>
              <c:ext xmlns:c16="http://schemas.microsoft.com/office/drawing/2014/chart" uri="{C3380CC4-5D6E-409C-BE32-E72D297353CC}">
                <c16:uniqueId val="{0000000A-629A-4A8B-BFB9-5ACFE0172E1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29A-4A8B-BFB9-5ACFE0172E10}"/>
              </c:ext>
            </c:extLst>
          </c:dPt>
          <c:dPt>
            <c:idx val="7"/>
            <c:bubble3D val="0"/>
            <c:spPr>
              <a:solidFill>
                <a:srgbClr val="F20884"/>
              </a:solidFill>
              <a:ln w="12700">
                <a:solidFill>
                  <a:srgbClr val="000000"/>
                </a:solidFill>
                <a:prstDash val="solid"/>
              </a:ln>
            </c:spPr>
            <c:extLst>
              <c:ext xmlns:c16="http://schemas.microsoft.com/office/drawing/2014/chart" uri="{C3380CC4-5D6E-409C-BE32-E72D297353CC}">
                <c16:uniqueId val="{0000000E-629A-4A8B-BFB9-5ACFE0172E10}"/>
              </c:ext>
            </c:extLst>
          </c:dPt>
          <c:dPt>
            <c:idx val="9"/>
            <c:bubble3D val="0"/>
            <c:spPr>
              <a:solidFill>
                <a:schemeClr val="tx1"/>
              </a:solidFill>
              <a:ln w="12700">
                <a:solidFill>
                  <a:srgbClr val="000000"/>
                </a:solidFill>
                <a:prstDash val="solid"/>
              </a:ln>
            </c:spPr>
            <c:extLst>
              <c:ext xmlns:c16="http://schemas.microsoft.com/office/drawing/2014/chart" uri="{C3380CC4-5D6E-409C-BE32-E72D297353CC}">
                <c16:uniqueId val="{0000000F-B620-47AC-8D3F-9B4A690E1BDB}"/>
              </c:ext>
            </c:extLst>
          </c:dPt>
          <c:dLbls>
            <c:dLbl>
              <c:idx val="4"/>
              <c:layout>
                <c:manualLayout>
                  <c:x val="9.5604475633664698E-2"/>
                  <c:y val="-0.127328015482567"/>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629A-4A8B-BFB9-5ACFE0172E10}"/>
                </c:ext>
              </c:extLst>
            </c:dLbl>
            <c:numFmt formatCode="0%" sourceLinked="0"/>
            <c:spPr>
              <a:noFill/>
              <a:ln w="25400">
                <a:noFill/>
              </a:ln>
            </c:spPr>
            <c:txPr>
              <a:bodyPr/>
              <a:lstStyle/>
              <a:p>
                <a:pPr>
                  <a:defRPr sz="1600" b="0"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'Complete Data 1978-2022R'!$BA$207:$BA$216</c:f>
              <c:strCache>
                <c:ptCount val="10"/>
                <c:pt idx="0">
                  <c:v>Fission</c:v>
                </c:pt>
                <c:pt idx="1">
                  <c:v>Fusion</c:v>
                </c:pt>
                <c:pt idx="2">
                  <c:v>Efficiency</c:v>
                </c:pt>
                <c:pt idx="3">
                  <c:v>Hydrogen EERE</c:v>
                </c:pt>
                <c:pt idx="4">
                  <c:v>Renewables</c:v>
                </c:pt>
                <c:pt idx="5">
                  <c:v>Fossil including CCT demo</c:v>
                </c:pt>
                <c:pt idx="6">
                  <c:v>Electricity T&amp;D</c:v>
                </c:pt>
                <c:pt idx="7">
                  <c:v>ARPA-E</c:v>
                </c:pt>
                <c:pt idx="8">
                  <c:v>ARPA-C</c:v>
                </c:pt>
                <c:pt idx="9">
                  <c:v>OCDE</c:v>
                </c:pt>
              </c:strCache>
            </c:strRef>
          </c:cat>
          <c:val>
            <c:numRef>
              <c:f>'Complete Data 1978-2022R'!$AZ$207:$AZ$216</c:f>
              <c:numCache>
                <c:formatCode>0</c:formatCode>
                <c:ptCount val="10"/>
                <c:pt idx="0">
                  <c:v>18138.548563451815</c:v>
                </c:pt>
                <c:pt idx="1">
                  <c:v>18030.959387880408</c:v>
                </c:pt>
                <c:pt idx="2">
                  <c:v>26705.431434349779</c:v>
                </c:pt>
                <c:pt idx="3">
                  <c:v>3469.0875460693151</c:v>
                </c:pt>
                <c:pt idx="4">
                  <c:v>26321.791463302052</c:v>
                </c:pt>
                <c:pt idx="5">
                  <c:v>32657.497561111773</c:v>
                </c:pt>
                <c:pt idx="6">
                  <c:v>4348.9394853925214</c:v>
                </c:pt>
                <c:pt idx="7">
                  <c:v>4580.9213555353717</c:v>
                </c:pt>
                <c:pt idx="8">
                  <c:v>192.72197962154294</c:v>
                </c:pt>
                <c:pt idx="9">
                  <c:v>385.44395924308589</c:v>
                </c:pt>
              </c:numCache>
            </c:numRef>
          </c:val>
          <c:extLst>
            <c:ext xmlns:c16="http://schemas.microsoft.com/office/drawing/2014/chart" uri="{C3380CC4-5D6E-409C-BE32-E72D297353CC}">
              <c16:uniqueId val="{0000000F-629A-4A8B-BFB9-5ACFE0172E10}"/>
            </c:ext>
          </c:extLst>
        </c:ser>
        <c:dLbls>
          <c:showLegendKey val="0"/>
          <c:showVal val="0"/>
          <c:showCatName val="1"/>
          <c:showSerName val="0"/>
          <c:showPercent val="0"/>
          <c:showBubbleSize val="0"/>
          <c:showLeaderLines val="0"/>
        </c:dLbls>
      </c:pie3DChart>
      <c:spPr>
        <a:noFill/>
        <a:ln w="25400">
          <a:noFill/>
        </a:ln>
      </c:spPr>
    </c:plotArea>
    <c:legend>
      <c:legendPos val="b"/>
      <c:layout>
        <c:manualLayout>
          <c:xMode val="edge"/>
          <c:yMode val="edge"/>
          <c:x val="3.8845726970033301E-2"/>
          <c:y val="0.76508972267536701"/>
          <c:w val="0.91897891231964501"/>
          <c:h val="0.138662316476346"/>
        </c:manualLayout>
      </c:layout>
      <c:overlay val="0"/>
      <c:spPr>
        <a:solidFill>
          <a:srgbClr val="FFFFFF"/>
        </a:solidFill>
        <a:ln w="25400">
          <a:noFill/>
        </a:ln>
      </c:spPr>
      <c:txPr>
        <a:bodyPr/>
        <a:lstStyle/>
        <a:p>
          <a:pPr>
            <a:defRPr sz="147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Composition of DOE Efficiency ERD&amp;D 
(FY1978-FY2022 Request) </a:t>
            </a:r>
          </a:p>
        </c:rich>
      </c:tx>
      <c:layout>
        <c:manualLayout>
          <c:xMode val="edge"/>
          <c:yMode val="edge"/>
          <c:x val="0.22211943006297599"/>
          <c:y val="5.1899148970015102E-2"/>
        </c:manualLayout>
      </c:layout>
      <c:overlay val="0"/>
      <c:spPr>
        <a:noFill/>
        <a:ln w="25400">
          <a:noFill/>
        </a:ln>
      </c:spPr>
    </c:title>
    <c:autoTitleDeleted val="0"/>
    <c:plotArea>
      <c:layout>
        <c:manualLayout>
          <c:layoutTarget val="inner"/>
          <c:xMode val="edge"/>
          <c:yMode val="edge"/>
          <c:x val="0.105438401775805"/>
          <c:y val="0.182707993474715"/>
          <c:w val="0.68368479467258703"/>
          <c:h val="0.63422395227300699"/>
        </c:manualLayout>
      </c:layout>
      <c:barChart>
        <c:barDir val="col"/>
        <c:grouping val="stacked"/>
        <c:varyColors val="0"/>
        <c:ser>
          <c:idx val="0"/>
          <c:order val="0"/>
          <c:tx>
            <c:v>Transportation</c:v>
          </c:tx>
          <c:spPr>
            <a:solidFill>
              <a:srgbClr val="0000D4"/>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1978-2022R'!$E$248:$AX$248</c:f>
              <c:numCache>
                <c:formatCode>0.0</c:formatCode>
                <c:ptCount val="46"/>
                <c:pt idx="0">
                  <c:v>240.90146310432567</c:v>
                </c:pt>
                <c:pt idx="1">
                  <c:v>325.72178738317757</c:v>
                </c:pt>
                <c:pt idx="2">
                  <c:v>337.35226011102293</c:v>
                </c:pt>
                <c:pt idx="3">
                  <c:v>281.2162149310509</c:v>
                </c:pt>
                <c:pt idx="4">
                  <c:v>146.65057522123891</c:v>
                </c:pt>
                <c:pt idx="5">
                  <c:v>127.54691384032019</c:v>
                </c:pt>
                <c:pt idx="6">
                  <c:v>146.47632267149467</c:v>
                </c:pt>
                <c:pt idx="7">
                  <c:v>133.95537864077667</c:v>
                </c:pt>
                <c:pt idx="8">
                  <c:v>123.070559147965</c:v>
                </c:pt>
                <c:pt idx="9">
                  <c:v>114.52454077883908</c:v>
                </c:pt>
                <c:pt idx="10">
                  <c:v>102.45405596882748</c:v>
                </c:pt>
                <c:pt idx="11">
                  <c:v>104.17528128196385</c:v>
                </c:pt>
                <c:pt idx="12">
                  <c:v>121.46222518321117</c:v>
                </c:pt>
                <c:pt idx="13">
                  <c:v>143.31138875540606</c:v>
                </c:pt>
                <c:pt idx="14">
                  <c:v>187.79575572519082</c:v>
                </c:pt>
                <c:pt idx="15">
                  <c:v>232.29133323490328</c:v>
                </c:pt>
                <c:pt idx="16">
                  <c:v>288.90329415179218</c:v>
                </c:pt>
                <c:pt idx="17">
                  <c:v>303.03500070452304</c:v>
                </c:pt>
                <c:pt idx="18">
                  <c:v>271.23509402654867</c:v>
                </c:pt>
                <c:pt idx="19">
                  <c:v>262.62378246753246</c:v>
                </c:pt>
                <c:pt idx="20">
                  <c:v>287.94236466469164</c:v>
                </c:pt>
                <c:pt idx="21">
                  <c:v>297.99704157782514</c:v>
                </c:pt>
                <c:pt idx="22">
                  <c:v>335.17315974482489</c:v>
                </c:pt>
                <c:pt idx="23">
                  <c:v>359.77895004448965</c:v>
                </c:pt>
                <c:pt idx="24">
                  <c:v>256.17713640356379</c:v>
                </c:pt>
                <c:pt idx="25">
                  <c:v>240.87072121882292</c:v>
                </c:pt>
                <c:pt idx="26">
                  <c:v>232.31973115698511</c:v>
                </c:pt>
                <c:pt idx="27">
                  <c:v>211.29905715283437</c:v>
                </c:pt>
                <c:pt idx="28">
                  <c:v>226.34877113866969</c:v>
                </c:pt>
                <c:pt idx="29">
                  <c:v>226.98389541909259</c:v>
                </c:pt>
                <c:pt idx="30">
                  <c:v>249.26491656924225</c:v>
                </c:pt>
                <c:pt idx="31">
                  <c:v>319.30565115785004</c:v>
                </c:pt>
                <c:pt idx="32">
                  <c:v>130.54353091140854</c:v>
                </c:pt>
                <c:pt idx="33">
                  <c:v>357.31831750339211</c:v>
                </c:pt>
                <c:pt idx="34">
                  <c:v>336.89586354815651</c:v>
                </c:pt>
                <c:pt idx="35">
                  <c:v>361.14085999999998</c:v>
                </c:pt>
                <c:pt idx="36">
                  <c:v>335.88077566689634</c:v>
                </c:pt>
                <c:pt idx="37">
                  <c:v>316.04146956184564</c:v>
                </c:pt>
                <c:pt idx="38">
                  <c:v>295.89510030864199</c:v>
                </c:pt>
                <c:pt idx="39">
                  <c:v>334.10649300900212</c:v>
                </c:pt>
                <c:pt idx="40">
                  <c:v>325.26623987949534</c:v>
                </c:pt>
                <c:pt idx="41">
                  <c:v>349.84111633047797</c:v>
                </c:pt>
                <c:pt idx="42">
                  <c:v>350.54110829409632</c:v>
                </c:pt>
                <c:pt idx="43">
                  <c:v>396</c:v>
                </c:pt>
                <c:pt idx="44">
                  <c:v>392.77549952011168</c:v>
                </c:pt>
                <c:pt idx="45">
                  <c:v>573.3478893740903</c:v>
                </c:pt>
              </c:numCache>
            </c:numRef>
          </c:val>
          <c:extLst>
            <c:ext xmlns:c16="http://schemas.microsoft.com/office/drawing/2014/chart" uri="{C3380CC4-5D6E-409C-BE32-E72D297353CC}">
              <c16:uniqueId val="{00000000-8E3B-4973-BBB5-65667D4E5464}"/>
            </c:ext>
          </c:extLst>
        </c:ser>
        <c:ser>
          <c:idx val="1"/>
          <c:order val="1"/>
          <c:tx>
            <c:v>Utilities</c:v>
          </c:tx>
          <c:spPr>
            <a:solidFill>
              <a:srgbClr val="CCFFFF"/>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1978-2022R'!$E$249:$AX$249</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8.0753893129770979</c:v>
                </c:pt>
                <c:pt idx="15">
                  <c:v>8.3079875978148525</c:v>
                </c:pt>
                <c:pt idx="16">
                  <c:v>10.942069365839501</c:v>
                </c:pt>
                <c:pt idx="17">
                  <c:v>13.637367901930393</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1-8E3B-4973-BBB5-65667D4E5464}"/>
            </c:ext>
          </c:extLst>
        </c:ser>
        <c:ser>
          <c:idx val="2"/>
          <c:order val="2"/>
          <c:tx>
            <c:v>Industry</c:v>
          </c:tx>
          <c:spPr>
            <a:solidFill>
              <a:srgbClr val="DD0806"/>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1978-2022R'!$E$250:$AX$250</c:f>
              <c:numCache>
                <c:formatCode>0.0</c:formatCode>
                <c:ptCount val="46"/>
                <c:pt idx="0">
                  <c:v>114.18657760814249</c:v>
                </c:pt>
                <c:pt idx="1">
                  <c:v>131.47196261682242</c:v>
                </c:pt>
                <c:pt idx="2">
                  <c:v>179.08823684906156</c:v>
                </c:pt>
                <c:pt idx="3">
                  <c:v>186.22881597717546</c:v>
                </c:pt>
                <c:pt idx="4">
                  <c:v>71.70690265486725</c:v>
                </c:pt>
                <c:pt idx="5">
                  <c:v>66.144217400463447</c:v>
                </c:pt>
                <c:pt idx="6">
                  <c:v>75.841681754174203</c:v>
                </c:pt>
                <c:pt idx="7">
                  <c:v>69.272194174757274</c:v>
                </c:pt>
                <c:pt idx="8">
                  <c:v>87.112552301255235</c:v>
                </c:pt>
                <c:pt idx="9">
                  <c:v>71.319434239529755</c:v>
                </c:pt>
                <c:pt idx="10">
                  <c:v>65.379241941197293</c:v>
                </c:pt>
                <c:pt idx="11">
                  <c:v>58.130958063416294</c:v>
                </c:pt>
                <c:pt idx="12">
                  <c:v>96.157594936708847</c:v>
                </c:pt>
                <c:pt idx="13">
                  <c:v>108.52007047893642</c:v>
                </c:pt>
                <c:pt idx="14">
                  <c:v>166.14683969465648</c:v>
                </c:pt>
                <c:pt idx="15">
                  <c:v>187.42820020670305</c:v>
                </c:pt>
                <c:pt idx="16">
                  <c:v>202.34662603395734</c:v>
                </c:pt>
                <c:pt idx="17">
                  <c:v>208.52486966323798</c:v>
                </c:pt>
                <c:pt idx="18">
                  <c:v>168.52989491150441</c:v>
                </c:pt>
                <c:pt idx="19">
                  <c:v>175.69150432900432</c:v>
                </c:pt>
                <c:pt idx="20">
                  <c:v>202.92359278211688</c:v>
                </c:pt>
                <c:pt idx="21">
                  <c:v>244.15660980810236</c:v>
                </c:pt>
                <c:pt idx="22">
                  <c:v>232.91867985939331</c:v>
                </c:pt>
                <c:pt idx="23">
                  <c:v>245.47939494089232</c:v>
                </c:pt>
                <c:pt idx="24">
                  <c:v>142.49323629062619</c:v>
                </c:pt>
                <c:pt idx="25">
                  <c:v>133.8477945693574</c:v>
                </c:pt>
                <c:pt idx="26">
                  <c:v>122.23799807969274</c:v>
                </c:pt>
                <c:pt idx="27">
                  <c:v>96.152205796764065</c:v>
                </c:pt>
                <c:pt idx="28">
                  <c:v>70.924306651634723</c:v>
                </c:pt>
                <c:pt idx="29">
                  <c:v>68.985301548939901</c:v>
                </c:pt>
                <c:pt idx="30">
                  <c:v>75.59281538952068</c:v>
                </c:pt>
                <c:pt idx="31">
                  <c:v>105.1999150201827</c:v>
                </c:pt>
                <c:pt idx="32">
                  <c:v>254.51206713405566</c:v>
                </c:pt>
                <c:pt idx="33">
                  <c:v>110.76632919319485</c:v>
                </c:pt>
                <c:pt idx="34">
                  <c:v>121.72388928607906</c:v>
                </c:pt>
                <c:pt idx="35">
                  <c:v>126.83257999999999</c:v>
                </c:pt>
                <c:pt idx="36">
                  <c:v>126.61996259474357</c:v>
                </c:pt>
                <c:pt idx="37">
                  <c:v>196.91227219852655</c:v>
                </c:pt>
                <c:pt idx="38">
                  <c:v>210.79540895061729</c:v>
                </c:pt>
                <c:pt idx="39">
                  <c:v>246.80769967439187</c:v>
                </c:pt>
                <c:pt idx="40">
                  <c:v>272.82103182074934</c:v>
                </c:pt>
                <c:pt idx="41">
                  <c:v>316.15271253569119</c:v>
                </c:pt>
                <c:pt idx="42">
                  <c:v>326.08475190148494</c:v>
                </c:pt>
                <c:pt idx="43">
                  <c:v>395</c:v>
                </c:pt>
                <c:pt idx="44">
                  <c:v>388.84774452491058</c:v>
                </c:pt>
                <c:pt idx="45">
                  <c:v>530.46724890829694</c:v>
                </c:pt>
              </c:numCache>
            </c:numRef>
          </c:val>
          <c:extLst>
            <c:ext xmlns:c16="http://schemas.microsoft.com/office/drawing/2014/chart" uri="{C3380CC4-5D6E-409C-BE32-E72D297353CC}">
              <c16:uniqueId val="{00000002-8E3B-4973-BBB5-65667D4E5464}"/>
            </c:ext>
          </c:extLst>
        </c:ser>
        <c:ser>
          <c:idx val="3"/>
          <c:order val="3"/>
          <c:tx>
            <c:v>Buildings</c:v>
          </c:tx>
          <c:spPr>
            <a:solidFill>
              <a:srgbClr val="FCF305"/>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1978-2022R'!$E$251:$AX$251</c:f>
              <c:numCache>
                <c:formatCode>0.0</c:formatCode>
                <c:ptCount val="46"/>
                <c:pt idx="0">
                  <c:v>226.94134860050889</c:v>
                </c:pt>
                <c:pt idx="1">
                  <c:v>260.64316588785044</c:v>
                </c:pt>
                <c:pt idx="2">
                  <c:v>310.57827121332275</c:v>
                </c:pt>
                <c:pt idx="3">
                  <c:v>244.29153590109368</c:v>
                </c:pt>
                <c:pt idx="4">
                  <c:v>118.76455752212388</c:v>
                </c:pt>
                <c:pt idx="5">
                  <c:v>92.459658731830629</c:v>
                </c:pt>
                <c:pt idx="6">
                  <c:v>84.218225709112858</c:v>
                </c:pt>
                <c:pt idx="7">
                  <c:v>89.594951456310682</c:v>
                </c:pt>
                <c:pt idx="8">
                  <c:v>81.119551160136922</c:v>
                </c:pt>
                <c:pt idx="9">
                  <c:v>62.430345334313003</c:v>
                </c:pt>
                <c:pt idx="10">
                  <c:v>68.56847325540204</c:v>
                </c:pt>
                <c:pt idx="11">
                  <c:v>62.543539038527101</c:v>
                </c:pt>
                <c:pt idx="12">
                  <c:v>66.541805463024644</c:v>
                </c:pt>
                <c:pt idx="13">
                  <c:v>88.871087618132307</c:v>
                </c:pt>
                <c:pt idx="14">
                  <c:v>74.053038167938922</c:v>
                </c:pt>
                <c:pt idx="15">
                  <c:v>80.089000442935173</c:v>
                </c:pt>
                <c:pt idx="16">
                  <c:v>106.48103323175155</c:v>
                </c:pt>
                <c:pt idx="17">
                  <c:v>138.11799351838803</c:v>
                </c:pt>
                <c:pt idx="18">
                  <c:v>110.79712389380531</c:v>
                </c:pt>
                <c:pt idx="19">
                  <c:v>121.94878246753245</c:v>
                </c:pt>
                <c:pt idx="20">
                  <c:v>117.75327228656073</c:v>
                </c:pt>
                <c:pt idx="21">
                  <c:v>126.4211306815227</c:v>
                </c:pt>
                <c:pt idx="22">
                  <c:v>117.19538551410352</c:v>
                </c:pt>
                <c:pt idx="23">
                  <c:v>130.51152922316908</c:v>
                </c:pt>
                <c:pt idx="24">
                  <c:v>89.111231020203277</c:v>
                </c:pt>
                <c:pt idx="25">
                  <c:v>80.612876274726617</c:v>
                </c:pt>
                <c:pt idx="26">
                  <c:v>78.070235237638016</c:v>
                </c:pt>
                <c:pt idx="27">
                  <c:v>85.410406239087422</c:v>
                </c:pt>
                <c:pt idx="28">
                  <c:v>86.5301916572717</c:v>
                </c:pt>
                <c:pt idx="29">
                  <c:v>127.33845984840161</c:v>
                </c:pt>
                <c:pt idx="30">
                  <c:v>128.45994260814115</c:v>
                </c:pt>
                <c:pt idx="31">
                  <c:v>165.09213936690034</c:v>
                </c:pt>
                <c:pt idx="32">
                  <c:v>381.58878266411722</c:v>
                </c:pt>
                <c:pt idx="33">
                  <c:v>257.24099780816198</c:v>
                </c:pt>
                <c:pt idx="34">
                  <c:v>238.27537534470434</c:v>
                </c:pt>
                <c:pt idx="35">
                  <c:v>241.62337999999997</c:v>
                </c:pt>
                <c:pt idx="36">
                  <c:v>226.65305640318928</c:v>
                </c:pt>
                <c:pt idx="37">
                  <c:v>194.07586273749513</c:v>
                </c:pt>
                <c:pt idx="38">
                  <c:v>182.5735725308642</c:v>
                </c:pt>
                <c:pt idx="39">
                  <c:v>216.63033901551427</c:v>
                </c:pt>
                <c:pt idx="40">
                  <c:v>210.94628130295609</c:v>
                </c:pt>
                <c:pt idx="41">
                  <c:v>228.77017592336736</c:v>
                </c:pt>
                <c:pt idx="42">
                  <c:v>230.29735603042374</c:v>
                </c:pt>
                <c:pt idx="43">
                  <c:v>285</c:v>
                </c:pt>
                <c:pt idx="44">
                  <c:v>284.76223715208096</c:v>
                </c:pt>
                <c:pt idx="45">
                  <c:v>368.09898107714702</c:v>
                </c:pt>
              </c:numCache>
            </c:numRef>
          </c:val>
          <c:extLst>
            <c:ext xmlns:c16="http://schemas.microsoft.com/office/drawing/2014/chart" uri="{C3380CC4-5D6E-409C-BE32-E72D297353CC}">
              <c16:uniqueId val="{00000003-8E3B-4973-BBB5-65667D4E5464}"/>
            </c:ext>
          </c:extLst>
        </c:ser>
        <c:ser>
          <c:idx val="4"/>
          <c:order val="4"/>
          <c:tx>
            <c:v>Multi Sector</c:v>
          </c:tx>
          <c:spPr>
            <a:solidFill>
              <a:srgbClr val="660066"/>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1978-2022R'!$E$252:$AX$252</c:f>
              <c:numCache>
                <c:formatCode>0.0</c:formatCode>
                <c:ptCount val="46"/>
                <c:pt idx="0">
                  <c:v>37.584923664122137</c:v>
                </c:pt>
                <c:pt idx="1">
                  <c:v>33.525350467289719</c:v>
                </c:pt>
                <c:pt idx="2">
                  <c:v>49.978112609040437</c:v>
                </c:pt>
                <c:pt idx="3">
                  <c:v>70.906086543033766</c:v>
                </c:pt>
                <c:pt idx="4">
                  <c:v>41.082079646017696</c:v>
                </c:pt>
                <c:pt idx="5">
                  <c:v>30.108658099852533</c:v>
                </c:pt>
                <c:pt idx="6">
                  <c:v>28.751921142627236</c:v>
                </c:pt>
                <c:pt idx="7">
                  <c:v>52.008776699029127</c:v>
                </c:pt>
                <c:pt idx="8">
                  <c:v>55.435260555344229</c:v>
                </c:pt>
                <c:pt idx="9">
                  <c:v>58.709331373989713</c:v>
                </c:pt>
                <c:pt idx="10">
                  <c:v>57.40616365568544</c:v>
                </c:pt>
                <c:pt idx="11">
                  <c:v>61.96798499829525</c:v>
                </c:pt>
                <c:pt idx="12">
                  <c:v>67.291572285143232</c:v>
                </c:pt>
                <c:pt idx="13">
                  <c:v>63.453596027550866</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4-8E3B-4973-BBB5-65667D4E5464}"/>
            </c:ext>
          </c:extLst>
        </c:ser>
        <c:ser>
          <c:idx val="9"/>
          <c:order val="5"/>
          <c:tx>
            <c:v>Distributed (FY03-on)</c:v>
          </c:tx>
          <c:spPr>
            <a:solidFill>
              <a:srgbClr val="4600A5"/>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1978-2022R'!$E$255:$AX$255</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77.81345212699209</c:v>
                </c:pt>
                <c:pt idx="25">
                  <c:v>83.101781545644428</c:v>
                </c:pt>
                <c:pt idx="26">
                  <c:v>80.5014882381181</c:v>
                </c:pt>
                <c:pt idx="27">
                  <c:v>77.419555348620648</c:v>
                </c:pt>
                <c:pt idx="28">
                  <c:v>71.05118376550169</c:v>
                </c:pt>
                <c:pt idx="29">
                  <c:v>29.052949577062506</c:v>
                </c:pt>
                <c:pt idx="30">
                  <c:v>29.663003507280266</c:v>
                </c:pt>
                <c:pt idx="31">
                  <c:v>35.863607393244102</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5-8E3B-4973-BBB5-65667D4E5464}"/>
            </c:ext>
          </c:extLst>
        </c:ser>
        <c:ser>
          <c:idx val="10"/>
          <c:order val="6"/>
          <c:tx>
            <c:v>Biomass (FY02-04)</c:v>
          </c:tx>
          <c:spPr>
            <a:solidFill>
              <a:srgbClr val="FF6600"/>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1978-2022R'!$E$256:$AX$256</c:f>
              <c:numCache>
                <c:formatCode>0.0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35.023114568954696</c:v>
                </c:pt>
                <c:pt idx="25">
                  <c:v>33.323676127288365</c:v>
                </c:pt>
                <c:pt idx="26">
                  <c:v>9.4548727796447434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6-8E3B-4973-BBB5-65667D4E5464}"/>
            </c:ext>
          </c:extLst>
        </c:ser>
        <c:ser>
          <c:idx val="6"/>
          <c:order val="7"/>
          <c:tx>
            <c:strRef>
              <c:f>'Complete Data 1978-2022R'!$AY$258</c:f>
              <c:strCache>
                <c:ptCount val="1"/>
                <c:pt idx="0">
                  <c:v>Congressionally directed projects</c:v>
                </c:pt>
              </c:strCache>
            </c:strRef>
          </c:tx>
          <c:spPr>
            <a:solidFill>
              <a:srgbClr val="33CCCC"/>
            </a:solidFill>
            <a:ln w="12700">
              <a:solidFill>
                <a:srgbClr val="000000"/>
              </a:solidFill>
              <a:prstDash val="solid"/>
            </a:ln>
          </c:spPr>
          <c:invertIfNegative val="0"/>
          <c:cat>
            <c:strRef>
              <c:f>'Complete Data 1978-2022R'!$E$12:$AX$12</c:f>
              <c:strCache>
                <c:ptCount val="46"/>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2009 ARRA</c:v>
                </c:pt>
                <c:pt idx="33">
                  <c:v>2010</c:v>
                </c:pt>
                <c:pt idx="34">
                  <c:v>2011</c:v>
                </c:pt>
                <c:pt idx="35">
                  <c:v>2012</c:v>
                </c:pt>
                <c:pt idx="36">
                  <c:v>2013</c:v>
                </c:pt>
                <c:pt idx="37">
                  <c:v>2014</c:v>
                </c:pt>
                <c:pt idx="38">
                  <c:v>2015</c:v>
                </c:pt>
                <c:pt idx="39">
                  <c:v>2016</c:v>
                </c:pt>
                <c:pt idx="40">
                  <c:v>2017</c:v>
                </c:pt>
                <c:pt idx="41">
                  <c:v>2018</c:v>
                </c:pt>
                <c:pt idx="42">
                  <c:v>2019</c:v>
                </c:pt>
                <c:pt idx="43">
                  <c:v>2020</c:v>
                </c:pt>
                <c:pt idx="44">
                  <c:v>2021</c:v>
                </c:pt>
                <c:pt idx="45">
                  <c:v>2022R</c:v>
                </c:pt>
              </c:strCache>
            </c:strRef>
          </c:cat>
          <c:val>
            <c:numRef>
              <c:f>'Complete Data 1978-2022R'!$E$258:$AX$258</c:f>
              <c:numCache>
                <c:formatCode>0.0</c:formatCode>
                <c:ptCount val="46"/>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63.273100223190568</c:v>
                </c:pt>
                <c:pt idx="31" formatCode="General">
                  <c:v>57.023135755258124</c:v>
                </c:pt>
                <c:pt idx="32" formatCode="General">
                  <c:v>0</c:v>
                </c:pt>
                <c:pt idx="33" formatCode="General">
                  <c:v>64.134056987788327</c:v>
                </c:pt>
                <c:pt idx="34" formatCode="General">
                  <c:v>0</c:v>
                </c:pt>
                <c:pt idx="35" formatCode="General">
                  <c:v>0</c:v>
                </c:pt>
                <c:pt idx="36" formatCode="General">
                  <c:v>0</c:v>
                </c:pt>
                <c:pt idx="37" formatCode="General">
                  <c:v>0</c:v>
                </c:pt>
                <c:pt idx="38" formatCode="General">
                  <c:v>0</c:v>
                </c:pt>
                <c:pt idx="39" formatCode="General">
                  <c:v>0</c:v>
                </c:pt>
                <c:pt idx="40" formatCode="General">
                  <c:v>0</c:v>
                </c:pt>
                <c:pt idx="41" formatCode="General">
                  <c:v>0</c:v>
                </c:pt>
                <c:pt idx="42" formatCode="General">
                  <c:v>0</c:v>
                </c:pt>
                <c:pt idx="43" formatCode="General">
                  <c:v>0</c:v>
                </c:pt>
                <c:pt idx="44" formatCode="General">
                  <c:v>0</c:v>
                </c:pt>
                <c:pt idx="45" formatCode="General">
                  <c:v>0</c:v>
                </c:pt>
              </c:numCache>
            </c:numRef>
          </c:val>
          <c:extLst>
            <c:ext xmlns:c16="http://schemas.microsoft.com/office/drawing/2014/chart" uri="{C3380CC4-5D6E-409C-BE32-E72D297353CC}">
              <c16:uniqueId val="{00000007-8E3B-4973-BBB5-65667D4E5464}"/>
            </c:ext>
          </c:extLst>
        </c:ser>
        <c:dLbls>
          <c:showLegendKey val="0"/>
          <c:showVal val="0"/>
          <c:showCatName val="0"/>
          <c:showSerName val="0"/>
          <c:showPercent val="0"/>
          <c:showBubbleSize val="0"/>
        </c:dLbls>
        <c:gapWidth val="100"/>
        <c:overlap val="100"/>
        <c:axId val="2046385560"/>
        <c:axId val="2046114200"/>
      </c:barChart>
      <c:catAx>
        <c:axId val="2046385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2046114200"/>
        <c:crosses val="autoZero"/>
        <c:auto val="1"/>
        <c:lblAlgn val="ctr"/>
        <c:lblOffset val="100"/>
        <c:tickLblSkip val="1"/>
        <c:tickMarkSkip val="2"/>
        <c:noMultiLvlLbl val="0"/>
      </c:catAx>
      <c:valAx>
        <c:axId val="2046114200"/>
        <c:scaling>
          <c:orientation val="minMax"/>
        </c:scaling>
        <c:delete val="0"/>
        <c:axPos val="l"/>
        <c:majorGridlines>
          <c:spPr>
            <a:ln w="3175">
              <a:solidFill>
                <a:srgbClr val="80808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Million 2020$</a:t>
                </a:r>
              </a:p>
            </c:rich>
          </c:tx>
          <c:layout>
            <c:manualLayout>
              <c:xMode val="edge"/>
              <c:yMode val="edge"/>
              <c:x val="4.4395116537180902E-3"/>
              <c:y val="0.3915171288743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46385560"/>
        <c:crosses val="autoZero"/>
        <c:crossBetween val="between"/>
      </c:valAx>
      <c:spPr>
        <a:solidFill>
          <a:srgbClr val="FFFFFF"/>
        </a:solidFill>
        <a:ln w="12700">
          <a:solidFill>
            <a:srgbClr val="808080"/>
          </a:solidFill>
          <a:prstDash val="solid"/>
        </a:ln>
      </c:spPr>
    </c:plotArea>
    <c:legend>
      <c:legendPos val="r"/>
      <c:layout>
        <c:manualLayout>
          <c:xMode val="edge"/>
          <c:yMode val="edge"/>
          <c:x val="0.79134295227524998"/>
          <c:y val="0.185970636215334"/>
          <c:w val="0.20754716981132099"/>
          <c:h val="0.59380097879282201"/>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70" workbookViewId="0"/>
  </sheetViews>
  <pageMargins left="0.75" right="0.75" top="1" bottom="1" header="0.5" footer="0.5"/>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60" workbookViewId="0"/>
  </sheetViews>
  <pageMargins left="0.75" right="0.75" top="1" bottom="1" header="0.5" footer="0.5"/>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60" workbookViewId="0"/>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tabSelected="1" zoomScale="60" workbookViewId="0"/>
  </sheetViews>
  <pageMargins left="0.75" right="0.75" top="1" bottom="1" header="0.5" footer="0.5"/>
  <pageSetup paperSize="9" orientation="landscape"/>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62" workbookViewId="0" zoomToFit="1"/>
  </sheetViews>
  <pageMargins left="0.75" right="0.75" top="1" bottom="1" header="0.5" footer="0.5"/>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60" workbookViewId="0"/>
  </sheetViews>
  <pageMargins left="0.75" right="0.75" top="1" bottom="1" header="0.5" footer="0.5"/>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60" workbookViewId="0"/>
  </sheetViews>
  <pageMargins left="0.75" right="0.75" top="1" bottom="1" header="0.5" footer="0.5"/>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60" workbookViewId="0"/>
  </sheetViews>
  <pageMargins left="0.75" right="0.75" top="1" bottom="1" header="0.5" footer="0.5"/>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62" workbookViewId="0" zoomToFit="1"/>
  </sheetViews>
  <pageMargins left="0.75" right="0.75" top="1" bottom="1" header="0.5" footer="0.5"/>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60" workbookViewId="0"/>
  </sheetViews>
  <pageMargins left="0.75" right="0.75" top="1" bottom="1" header="0.5" footer="0.5"/>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60" workbookViewId="0"/>
  </sheetViews>
  <pageMargins left="0.75" right="0.75" top="1" bottom="1" header="0.5" footer="0.5"/>
  <drawing r:id="rId1"/>
</chartsheet>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101600</xdr:rowOff>
    </xdr:from>
    <xdr:to>
      <xdr:col>17</xdr:col>
      <xdr:colOff>0</xdr:colOff>
      <xdr:row>9</xdr:row>
      <xdr:rowOff>113108</xdr:rowOff>
    </xdr:to>
    <xdr:sp macro="" textlink="">
      <xdr:nvSpPr>
        <xdr:cNvPr id="5179" name="Text Box 59">
          <a:extLst>
            <a:ext uri="{FF2B5EF4-FFF2-40B4-BE49-F238E27FC236}">
              <a16:creationId xmlns:a16="http://schemas.microsoft.com/office/drawing/2014/main" id="{00000000-0008-0000-0000-00003B140000}"/>
            </a:ext>
          </a:extLst>
        </xdr:cNvPr>
        <xdr:cNvSpPr txBox="1">
          <a:spLocks noChangeArrowheads="1"/>
        </xdr:cNvSpPr>
      </xdr:nvSpPr>
      <xdr:spPr bwMode="auto">
        <a:xfrm>
          <a:off x="0" y="1048148"/>
          <a:ext cx="7858125" cy="404414"/>
        </a:xfrm>
        <a:prstGeom prst="rect">
          <a:avLst/>
        </a:prstGeom>
        <a:solidFill>
          <a:srgbClr val="CCFF33"/>
        </a:solidFill>
        <a:ln w="9525">
          <a:solidFill>
            <a:srgbClr val="0000D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This database should be cited as: Gallagher, K.S. and L.D. Anadon, "DOE Budget Authority for Energy Research, Development, and Demonstration Database," Fletcher School of Law and Diplomacy, Tufts University; Department of Land Economy, University of Cambridge; and Belfer Center for Science and International Affairs, Harvard Kennedy School. July 1, 2021.</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9286875" cy="606198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0.01475</cdr:x>
      <cdr:y>0.79725</cdr:y>
    </cdr:from>
    <cdr:to>
      <cdr:x>0.53475</cdr:x>
      <cdr:y>0.9925</cdr:y>
    </cdr:to>
    <cdr:sp macro="" textlink="">
      <cdr:nvSpPr>
        <cdr:cNvPr id="8196" name="Rectangle 4"/>
        <cdr:cNvSpPr>
          <a:spLocks xmlns:a="http://schemas.openxmlformats.org/drawingml/2006/main" noChangeArrowheads="1"/>
        </cdr:cNvSpPr>
      </cdr:nvSpPr>
      <cdr:spPr bwMode="auto">
        <a:xfrm xmlns:a="http://schemas.openxmlformats.org/drawingml/2006/main">
          <a:off x="126585" y="4655003"/>
          <a:ext cx="4462653" cy="114003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0.50203</cdr:x>
      <cdr:y>0.81436</cdr:y>
    </cdr:from>
    <cdr:to>
      <cdr:x>1</cdr:x>
      <cdr:y>0.94946</cdr:y>
    </cdr:to>
    <cdr:sp macro="" textlink="">
      <cdr:nvSpPr>
        <cdr:cNvPr id="4" name="Text Box 3"/>
        <cdr:cNvSpPr txBox="1">
          <a:spLocks xmlns:a="http://schemas.openxmlformats.org/drawingml/2006/main" noChangeArrowheads="1"/>
        </cdr:cNvSpPr>
      </cdr:nvSpPr>
      <cdr:spPr bwMode="auto">
        <a:xfrm xmlns:a="http://schemas.openxmlformats.org/drawingml/2006/main">
          <a:off x="4664978" y="4899705"/>
          <a:ext cx="4627189" cy="8128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 2021.</a:t>
          </a:r>
          <a:endParaRPr lang="en-GB" sz="900">
            <a:effectLst/>
          </a:endParaRP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0.00593</cdr:x>
      <cdr:y>0.9068</cdr:y>
    </cdr:from>
    <cdr:to>
      <cdr:x>0.65194</cdr:x>
      <cdr:y>0.99066</cdr:y>
    </cdr:to>
    <cdr:sp macro="" textlink="">
      <cdr:nvSpPr>
        <cdr:cNvPr id="3" name="Text Box 3"/>
        <cdr:cNvSpPr txBox="1">
          <a:spLocks xmlns:a="http://schemas.openxmlformats.org/drawingml/2006/main" noChangeArrowheads="1"/>
        </cdr:cNvSpPr>
      </cdr:nvSpPr>
      <cdr:spPr bwMode="auto">
        <a:xfrm xmlns:a="http://schemas.openxmlformats.org/drawingml/2006/main">
          <a:off x="55103" y="5455876"/>
          <a:ext cx="6002797" cy="5045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 2021.</a:t>
          </a:r>
          <a:endParaRPr lang="en-GB" sz="900">
            <a:effectLst/>
          </a:endParaRP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86875" cy="606834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0.00737</cdr:x>
      <cdr:y>0.9164</cdr:y>
    </cdr:from>
    <cdr:to>
      <cdr:x>0.75378</cdr:x>
      <cdr:y>1</cdr:y>
    </cdr:to>
    <cdr:sp macro="" textlink="">
      <cdr:nvSpPr>
        <cdr:cNvPr id="3" name="Text Box 3"/>
        <cdr:cNvSpPr txBox="1">
          <a:spLocks xmlns:a="http://schemas.openxmlformats.org/drawingml/2006/main" noChangeArrowheads="1"/>
        </cdr:cNvSpPr>
      </cdr:nvSpPr>
      <cdr:spPr bwMode="auto">
        <a:xfrm xmlns:a="http://schemas.openxmlformats.org/drawingml/2006/main">
          <a:off x="68473" y="5509104"/>
          <a:ext cx="6934744" cy="5025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a:t>
          </a:r>
          <a:r>
            <a:rPr lang="en-US" sz="900" i="1" baseline="0">
              <a:effectLst/>
              <a:latin typeface="+mn-lt"/>
              <a:ea typeface="+mn-ea"/>
              <a:cs typeface="+mn-cs"/>
            </a:rPr>
            <a:t> 2, 2021</a:t>
          </a:r>
          <a:r>
            <a:rPr lang="en-US" sz="900" i="1">
              <a:effectLst/>
              <a:latin typeface="+mn-lt"/>
              <a:ea typeface="+mn-ea"/>
              <a:cs typeface="+mn-cs"/>
            </a:rPr>
            <a:t>.</a:t>
          </a:r>
          <a:endParaRPr lang="en-GB" sz="900">
            <a:effectLst/>
          </a:endParaRP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0.79725</cdr:x>
      <cdr:y>0.44575</cdr:y>
    </cdr:from>
    <cdr:to>
      <cdr:x>0.883</cdr:x>
      <cdr:y>0.47</cdr:y>
    </cdr:to>
    <cdr:sp macro="" textlink="">
      <cdr:nvSpPr>
        <cdr:cNvPr id="6146" name="Text Box 2"/>
        <cdr:cNvSpPr txBox="1">
          <a:spLocks xmlns:a="http://schemas.openxmlformats.org/drawingml/2006/main" noChangeArrowheads="1"/>
        </cdr:cNvSpPr>
      </cdr:nvSpPr>
      <cdr:spPr bwMode="auto">
        <a:xfrm xmlns:a="http://schemas.openxmlformats.org/drawingml/2006/main">
          <a:off x="6932131" y="2802636"/>
          <a:ext cx="701580" cy="15618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0.01087</cdr:x>
      <cdr:y>0.9068</cdr:y>
    </cdr:from>
    <cdr:to>
      <cdr:x>0.81318</cdr:x>
      <cdr:y>0.99066</cdr:y>
    </cdr:to>
    <cdr:sp macro="" textlink="">
      <cdr:nvSpPr>
        <cdr:cNvPr id="4" name="Text Box 3"/>
        <cdr:cNvSpPr txBox="1">
          <a:spLocks xmlns:a="http://schemas.openxmlformats.org/drawingml/2006/main" noChangeArrowheads="1"/>
        </cdr:cNvSpPr>
      </cdr:nvSpPr>
      <cdr:spPr bwMode="auto">
        <a:xfrm xmlns:a="http://schemas.openxmlformats.org/drawingml/2006/main">
          <a:off x="93133" y="5271911"/>
          <a:ext cx="6872111" cy="4875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 2021.</a:t>
          </a:r>
          <a:endParaRPr lang="en-GB" sz="900">
            <a:effectLst/>
          </a:endParaRP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0.75125</cdr:x>
      <cdr:y>0.927</cdr:y>
    </cdr:from>
    <cdr:to>
      <cdr:x>0.98625</cdr:x>
      <cdr:y>0.99175</cdr:y>
    </cdr:to>
    <cdr:sp macro="" textlink="">
      <cdr:nvSpPr>
        <cdr:cNvPr id="131075" name="Text Box 3"/>
        <cdr:cNvSpPr txBox="1">
          <a:spLocks xmlns:a="http://schemas.openxmlformats.org/drawingml/2006/main" noChangeArrowheads="1"/>
        </cdr:cNvSpPr>
      </cdr:nvSpPr>
      <cdr:spPr bwMode="auto">
        <a:xfrm xmlns:a="http://schemas.openxmlformats.org/drawingml/2006/main">
          <a:off x="6430082" y="5313331"/>
          <a:ext cx="2033940" cy="46710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US" sz="1000" b="0" i="0" u="sng" strike="noStrike">
              <a:solidFill>
                <a:srgbClr val="000000"/>
              </a:solidFill>
              <a:latin typeface="Arial"/>
              <a:cs typeface="Arial"/>
            </a:rPr>
            <a:t>Note:</a:t>
          </a:r>
          <a:r>
            <a:rPr lang="en-US" sz="1000" b="0" i="0" strike="noStrike">
              <a:solidFill>
                <a:srgbClr val="000000"/>
              </a:solidFill>
              <a:latin typeface="Arial"/>
              <a:cs typeface="Arial"/>
            </a:rPr>
            <a:t> FY05-on, biomass included in renewables</a:t>
          </a:r>
        </a:p>
      </cdr:txBody>
    </cdr:sp>
  </cdr:relSizeAnchor>
  <cdr:relSizeAnchor xmlns:cdr="http://schemas.openxmlformats.org/drawingml/2006/chartDrawing">
    <cdr:from>
      <cdr:x>0.00264</cdr:x>
      <cdr:y>0.90882</cdr:y>
    </cdr:from>
    <cdr:to>
      <cdr:x>0.61491</cdr:x>
      <cdr:y>0.99268</cdr:y>
    </cdr:to>
    <cdr:sp macro="" textlink="">
      <cdr:nvSpPr>
        <cdr:cNvPr id="4" name="Text Box 3"/>
        <cdr:cNvSpPr txBox="1">
          <a:spLocks xmlns:a="http://schemas.openxmlformats.org/drawingml/2006/main" noChangeArrowheads="1"/>
        </cdr:cNvSpPr>
      </cdr:nvSpPr>
      <cdr:spPr bwMode="auto">
        <a:xfrm xmlns:a="http://schemas.openxmlformats.org/drawingml/2006/main">
          <a:off x="24531" y="5468055"/>
          <a:ext cx="5689315" cy="5045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a:t>
          </a:r>
          <a:r>
            <a:rPr lang="en-US" sz="900" i="1" baseline="0">
              <a:effectLst/>
              <a:latin typeface="+mn-lt"/>
              <a:ea typeface="+mn-ea"/>
              <a:cs typeface="+mn-cs"/>
            </a:rPr>
            <a:t> 2021</a:t>
          </a:r>
          <a:r>
            <a:rPr lang="en-US" sz="900" i="1">
              <a:effectLst/>
              <a:latin typeface="+mn-lt"/>
              <a:ea typeface="+mn-ea"/>
              <a:cs typeface="+mn-cs"/>
            </a:rPr>
            <a:t>.</a:t>
          </a:r>
          <a:endParaRPr lang="en-GB" sz="900">
            <a:effectLst/>
          </a:endParaRP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0.84725</cdr:x>
      <cdr:y>0.701</cdr:y>
    </cdr:from>
    <cdr:to>
      <cdr:x>0.9855</cdr:x>
      <cdr:y>0.83025</cdr:y>
    </cdr:to>
    <cdr:sp macro="" textlink="">
      <cdr:nvSpPr>
        <cdr:cNvPr id="70657" name="Text Box 1"/>
        <cdr:cNvSpPr txBox="1">
          <a:spLocks xmlns:a="http://schemas.openxmlformats.org/drawingml/2006/main" noChangeArrowheads="1"/>
        </cdr:cNvSpPr>
      </cdr:nvSpPr>
      <cdr:spPr bwMode="auto">
        <a:xfrm xmlns:a="http://schemas.openxmlformats.org/drawingml/2006/main">
          <a:off x="7262539" y="4008353"/>
          <a:ext cx="1190756" cy="751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US" sz="1000" b="0" i="0" strike="noStrike">
              <a:solidFill>
                <a:srgbClr val="000000"/>
              </a:solidFill>
              <a:latin typeface="Arial"/>
              <a:cs typeface="Arial"/>
            </a:rPr>
            <a:t>Note: Fuel cells from FY05-on are included under the hydrogen category</a:t>
          </a:r>
        </a:p>
      </cdr:txBody>
    </cdr:sp>
  </cdr:relSizeAnchor>
  <cdr:relSizeAnchor xmlns:cdr="http://schemas.openxmlformats.org/drawingml/2006/chartDrawing">
    <cdr:from>
      <cdr:x>0</cdr:x>
      <cdr:y>0.90869</cdr:y>
    </cdr:from>
    <cdr:to>
      <cdr:x>0.64744</cdr:x>
      <cdr:y>1</cdr:y>
    </cdr:to>
    <cdr:sp macro="" textlink="">
      <cdr:nvSpPr>
        <cdr:cNvPr id="4" name="Text Box 3"/>
        <cdr:cNvSpPr txBox="1">
          <a:spLocks xmlns:a="http://schemas.openxmlformats.org/drawingml/2006/main" noChangeArrowheads="1"/>
        </cdr:cNvSpPr>
      </cdr:nvSpPr>
      <cdr:spPr bwMode="auto">
        <a:xfrm xmlns:a="http://schemas.openxmlformats.org/drawingml/2006/main">
          <a:off x="0" y="5504753"/>
          <a:ext cx="6012695" cy="5531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 2021.</a:t>
          </a:r>
          <a:endParaRPr lang="en-GB" sz="900">
            <a:effectLst/>
          </a:endParaRP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0.00454</cdr:x>
      <cdr:y>0.86984</cdr:y>
    </cdr:from>
    <cdr:to>
      <cdr:x>0.49037</cdr:x>
      <cdr:y>0.98406</cdr:y>
    </cdr:to>
    <cdr:sp macro="" textlink="">
      <cdr:nvSpPr>
        <cdr:cNvPr id="3" name="Text Box 3"/>
        <cdr:cNvSpPr txBox="1">
          <a:spLocks xmlns:a="http://schemas.openxmlformats.org/drawingml/2006/main" noChangeArrowheads="1"/>
        </cdr:cNvSpPr>
      </cdr:nvSpPr>
      <cdr:spPr bwMode="auto">
        <a:xfrm xmlns:a="http://schemas.openxmlformats.org/drawingml/2006/main">
          <a:off x="42174" y="5229193"/>
          <a:ext cx="4513739" cy="6866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a:t>
          </a:r>
          <a:r>
            <a:rPr lang="en-US" sz="900" i="1" baseline="0">
              <a:effectLst/>
              <a:latin typeface="+mn-lt"/>
              <a:ea typeface="+mn-ea"/>
              <a:cs typeface="+mn-cs"/>
            </a:rPr>
            <a:t> 2, 2021.</a:t>
          </a:r>
          <a:endParaRPr lang="en-GB"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0.014</cdr:x>
      <cdr:y>0.92347</cdr:y>
    </cdr:from>
    <cdr:to>
      <cdr:x>0.8765</cdr:x>
      <cdr:y>0.98725</cdr:y>
    </cdr:to>
    <cdr:sp macro="" textlink="">
      <cdr:nvSpPr>
        <cdr:cNvPr id="7170" name="Text Box 2"/>
        <cdr:cNvSpPr txBox="1">
          <a:spLocks xmlns:a="http://schemas.openxmlformats.org/drawingml/2006/main" noChangeArrowheads="1"/>
        </cdr:cNvSpPr>
      </cdr:nvSpPr>
      <cdr:spPr bwMode="auto">
        <a:xfrm xmlns:a="http://schemas.openxmlformats.org/drawingml/2006/main">
          <a:off x="120148" y="5746750"/>
          <a:ext cx="7401997" cy="396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endParaRPr lang="en-US" sz="1000" b="0" i="1" u="none" strike="noStrike" baseline="0">
            <a:solidFill>
              <a:srgbClr val="000000"/>
            </a:solidFill>
            <a:latin typeface="Arial"/>
            <a:cs typeface="Arial"/>
          </a:endParaRPr>
        </a:p>
      </cdr:txBody>
    </cdr:sp>
  </cdr:relSizeAnchor>
  <cdr:relSizeAnchor xmlns:cdr="http://schemas.openxmlformats.org/drawingml/2006/chartDrawing">
    <cdr:from>
      <cdr:x>0.00453</cdr:x>
      <cdr:y>0.94904</cdr:y>
    </cdr:from>
    <cdr:to>
      <cdr:x>0.85871</cdr:x>
      <cdr:y>1</cdr:y>
    </cdr:to>
    <cdr:sp macro="" textlink="">
      <cdr:nvSpPr>
        <cdr:cNvPr id="5" name="Text Box 3"/>
        <cdr:cNvSpPr txBox="1">
          <a:spLocks xmlns:a="http://schemas.openxmlformats.org/drawingml/2006/main" noChangeArrowheads="1"/>
        </cdr:cNvSpPr>
      </cdr:nvSpPr>
      <cdr:spPr bwMode="auto">
        <a:xfrm xmlns:a="http://schemas.openxmlformats.org/drawingml/2006/main">
          <a:off x="38819" y="5537453"/>
          <a:ext cx="7327648" cy="2973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9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2, 2021.</a:t>
          </a:r>
          <a:endParaRPr lang="en-GB" sz="900">
            <a:effectLst/>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07500" cy="5609167"/>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0.21612</cdr:x>
      <cdr:y>0.84921</cdr:y>
    </cdr:from>
    <cdr:to>
      <cdr:x>0.31452</cdr:x>
      <cdr:y>1</cdr:y>
    </cdr:to>
    <cdr:sp macro="" textlink="">
      <cdr:nvSpPr>
        <cdr:cNvPr id="4" name="TextBox 3"/>
        <cdr:cNvSpPr txBox="1"/>
      </cdr:nvSpPr>
      <cdr:spPr>
        <a:xfrm xmlns:a="http://schemas.openxmlformats.org/drawingml/2006/main">
          <a:off x="2008188" y="567531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0.89793</cdr:y>
    </cdr:from>
    <cdr:to>
      <cdr:x>0.89474</cdr:x>
      <cdr:y>0.99622</cdr:y>
    </cdr:to>
    <cdr:sp macro="" textlink="">
      <cdr:nvSpPr>
        <cdr:cNvPr id="6" name="Text Box 3"/>
        <cdr:cNvSpPr txBox="1">
          <a:spLocks xmlns:a="http://schemas.openxmlformats.org/drawingml/2006/main" noChangeArrowheads="1"/>
        </cdr:cNvSpPr>
      </cdr:nvSpPr>
      <cdr:spPr bwMode="auto">
        <a:xfrm xmlns:a="http://schemas.openxmlformats.org/drawingml/2006/main">
          <a:off x="0" y="5031887"/>
          <a:ext cx="8231188" cy="5508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a:t>
          </a:r>
          <a:r>
            <a:rPr lang="en-US" sz="1100" i="1" baseline="0">
              <a:effectLst/>
              <a:latin typeface="+mn-lt"/>
              <a:ea typeface="+mn-ea"/>
              <a:cs typeface="+mn-cs"/>
            </a:rPr>
            <a:t> 2, 2021.</a:t>
          </a:r>
          <a:endParaRPr lang="en-GB" sz="900">
            <a:effectLst/>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86875" cy="606834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0.93333</cdr:y>
    </cdr:from>
    <cdr:to>
      <cdr:x>0.80231</cdr:x>
      <cdr:y>0.98423</cdr:y>
    </cdr:to>
    <cdr:sp macro="" textlink="">
      <cdr:nvSpPr>
        <cdr:cNvPr id="6147" name="Text Box 3"/>
        <cdr:cNvSpPr txBox="1">
          <a:spLocks xmlns:a="http://schemas.openxmlformats.org/drawingml/2006/main" noChangeArrowheads="1"/>
        </cdr:cNvSpPr>
      </cdr:nvSpPr>
      <cdr:spPr bwMode="auto">
        <a:xfrm xmlns:a="http://schemas.openxmlformats.org/drawingml/2006/main">
          <a:off x="0" y="5435600"/>
          <a:ext cx="6870525" cy="2964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rtl="0"/>
          <a:r>
            <a:rPr lang="en-US" sz="8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 July 1, 2021.</a:t>
          </a:r>
        </a:p>
        <a:p xmlns:a="http://schemas.openxmlformats.org/drawingml/2006/main">
          <a:pPr rtl="0"/>
          <a:endParaRPr lang="en-GB" sz="800">
            <a:effectLst/>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0.014</cdr:x>
      <cdr:y>0.92347</cdr:y>
    </cdr:from>
    <cdr:to>
      <cdr:x>0.8765</cdr:x>
      <cdr:y>0.98725</cdr:y>
    </cdr:to>
    <cdr:sp macro="" textlink="">
      <cdr:nvSpPr>
        <cdr:cNvPr id="7170" name="Text Box 2"/>
        <cdr:cNvSpPr txBox="1">
          <a:spLocks xmlns:a="http://schemas.openxmlformats.org/drawingml/2006/main" noChangeArrowheads="1"/>
        </cdr:cNvSpPr>
      </cdr:nvSpPr>
      <cdr:spPr bwMode="auto">
        <a:xfrm xmlns:a="http://schemas.openxmlformats.org/drawingml/2006/main">
          <a:off x="120148" y="5746750"/>
          <a:ext cx="7401997" cy="396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endParaRPr lang="en-US" sz="1000" b="0" i="1" u="none" strike="noStrike" baseline="0">
            <a:solidFill>
              <a:srgbClr val="000000"/>
            </a:solidFill>
            <a:latin typeface="Arial"/>
            <a:cs typeface="Arial"/>
          </a:endParaRPr>
        </a:p>
      </cdr:txBody>
    </cdr:sp>
  </cdr:relSizeAnchor>
  <cdr:relSizeAnchor xmlns:cdr="http://schemas.openxmlformats.org/drawingml/2006/chartDrawing">
    <cdr:from>
      <cdr:x>0</cdr:x>
      <cdr:y>0.90969</cdr:y>
    </cdr:from>
    <cdr:to>
      <cdr:x>0.85268</cdr:x>
      <cdr:y>1</cdr:y>
    </cdr:to>
    <cdr:sp macro="" textlink="">
      <cdr:nvSpPr>
        <cdr:cNvPr id="4" name="Text Box 3"/>
        <cdr:cNvSpPr txBox="1">
          <a:spLocks xmlns:a="http://schemas.openxmlformats.org/drawingml/2006/main" noChangeArrowheads="1"/>
        </cdr:cNvSpPr>
      </cdr:nvSpPr>
      <cdr:spPr bwMode="auto">
        <a:xfrm xmlns:a="http://schemas.openxmlformats.org/drawingml/2006/main">
          <a:off x="0" y="5516563"/>
          <a:ext cx="7918733" cy="5476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100" i="1">
              <a:effectLst/>
              <a:latin typeface="+mn-lt"/>
              <a:ea typeface="+mn-ea"/>
              <a:cs typeface="+mn-cs"/>
            </a:rPr>
            <a:t>Gallagher, K.S. and L.D. Anadon, "DOE Budget Authority for Energy Research, Development, and Demonstration Database," The Fletcher School, Tufts University; Department of Land Economy, University of Cambridge; and Belfer Center for Science and International Affairs, Harvard Kennedy School;</a:t>
          </a:r>
          <a:r>
            <a:rPr lang="en-US" sz="1100" i="1" baseline="0">
              <a:effectLst/>
              <a:latin typeface="+mn-lt"/>
              <a:ea typeface="+mn-ea"/>
              <a:cs typeface="+mn-cs"/>
            </a:rPr>
            <a:t> July 2, 2021</a:t>
          </a:r>
          <a:r>
            <a:rPr lang="en-US" sz="1100" i="1">
              <a:effectLst/>
              <a:latin typeface="+mn-lt"/>
              <a:ea typeface="+mn-ea"/>
              <a:cs typeface="+mn-cs"/>
            </a:rPr>
            <a:t>.</a:t>
          </a:r>
          <a:endParaRPr lang="en-GB" sz="900">
            <a:effectLst/>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whitehouse.gov/omb/historical-tables/" TargetMode="External"/><Relationship Id="rId1" Type="http://schemas.openxmlformats.org/officeDocument/2006/relationships/hyperlink" Target="http://www.whitehouse.gov/omb/budget/Historica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349"/>
  <sheetViews>
    <sheetView topLeftCell="AK1" zoomScale="70" zoomScaleNormal="70" zoomScalePageLayoutView="150" workbookViewId="0">
      <pane ySplit="12" topLeftCell="A198" activePane="bottomLeft" state="frozen"/>
      <selection pane="bottomLeft" activeCell="AX220" sqref="AX220"/>
    </sheetView>
  </sheetViews>
  <sheetFormatPr defaultColWidth="8.81640625" defaultRowHeight="10" x14ac:dyDescent="0.2"/>
  <cols>
    <col min="1" max="1" width="3.36328125" style="18" customWidth="1"/>
    <col min="2" max="3" width="8.81640625" style="10"/>
    <col min="4" max="4" width="13" style="10" customWidth="1"/>
    <col min="5" max="7" width="6.36328125" style="54" customWidth="1"/>
    <col min="8" max="8" width="5.36328125" style="54" customWidth="1"/>
    <col min="9" max="11" width="5.81640625" style="54" customWidth="1"/>
    <col min="12" max="12" width="5.36328125" style="54" customWidth="1"/>
    <col min="13" max="13" width="6" style="54" customWidth="1"/>
    <col min="14" max="14" width="5.81640625" style="54" customWidth="1"/>
    <col min="15" max="16" width="5.36328125" style="54" customWidth="1"/>
    <col min="17" max="17" width="5.81640625" style="54" customWidth="1"/>
    <col min="18" max="18" width="6.08984375" style="54" customWidth="1"/>
    <col min="19" max="19" width="5.36328125" style="54" customWidth="1"/>
    <col min="20" max="20" width="7" style="54" customWidth="1"/>
    <col min="21" max="21" width="6" style="55" customWidth="1"/>
    <col min="22" max="22" width="5.81640625" style="55" customWidth="1"/>
    <col min="23" max="23" width="5.6328125" style="54" customWidth="1"/>
    <col min="24" max="24" width="5.81640625" style="55" customWidth="1"/>
    <col min="25" max="25" width="5.6328125" style="54" customWidth="1"/>
    <col min="26" max="26" width="6.08984375" style="54" customWidth="1"/>
    <col min="27" max="27" width="6.08984375" style="56" customWidth="1"/>
    <col min="28" max="28" width="5.36328125" style="54" customWidth="1"/>
    <col min="29" max="29" width="5.81640625" style="54" customWidth="1"/>
    <col min="30" max="30" width="6.36328125" style="55" customWidth="1"/>
    <col min="31" max="31" width="5.81640625" style="54" customWidth="1"/>
    <col min="32" max="32" width="6.6328125" style="54" customWidth="1"/>
    <col min="33" max="33" width="6.36328125" style="54" customWidth="1"/>
    <col min="34" max="34" width="6.6328125" style="54" customWidth="1"/>
    <col min="35" max="35" width="6.36328125" style="10" customWidth="1"/>
    <col min="36" max="36" width="7.36328125" style="10" customWidth="1"/>
    <col min="37" max="37" width="8" style="10" customWidth="1"/>
    <col min="38" max="38" width="7.36328125" style="10" customWidth="1"/>
    <col min="39" max="39" width="8.36328125" style="10" customWidth="1"/>
    <col min="40" max="40" width="7.36328125" style="10" customWidth="1"/>
    <col min="41" max="41" width="9" style="10" customWidth="1"/>
    <col min="42" max="51" width="7.36328125" style="10" customWidth="1"/>
    <col min="52" max="52" width="6.36328125" style="10" customWidth="1"/>
    <col min="53" max="54" width="8.81640625" style="10"/>
    <col min="55" max="55" width="9.36328125" style="10" bestFit="1" customWidth="1"/>
    <col min="56" max="56" width="8.81640625" style="10"/>
    <col min="57" max="57" width="15.81640625" style="10" bestFit="1" customWidth="1"/>
    <col min="58" max="58" width="7.36328125" style="5" customWidth="1"/>
    <col min="59" max="59" width="7.08984375" style="5" customWidth="1"/>
    <col min="60" max="60" width="4.6328125" style="10" customWidth="1"/>
    <col min="61" max="61" width="5" style="10" customWidth="1"/>
    <col min="62" max="62" width="5.6328125" style="10" customWidth="1"/>
    <col min="63" max="63" width="4.81640625" style="10" customWidth="1"/>
    <col min="64" max="65" width="5.36328125" style="10" customWidth="1"/>
    <col min="66" max="66" width="4.6328125" style="10" customWidth="1"/>
    <col min="67" max="67" width="4.81640625" style="10" customWidth="1"/>
    <col min="68" max="68" width="5.36328125" style="10" customWidth="1"/>
    <col min="69" max="69" width="5.08984375" style="10" customWidth="1"/>
    <col min="70" max="70" width="6.81640625" style="19" customWidth="1"/>
    <col min="71" max="71" width="7.36328125" style="2" bestFit="1" customWidth="1"/>
    <col min="72" max="78" width="9.36328125" style="2" bestFit="1" customWidth="1"/>
    <col min="79" max="79" width="11.36328125" style="2" bestFit="1" customWidth="1"/>
    <col min="80" max="87" width="9.36328125" style="2" bestFit="1" customWidth="1"/>
    <col min="88" max="16384" width="8.81640625" style="2"/>
  </cols>
  <sheetData>
    <row r="1" spans="1:72" ht="20" x14ac:dyDescent="0.4">
      <c r="A1" s="73" t="s">
        <v>124</v>
      </c>
      <c r="B1" s="16"/>
      <c r="C1" s="16"/>
      <c r="D1" s="16"/>
      <c r="AE1" s="55"/>
      <c r="AF1" s="55"/>
      <c r="AI1" s="16"/>
      <c r="AJ1" s="16"/>
      <c r="AK1" s="16"/>
      <c r="AL1" s="16"/>
      <c r="AM1" s="16"/>
      <c r="AN1" s="16"/>
      <c r="AO1" s="16"/>
      <c r="AP1" s="16"/>
      <c r="AQ1" s="16"/>
      <c r="AR1" s="16"/>
      <c r="AS1" s="16"/>
      <c r="AT1" s="16"/>
      <c r="AU1" s="16"/>
      <c r="AV1" s="16"/>
      <c r="AW1" s="16"/>
      <c r="AX1" s="16"/>
      <c r="AY1" s="16"/>
      <c r="AZ1" s="16"/>
      <c r="BA1" s="16"/>
      <c r="BF1" s="10"/>
      <c r="BG1" s="16"/>
      <c r="BH1" s="16"/>
      <c r="BI1" s="16"/>
      <c r="BJ1" s="16"/>
      <c r="BK1" s="16"/>
      <c r="BL1" s="16"/>
      <c r="BM1" s="16"/>
      <c r="BN1" s="16"/>
      <c r="BO1" s="16"/>
      <c r="BP1" s="16"/>
      <c r="BQ1" s="16"/>
      <c r="BR1" s="17"/>
    </row>
    <row r="2" spans="1:72" ht="12.5" x14ac:dyDescent="0.25">
      <c r="A2" s="18" t="s">
        <v>40</v>
      </c>
      <c r="AH2" s="138"/>
      <c r="AK2" s="141"/>
      <c r="AQ2" s="11"/>
      <c r="BA2" s="11"/>
      <c r="BC2" s="140"/>
      <c r="BD2" s="140"/>
      <c r="BE2" s="140"/>
      <c r="BF2" s="140"/>
      <c r="BG2" s="10"/>
    </row>
    <row r="3" spans="1:72" x14ac:dyDescent="0.2">
      <c r="A3" s="18" t="s">
        <v>399</v>
      </c>
      <c r="AQ3" s="298"/>
      <c r="AR3" s="299"/>
      <c r="AS3" s="299"/>
      <c r="AT3" s="299"/>
      <c r="AU3" s="299"/>
      <c r="AV3" s="299"/>
      <c r="AW3" s="299"/>
      <c r="AX3" s="299"/>
      <c r="AY3" s="299"/>
      <c r="BA3" s="36"/>
      <c r="BC3" s="140"/>
      <c r="BD3" s="140"/>
      <c r="BE3" s="140"/>
      <c r="BF3" s="140"/>
      <c r="BG3" s="10"/>
    </row>
    <row r="4" spans="1:72" x14ac:dyDescent="0.2">
      <c r="A4" s="18" t="s">
        <v>398</v>
      </c>
      <c r="AJ4" s="5"/>
      <c r="AK4" s="5"/>
      <c r="AL4" s="5"/>
      <c r="AM4" s="5"/>
      <c r="AN4" s="5"/>
      <c r="AO4" s="5"/>
      <c r="AP4" s="5"/>
      <c r="AQ4" s="36"/>
      <c r="AR4" s="5"/>
      <c r="AS4" s="5"/>
      <c r="AT4" s="5"/>
      <c r="AU4" s="5"/>
      <c r="AV4" s="5"/>
      <c r="AW4" s="5"/>
      <c r="AX4" s="5"/>
      <c r="AY4" s="5"/>
      <c r="AZ4" s="5"/>
      <c r="BA4" s="36"/>
      <c r="BC4" s="140"/>
      <c r="BD4" s="140"/>
      <c r="BE4" s="140"/>
      <c r="BF4" s="140"/>
      <c r="BG4" s="10"/>
    </row>
    <row r="5" spans="1:72" x14ac:dyDescent="0.2">
      <c r="A5" s="18" t="s">
        <v>397</v>
      </c>
      <c r="AQ5" s="53"/>
      <c r="BA5" s="36"/>
      <c r="BB5" s="53"/>
      <c r="BC5" s="140"/>
      <c r="BD5" s="140"/>
      <c r="BE5" s="140"/>
      <c r="BF5" s="140"/>
      <c r="BG5" s="10"/>
    </row>
    <row r="6" spans="1:72" x14ac:dyDescent="0.2">
      <c r="A6" s="18" t="s">
        <v>432</v>
      </c>
      <c r="AQ6" s="53"/>
      <c r="BA6" s="36"/>
      <c r="BC6" s="296"/>
      <c r="BD6" s="140"/>
      <c r="BE6" s="140"/>
      <c r="BF6" s="140"/>
      <c r="BG6" s="10"/>
    </row>
    <row r="7" spans="1:72" x14ac:dyDescent="0.2">
      <c r="AQ7" s="296"/>
      <c r="BA7" s="296"/>
      <c r="BC7" s="140"/>
      <c r="BD7" s="140"/>
      <c r="BE7" s="140"/>
      <c r="BF7" s="140"/>
      <c r="BG7" s="10"/>
    </row>
    <row r="8" spans="1:72" x14ac:dyDescent="0.2">
      <c r="AQ8" s="298"/>
      <c r="AR8" s="299"/>
      <c r="AS8" s="299"/>
      <c r="AT8" s="299"/>
      <c r="AU8" s="299"/>
      <c r="AV8" s="299"/>
      <c r="AW8" s="299"/>
      <c r="AX8" s="299"/>
      <c r="AY8" s="299"/>
      <c r="BA8" s="300"/>
      <c r="BC8" s="140"/>
      <c r="BD8" s="140"/>
      <c r="BE8" s="140"/>
      <c r="BF8" s="140"/>
      <c r="BG8" s="10"/>
    </row>
    <row r="9" spans="1:72" x14ac:dyDescent="0.2">
      <c r="AQ9" s="301"/>
      <c r="AR9" s="299"/>
      <c r="AS9" s="299"/>
      <c r="AT9" s="299"/>
      <c r="AU9" s="299"/>
      <c r="AV9" s="299"/>
      <c r="AW9" s="299"/>
      <c r="AX9" s="299"/>
      <c r="AY9" s="299"/>
      <c r="BA9" s="301"/>
      <c r="BC9" s="140"/>
      <c r="BD9" s="140"/>
      <c r="BE9" s="140"/>
      <c r="BF9" s="140"/>
      <c r="BG9" s="10"/>
    </row>
    <row r="10" spans="1:72" x14ac:dyDescent="0.2">
      <c r="AT10" s="125"/>
      <c r="AU10" s="125"/>
      <c r="BC10" s="140"/>
      <c r="BD10" s="140"/>
      <c r="BE10" s="140"/>
      <c r="BF10" s="140"/>
      <c r="BG10" s="10"/>
    </row>
    <row r="11" spans="1:72" ht="1.5" customHeight="1" x14ac:dyDescent="0.2">
      <c r="AQ11" s="125"/>
      <c r="AR11" s="125"/>
      <c r="AS11" s="125"/>
      <c r="BF11" s="10"/>
      <c r="BG11" s="10"/>
    </row>
    <row r="12" spans="1:72" ht="36.75" customHeight="1" thickBot="1" x14ac:dyDescent="0.25">
      <c r="E12" s="244">
        <v>1978</v>
      </c>
      <c r="F12" s="244">
        <f t="shared" ref="F12:V12" si="0">E12+1</f>
        <v>1979</v>
      </c>
      <c r="G12" s="244">
        <f t="shared" si="0"/>
        <v>1980</v>
      </c>
      <c r="H12" s="244">
        <f t="shared" si="0"/>
        <v>1981</v>
      </c>
      <c r="I12" s="244">
        <f t="shared" si="0"/>
        <v>1982</v>
      </c>
      <c r="J12" s="244">
        <f t="shared" si="0"/>
        <v>1983</v>
      </c>
      <c r="K12" s="244">
        <f t="shared" si="0"/>
        <v>1984</v>
      </c>
      <c r="L12" s="244">
        <f t="shared" si="0"/>
        <v>1985</v>
      </c>
      <c r="M12" s="244">
        <f t="shared" si="0"/>
        <v>1986</v>
      </c>
      <c r="N12" s="244">
        <f t="shared" si="0"/>
        <v>1987</v>
      </c>
      <c r="O12" s="244">
        <f t="shared" si="0"/>
        <v>1988</v>
      </c>
      <c r="P12" s="244">
        <f t="shared" si="0"/>
        <v>1989</v>
      </c>
      <c r="Q12" s="244">
        <f t="shared" si="0"/>
        <v>1990</v>
      </c>
      <c r="R12" s="244">
        <f t="shared" si="0"/>
        <v>1991</v>
      </c>
      <c r="S12" s="244">
        <f>R12+1</f>
        <v>1992</v>
      </c>
      <c r="T12" s="244">
        <f t="shared" si="0"/>
        <v>1993</v>
      </c>
      <c r="U12" s="244">
        <f t="shared" si="0"/>
        <v>1994</v>
      </c>
      <c r="V12" s="244">
        <f t="shared" si="0"/>
        <v>1995</v>
      </c>
      <c r="W12" s="244">
        <f>V12+1</f>
        <v>1996</v>
      </c>
      <c r="X12" s="244">
        <f>W12+1</f>
        <v>1997</v>
      </c>
      <c r="Y12" s="244">
        <v>1998</v>
      </c>
      <c r="Z12" s="244">
        <f t="shared" ref="Z12:AE12" si="1">Y12+1</f>
        <v>1999</v>
      </c>
      <c r="AA12" s="244">
        <f t="shared" si="1"/>
        <v>2000</v>
      </c>
      <c r="AB12" s="244">
        <f t="shared" si="1"/>
        <v>2001</v>
      </c>
      <c r="AC12" s="244">
        <f t="shared" si="1"/>
        <v>2002</v>
      </c>
      <c r="AD12" s="244">
        <f t="shared" si="1"/>
        <v>2003</v>
      </c>
      <c r="AE12" s="244">
        <f t="shared" si="1"/>
        <v>2004</v>
      </c>
      <c r="AF12" s="244">
        <v>2005</v>
      </c>
      <c r="AG12" s="244">
        <v>2006</v>
      </c>
      <c r="AH12" s="245">
        <v>2007</v>
      </c>
      <c r="AI12" s="245">
        <v>2008</v>
      </c>
      <c r="AJ12" s="245">
        <v>2009</v>
      </c>
      <c r="AK12" s="245" t="s">
        <v>238</v>
      </c>
      <c r="AL12" s="245">
        <v>2010</v>
      </c>
      <c r="AM12" s="246">
        <v>2011</v>
      </c>
      <c r="AN12" s="246">
        <v>2012</v>
      </c>
      <c r="AO12" s="246">
        <v>2013</v>
      </c>
      <c r="AP12" s="245">
        <v>2014</v>
      </c>
      <c r="AQ12" s="245">
        <v>2015</v>
      </c>
      <c r="AR12" s="245">
        <v>2016</v>
      </c>
      <c r="AS12" s="259">
        <v>2017</v>
      </c>
      <c r="AT12" s="302">
        <v>2018</v>
      </c>
      <c r="AU12" s="302">
        <v>2019</v>
      </c>
      <c r="AV12" s="319">
        <v>2020</v>
      </c>
      <c r="AW12" s="319">
        <v>2021</v>
      </c>
      <c r="AX12" s="319" t="s">
        <v>433</v>
      </c>
      <c r="BF12" s="20" t="s">
        <v>94</v>
      </c>
      <c r="BG12" s="20" t="s">
        <v>223</v>
      </c>
      <c r="BH12" s="20" t="s">
        <v>95</v>
      </c>
      <c r="BI12" s="20" t="s">
        <v>96</v>
      </c>
      <c r="BJ12" s="20" t="s">
        <v>97</v>
      </c>
      <c r="BK12" s="20" t="s">
        <v>98</v>
      </c>
      <c r="BL12" s="20" t="s">
        <v>99</v>
      </c>
      <c r="BM12" s="20" t="s">
        <v>35</v>
      </c>
      <c r="BN12" s="20" t="s">
        <v>36</v>
      </c>
      <c r="BO12" s="20" t="s">
        <v>37</v>
      </c>
      <c r="BP12" s="20" t="s">
        <v>291</v>
      </c>
      <c r="BQ12" s="20" t="s">
        <v>261</v>
      </c>
      <c r="BR12" s="21" t="s">
        <v>262</v>
      </c>
      <c r="BS12" s="21" t="s">
        <v>179</v>
      </c>
      <c r="BT12" s="2" t="s">
        <v>241</v>
      </c>
    </row>
    <row r="13" spans="1:72" ht="10.5" thickTop="1" x14ac:dyDescent="0.2">
      <c r="E13" s="74"/>
      <c r="F13" s="74"/>
      <c r="G13" s="74"/>
      <c r="H13" s="74"/>
      <c r="I13" s="74"/>
      <c r="J13" s="74"/>
      <c r="K13" s="74"/>
      <c r="L13" s="74"/>
      <c r="M13" s="74"/>
      <c r="N13" s="74"/>
      <c r="O13" s="74"/>
      <c r="P13" s="74"/>
      <c r="Q13" s="74"/>
      <c r="R13" s="74"/>
      <c r="S13" s="74"/>
      <c r="T13" s="74"/>
      <c r="U13" s="75"/>
      <c r="V13" s="75"/>
      <c r="W13" s="74"/>
      <c r="X13" s="75"/>
      <c r="Y13" s="74"/>
      <c r="Z13" s="74"/>
      <c r="AA13" s="76"/>
      <c r="AB13" s="74"/>
      <c r="AC13" s="74"/>
      <c r="AD13" s="75"/>
      <c r="AE13" s="74"/>
      <c r="AF13" s="74"/>
      <c r="AG13" s="74"/>
      <c r="AH13" s="74"/>
      <c r="AK13" s="88"/>
      <c r="AL13" s="88"/>
      <c r="BF13" s="10"/>
      <c r="BG13" s="10"/>
      <c r="BM13" s="10" t="s">
        <v>231</v>
      </c>
    </row>
    <row r="14" spans="1:72" ht="10.5" x14ac:dyDescent="0.25">
      <c r="A14" s="22" t="s">
        <v>109</v>
      </c>
      <c r="I14" s="295"/>
      <c r="AI14" s="54"/>
      <c r="AJ14" s="54"/>
      <c r="AK14" s="54"/>
      <c r="AL14" s="54"/>
      <c r="AM14" s="54"/>
      <c r="AN14" s="177"/>
      <c r="AO14" s="54"/>
      <c r="AP14" s="54"/>
      <c r="AQ14" s="54"/>
      <c r="AR14" s="54"/>
      <c r="AS14" s="54"/>
      <c r="AT14" s="54"/>
      <c r="AU14" s="54"/>
      <c r="AY14" s="23" t="s">
        <v>109</v>
      </c>
      <c r="BC14" s="24"/>
      <c r="BF14" s="10"/>
      <c r="BG14" s="10" t="s">
        <v>282</v>
      </c>
      <c r="BH14" s="10" t="s">
        <v>365</v>
      </c>
      <c r="BI14" s="10" t="s">
        <v>49</v>
      </c>
      <c r="BJ14" s="10" t="s">
        <v>380</v>
      </c>
      <c r="BK14" s="10" t="s">
        <v>244</v>
      </c>
      <c r="BT14" s="2" t="s">
        <v>242</v>
      </c>
    </row>
    <row r="15" spans="1:72" x14ac:dyDescent="0.2">
      <c r="B15" s="10" t="s">
        <v>287</v>
      </c>
      <c r="E15" s="54">
        <v>623.9</v>
      </c>
      <c r="F15" s="54">
        <v>662.8</v>
      </c>
      <c r="G15" s="54">
        <v>728.9</v>
      </c>
      <c r="H15" s="54">
        <v>697.7</v>
      </c>
      <c r="I15" s="54">
        <v>467.5</v>
      </c>
      <c r="J15" s="54">
        <v>204.6</v>
      </c>
      <c r="K15" s="54">
        <v>197</v>
      </c>
      <c r="L15" s="54">
        <v>210.2</v>
      </c>
      <c r="M15" s="54">
        <v>212</v>
      </c>
      <c r="N15" s="54">
        <v>175</v>
      </c>
      <c r="O15" s="54">
        <v>201.1</v>
      </c>
      <c r="P15" s="54">
        <v>215.8</v>
      </c>
      <c r="Q15" s="54">
        <v>238.1</v>
      </c>
      <c r="R15" s="54">
        <v>246.7</v>
      </c>
      <c r="S15" s="54">
        <v>225.6</v>
      </c>
      <c r="T15" s="54">
        <v>186.3</v>
      </c>
      <c r="U15" s="55">
        <v>165.9</v>
      </c>
      <c r="V15" s="55">
        <v>144.5</v>
      </c>
      <c r="W15" s="54">
        <v>119.6</v>
      </c>
      <c r="X15" s="55">
        <v>100.9</v>
      </c>
      <c r="Y15" s="54">
        <v>105.3</v>
      </c>
      <c r="Z15" s="54">
        <v>120.58</v>
      </c>
      <c r="AA15" s="56">
        <v>121.2</v>
      </c>
      <c r="AB15" s="54">
        <v>268.3</v>
      </c>
      <c r="AC15" s="54">
        <v>333</v>
      </c>
      <c r="AD15" s="55">
        <v>338.6</v>
      </c>
      <c r="AE15" s="54">
        <f>368-39.4-8.6</f>
        <v>320</v>
      </c>
      <c r="AF15" s="54">
        <f>342.5-17.3-45.4</f>
        <v>279.8</v>
      </c>
      <c r="AG15" s="54">
        <f>48.1+24.5+54.4+17.4+27.9+59.8+51.5+0.985</f>
        <v>284.58500000000004</v>
      </c>
      <c r="AH15" s="54">
        <f>58.8+15.6+55.5+19.5+21.5+61.7+32</f>
        <v>264.59999999999997</v>
      </c>
      <c r="AI15" s="55">
        <f>479.9-72.3-115.6</f>
        <v>292</v>
      </c>
      <c r="AJ15" s="64">
        <f>681.3-0-AJ17</f>
        <v>535.5</v>
      </c>
      <c r="AK15" s="64">
        <f>800+20</f>
        <v>820</v>
      </c>
      <c r="AL15" s="64">
        <f>393.5-0-AL17</f>
        <v>243.5</v>
      </c>
      <c r="AM15" s="64">
        <f>389.688-AM17</f>
        <v>251.37199999999999</v>
      </c>
      <c r="AN15" s="178">
        <f>97.2+47.9+35</f>
        <v>180.1</v>
      </c>
      <c r="AO15" s="64">
        <f>92.4+45.6+33.3</f>
        <v>171.3</v>
      </c>
      <c r="AP15" s="64">
        <f>99.5+41.9+50</f>
        <v>191.4</v>
      </c>
      <c r="AQ15" s="64">
        <f>99.8+47.6+50</f>
        <v>197.4</v>
      </c>
      <c r="AR15" s="64">
        <f>105+50+53</f>
        <v>208</v>
      </c>
      <c r="AS15" s="64">
        <f>105+45.5+53</f>
        <v>203.5</v>
      </c>
      <c r="AT15" s="64">
        <f>112+58.4+53</f>
        <v>223.4</v>
      </c>
      <c r="AU15" s="64">
        <f>158+46.4+36+22.4+25</f>
        <v>287.8</v>
      </c>
      <c r="AV15" s="36">
        <f>150+49+38+16+20</f>
        <v>273</v>
      </c>
      <c r="AW15" s="36">
        <f>122+72+0+14.5+10</f>
        <v>218.5</v>
      </c>
      <c r="AX15" s="36">
        <f>82+36.5+0+0+0</f>
        <v>118.5</v>
      </c>
      <c r="AY15" s="10" t="s">
        <v>431</v>
      </c>
      <c r="BF15" s="10" t="s">
        <v>3</v>
      </c>
      <c r="BG15" s="10"/>
      <c r="BL15" s="10" t="s">
        <v>198</v>
      </c>
      <c r="BM15" s="10" t="s">
        <v>250</v>
      </c>
      <c r="BN15" s="10" t="s">
        <v>29</v>
      </c>
      <c r="BO15" s="10" t="s">
        <v>318</v>
      </c>
      <c r="BP15" s="10" t="s">
        <v>194</v>
      </c>
      <c r="BQ15" s="10" t="s">
        <v>194</v>
      </c>
      <c r="BR15" s="19" t="s">
        <v>194</v>
      </c>
    </row>
    <row r="16" spans="1:72" x14ac:dyDescent="0.2">
      <c r="B16" s="10" t="s">
        <v>292</v>
      </c>
      <c r="E16" s="54">
        <v>0</v>
      </c>
      <c r="F16" s="54">
        <v>0</v>
      </c>
      <c r="G16" s="54">
        <v>0</v>
      </c>
      <c r="H16" s="54">
        <v>0</v>
      </c>
      <c r="I16" s="54">
        <v>0</v>
      </c>
      <c r="J16" s="54">
        <v>0</v>
      </c>
      <c r="K16" s="54">
        <v>0</v>
      </c>
      <c r="L16" s="54">
        <v>0</v>
      </c>
      <c r="M16" s="54">
        <v>0</v>
      </c>
      <c r="N16" s="54">
        <v>0</v>
      </c>
      <c r="O16" s="54">
        <v>0</v>
      </c>
      <c r="P16" s="54">
        <v>0</v>
      </c>
      <c r="Q16" s="54">
        <v>0</v>
      </c>
      <c r="R16" s="54">
        <v>0</v>
      </c>
      <c r="S16" s="54">
        <v>0</v>
      </c>
      <c r="T16" s="54">
        <v>0</v>
      </c>
      <c r="U16" s="54">
        <v>0</v>
      </c>
      <c r="V16" s="54">
        <v>0</v>
      </c>
      <c r="W16" s="54">
        <v>0</v>
      </c>
      <c r="X16" s="54">
        <v>0</v>
      </c>
      <c r="Y16" s="54">
        <v>0</v>
      </c>
      <c r="Z16" s="54">
        <v>0</v>
      </c>
      <c r="AA16" s="54">
        <v>0</v>
      </c>
      <c r="AB16" s="54">
        <v>0</v>
      </c>
      <c r="AC16" s="54">
        <v>0</v>
      </c>
      <c r="AD16" s="54">
        <v>0</v>
      </c>
      <c r="AE16" s="54">
        <v>8.6</v>
      </c>
      <c r="AF16" s="54">
        <v>17.3</v>
      </c>
      <c r="AG16" s="54">
        <v>17.3</v>
      </c>
      <c r="AH16" s="54">
        <v>52.5</v>
      </c>
      <c r="AI16" s="54">
        <v>72.3</v>
      </c>
      <c r="AJ16" s="54">
        <v>0</v>
      </c>
      <c r="AK16" s="70">
        <v>1000</v>
      </c>
      <c r="AL16" s="114">
        <v>0</v>
      </c>
      <c r="AM16" s="114">
        <v>0</v>
      </c>
      <c r="AN16" s="236">
        <v>0</v>
      </c>
      <c r="AO16" s="114">
        <v>0</v>
      </c>
      <c r="AP16" s="114">
        <v>0</v>
      </c>
      <c r="AQ16" s="114">
        <v>0</v>
      </c>
      <c r="AR16" s="114">
        <v>0</v>
      </c>
      <c r="AS16" s="114">
        <v>0</v>
      </c>
      <c r="AT16" s="114">
        <v>0</v>
      </c>
      <c r="AU16" s="114">
        <v>0</v>
      </c>
      <c r="AV16" s="140">
        <v>0</v>
      </c>
      <c r="AW16" s="140">
        <v>0</v>
      </c>
      <c r="AX16" s="140">
        <v>0</v>
      </c>
      <c r="AY16" s="10" t="s">
        <v>292</v>
      </c>
      <c r="BF16" s="10"/>
      <c r="BG16" s="10"/>
      <c r="BP16" s="10" t="s">
        <v>194</v>
      </c>
      <c r="BQ16" s="10" t="s">
        <v>194</v>
      </c>
      <c r="BR16" s="19" t="s">
        <v>194</v>
      </c>
    </row>
    <row r="17" spans="2:70" x14ac:dyDescent="0.2">
      <c r="B17" s="10" t="s">
        <v>274</v>
      </c>
      <c r="E17" s="54">
        <v>0</v>
      </c>
      <c r="F17" s="55">
        <v>0</v>
      </c>
      <c r="G17" s="55">
        <v>0</v>
      </c>
      <c r="H17" s="55">
        <v>0</v>
      </c>
      <c r="I17" s="55">
        <v>0</v>
      </c>
      <c r="J17" s="55">
        <v>0</v>
      </c>
      <c r="K17" s="55">
        <v>0</v>
      </c>
      <c r="L17" s="55">
        <v>0</v>
      </c>
      <c r="M17" s="55">
        <v>0</v>
      </c>
      <c r="N17" s="55">
        <v>0</v>
      </c>
      <c r="O17" s="55">
        <v>0</v>
      </c>
      <c r="P17" s="55">
        <v>0</v>
      </c>
      <c r="Q17" s="55">
        <v>0</v>
      </c>
      <c r="R17" s="55">
        <v>0</v>
      </c>
      <c r="S17" s="55">
        <v>0</v>
      </c>
      <c r="T17" s="55">
        <v>0</v>
      </c>
      <c r="U17" s="55">
        <v>0</v>
      </c>
      <c r="V17" s="55">
        <v>0</v>
      </c>
      <c r="W17" s="55">
        <v>0</v>
      </c>
      <c r="X17" s="55">
        <v>0</v>
      </c>
      <c r="Y17" s="55">
        <v>0</v>
      </c>
      <c r="Z17" s="55">
        <v>0</v>
      </c>
      <c r="AA17" s="55">
        <v>0</v>
      </c>
      <c r="AB17" s="55">
        <v>0</v>
      </c>
      <c r="AC17" s="55">
        <v>0</v>
      </c>
      <c r="AD17" s="55">
        <v>0</v>
      </c>
      <c r="AE17" s="55">
        <v>39.4</v>
      </c>
      <c r="AF17" s="55">
        <v>45.4</v>
      </c>
      <c r="AG17" s="54">
        <v>64.7</v>
      </c>
      <c r="AH17" s="54">
        <v>97.3</v>
      </c>
      <c r="AI17" s="54">
        <v>115.6</v>
      </c>
      <c r="AJ17" s="70">
        <v>145.80000000000001</v>
      </c>
      <c r="AK17" s="70">
        <f>1520+48.6</f>
        <v>1568.6</v>
      </c>
      <c r="AL17" s="70">
        <v>150</v>
      </c>
      <c r="AM17" s="70">
        <v>138.316</v>
      </c>
      <c r="AN17" s="179">
        <f>67+112.2</f>
        <v>179.2</v>
      </c>
      <c r="AO17" s="70">
        <f>63.7+116.7</f>
        <v>180.4</v>
      </c>
      <c r="AP17" s="70">
        <f>92+108.8</f>
        <v>200.8</v>
      </c>
      <c r="AQ17" s="70">
        <f>85.3+97+9.7</f>
        <v>192</v>
      </c>
      <c r="AR17" s="70">
        <f>101+106+15</f>
        <v>222</v>
      </c>
      <c r="AS17" s="70">
        <f>101+95.3+24</f>
        <v>220.3</v>
      </c>
      <c r="AT17" s="70">
        <f>100.7+98.1</f>
        <v>198.8</v>
      </c>
      <c r="AU17" s="70">
        <f>198.8</f>
        <v>198.8</v>
      </c>
      <c r="AV17" s="53">
        <f>217.8</f>
        <v>217.8</v>
      </c>
      <c r="AW17" s="53">
        <f>126.3+23+79</f>
        <v>228.3</v>
      </c>
      <c r="AX17" s="53">
        <v>305</v>
      </c>
      <c r="AY17" s="10" t="s">
        <v>430</v>
      </c>
      <c r="BF17" s="10"/>
      <c r="BG17" s="10"/>
    </row>
    <row r="18" spans="2:70" x14ac:dyDescent="0.2">
      <c r="B18" s="10" t="s">
        <v>110</v>
      </c>
      <c r="E18" s="54">
        <v>78.7</v>
      </c>
      <c r="F18" s="54">
        <v>100.9</v>
      </c>
      <c r="G18" s="54">
        <v>61.7</v>
      </c>
      <c r="H18" s="54">
        <v>57.8</v>
      </c>
      <c r="I18" s="54">
        <v>39.4</v>
      </c>
      <c r="J18" s="54">
        <v>23.7</v>
      </c>
      <c r="K18" s="54">
        <v>30.2</v>
      </c>
      <c r="L18" s="54">
        <v>31.7</v>
      </c>
      <c r="M18" s="54">
        <v>29.1</v>
      </c>
      <c r="N18" s="54">
        <v>25.9</v>
      </c>
      <c r="O18" s="54">
        <v>29.5</v>
      </c>
      <c r="P18" s="54">
        <v>38.299999999999997</v>
      </c>
      <c r="Q18" s="54">
        <v>39</v>
      </c>
      <c r="R18" s="54">
        <v>59.2</v>
      </c>
      <c r="S18" s="54">
        <v>56.5</v>
      </c>
      <c r="T18" s="54">
        <v>61.6</v>
      </c>
      <c r="U18" s="55">
        <v>74.3</v>
      </c>
      <c r="V18" s="55">
        <v>75.2</v>
      </c>
      <c r="W18" s="54">
        <v>54.9</v>
      </c>
      <c r="X18" s="55">
        <v>45.2</v>
      </c>
      <c r="Y18" s="54">
        <v>47.7</v>
      </c>
      <c r="Z18" s="54">
        <v>47.3</v>
      </c>
      <c r="AA18" s="56">
        <v>55.7</v>
      </c>
      <c r="AB18" s="54">
        <v>65.099999999999994</v>
      </c>
      <c r="AC18" s="54">
        <v>56.2</v>
      </c>
      <c r="AD18" s="55">
        <v>40.98</v>
      </c>
      <c r="AE18" s="54">
        <v>34</v>
      </c>
      <c r="AF18" s="54">
        <v>33</v>
      </c>
      <c r="AG18" s="54">
        <v>31.7</v>
      </c>
      <c r="AH18" s="54">
        <v>2.6</v>
      </c>
      <c r="AI18" s="54">
        <v>4.9000000000000004</v>
      </c>
      <c r="AJ18" s="70">
        <v>4.9000000000000004</v>
      </c>
      <c r="AK18" s="70"/>
      <c r="AL18" s="114">
        <v>0</v>
      </c>
      <c r="AM18" s="114">
        <v>0</v>
      </c>
      <c r="AN18" s="236">
        <v>0</v>
      </c>
      <c r="AO18" s="114">
        <v>4.5999999999999996</v>
      </c>
      <c r="AP18" s="114">
        <v>15</v>
      </c>
      <c r="AQ18" s="114">
        <v>4.4000000000000004</v>
      </c>
      <c r="AR18" s="114">
        <v>20.3</v>
      </c>
      <c r="AS18" s="114">
        <v>21</v>
      </c>
      <c r="AT18" s="114">
        <v>40</v>
      </c>
      <c r="AU18" s="114">
        <v>46</v>
      </c>
      <c r="AV18" s="140">
        <v>46</v>
      </c>
      <c r="AW18" s="140">
        <v>46</v>
      </c>
      <c r="AX18" s="140">
        <v>0</v>
      </c>
      <c r="AY18" s="10" t="s">
        <v>405</v>
      </c>
      <c r="BF18" s="10" t="s">
        <v>4</v>
      </c>
      <c r="BG18" s="10"/>
      <c r="BN18" s="10" t="s">
        <v>373</v>
      </c>
      <c r="BO18" s="10" t="s">
        <v>325</v>
      </c>
      <c r="BP18" s="10" t="s">
        <v>194</v>
      </c>
      <c r="BQ18" s="10" t="s">
        <v>194</v>
      </c>
      <c r="BR18" s="19" t="s">
        <v>194</v>
      </c>
    </row>
    <row r="19" spans="2:70" x14ac:dyDescent="0.2">
      <c r="B19" s="10" t="s">
        <v>111</v>
      </c>
      <c r="E19" s="54">
        <v>27.4</v>
      </c>
      <c r="F19" s="54">
        <v>33.799999999999997</v>
      </c>
      <c r="G19" s="54">
        <v>30.7</v>
      </c>
      <c r="H19" s="54">
        <v>31</v>
      </c>
      <c r="I19" s="54">
        <v>11.7</v>
      </c>
      <c r="J19" s="54">
        <v>13.7</v>
      </c>
      <c r="K19" s="54">
        <v>15.4</v>
      </c>
      <c r="L19" s="54">
        <v>10.1</v>
      </c>
      <c r="M19" s="54">
        <v>8.5</v>
      </c>
      <c r="N19" s="54">
        <v>8</v>
      </c>
      <c r="O19" s="54">
        <v>10.5</v>
      </c>
      <c r="P19" s="54">
        <v>11.4</v>
      </c>
      <c r="Q19" s="54">
        <v>14.4</v>
      </c>
      <c r="R19" s="54">
        <v>15.9</v>
      </c>
      <c r="S19" s="54">
        <v>12.4</v>
      </c>
      <c r="T19" s="54">
        <v>29</v>
      </c>
      <c r="U19" s="55">
        <v>43.7</v>
      </c>
      <c r="V19" s="57">
        <v>62.5</v>
      </c>
      <c r="W19" s="54">
        <v>58.6</v>
      </c>
      <c r="X19" s="55">
        <v>68.5</v>
      </c>
      <c r="Y19" s="54">
        <v>69.3</v>
      </c>
      <c r="Z19" s="54">
        <v>69.3</v>
      </c>
      <c r="AA19" s="56">
        <v>73.900000000000006</v>
      </c>
      <c r="AB19" s="54">
        <v>43.9</v>
      </c>
      <c r="AC19" s="54">
        <v>44.1</v>
      </c>
      <c r="AD19" s="55">
        <v>45.9</v>
      </c>
      <c r="AE19" s="54">
        <v>42</v>
      </c>
      <c r="AF19" s="54">
        <v>43.6</v>
      </c>
      <c r="AG19" s="54">
        <v>32.700000000000003</v>
      </c>
      <c r="AH19" s="54">
        <v>11.7</v>
      </c>
      <c r="AI19" s="54">
        <v>19.3</v>
      </c>
      <c r="AJ19" s="70">
        <v>19.399999999999999</v>
      </c>
      <c r="AK19" s="70"/>
      <c r="AL19" s="70">
        <f>17.4+19.5</f>
        <v>36.9</v>
      </c>
      <c r="AM19" s="70">
        <v>0</v>
      </c>
      <c r="AN19" s="179">
        <f>14.6+4.9</f>
        <v>19.5</v>
      </c>
      <c r="AO19" s="70">
        <f>13.9</f>
        <v>13.9</v>
      </c>
      <c r="AP19" s="70">
        <f>20.6</f>
        <v>20.6</v>
      </c>
      <c r="AQ19" s="70">
        <v>24.3</v>
      </c>
      <c r="AR19" s="70">
        <v>43</v>
      </c>
      <c r="AS19" s="70">
        <v>43</v>
      </c>
      <c r="AT19" s="70">
        <v>50</v>
      </c>
      <c r="AU19" s="70">
        <v>51</v>
      </c>
      <c r="AV19" s="53">
        <v>51</v>
      </c>
      <c r="AW19" s="53">
        <v>57</v>
      </c>
      <c r="AX19" s="53">
        <v>130</v>
      </c>
      <c r="AY19" s="10" t="s">
        <v>221</v>
      </c>
      <c r="BF19" s="26"/>
      <c r="BG19" s="10"/>
      <c r="BN19" s="10" t="s">
        <v>32</v>
      </c>
      <c r="BO19" s="10" t="s">
        <v>331</v>
      </c>
      <c r="BP19" s="10" t="s">
        <v>194</v>
      </c>
      <c r="BQ19" s="10" t="s">
        <v>194</v>
      </c>
      <c r="BR19" s="19" t="s">
        <v>194</v>
      </c>
    </row>
    <row r="20" spans="2:70" x14ac:dyDescent="0.2">
      <c r="B20" s="10" t="s">
        <v>294</v>
      </c>
      <c r="E20" s="54">
        <v>35.4</v>
      </c>
      <c r="F20" s="54">
        <v>41.1</v>
      </c>
      <c r="G20" s="54">
        <v>26</v>
      </c>
      <c r="H20" s="54">
        <v>32</v>
      </c>
      <c r="I20" s="54">
        <v>34.5</v>
      </c>
      <c r="J20" s="54">
        <v>29.9</v>
      </c>
      <c r="K20" s="54">
        <v>42.3</v>
      </c>
      <c r="L20" s="54">
        <v>40.5</v>
      </c>
      <c r="M20" s="54">
        <v>34.1</v>
      </c>
      <c r="N20" s="54">
        <v>28.1</v>
      </c>
      <c r="O20" s="54">
        <v>32.700000000000003</v>
      </c>
      <c r="P20" s="54">
        <v>26.5</v>
      </c>
      <c r="Q20" s="54">
        <v>38</v>
      </c>
      <c r="R20" s="54">
        <v>42.9</v>
      </c>
      <c r="S20" s="54">
        <v>50.8</v>
      </c>
      <c r="T20" s="54">
        <v>50.4</v>
      </c>
      <c r="U20" s="55">
        <v>51.1</v>
      </c>
      <c r="V20" s="57">
        <v>46.95</v>
      </c>
      <c r="W20" s="54">
        <v>51.2</v>
      </c>
      <c r="X20" s="55">
        <v>48.8</v>
      </c>
      <c r="Y20" s="54">
        <v>39.200000000000003</v>
      </c>
      <c r="Z20" s="54">
        <v>43.1</v>
      </c>
      <c r="AA20" s="56">
        <v>43.4</v>
      </c>
      <c r="AB20" s="54">
        <v>51.3</v>
      </c>
      <c r="AC20" s="54">
        <v>56.7</v>
      </c>
      <c r="AD20" s="55">
        <v>62</v>
      </c>
      <c r="AE20" s="54">
        <v>69</v>
      </c>
      <c r="AF20" s="55">
        <v>0</v>
      </c>
      <c r="AG20" s="55">
        <v>0</v>
      </c>
      <c r="AH20" s="55">
        <v>0</v>
      </c>
      <c r="AI20" s="54">
        <v>0</v>
      </c>
      <c r="AJ20" s="70">
        <v>0</v>
      </c>
      <c r="AK20" s="70"/>
      <c r="AL20" s="70"/>
      <c r="AM20" s="70"/>
      <c r="AN20" s="179"/>
      <c r="AO20" s="70"/>
      <c r="AP20" s="70"/>
      <c r="AQ20" s="70"/>
      <c r="AR20" s="70"/>
      <c r="AS20" s="70"/>
      <c r="AT20" s="70"/>
      <c r="AU20" s="70"/>
      <c r="AV20" s="53"/>
      <c r="AW20" s="53"/>
      <c r="AX20" s="53"/>
      <c r="AY20" s="10" t="s">
        <v>383</v>
      </c>
      <c r="BF20" s="26"/>
      <c r="BG20" s="10"/>
      <c r="BN20" s="10" t="s">
        <v>33</v>
      </c>
      <c r="BO20" s="10" t="s">
        <v>332</v>
      </c>
      <c r="BP20" s="10" t="s">
        <v>194</v>
      </c>
      <c r="BQ20" s="10" t="s">
        <v>194</v>
      </c>
      <c r="BR20" s="19" t="s">
        <v>194</v>
      </c>
    </row>
    <row r="21" spans="2:70" x14ac:dyDescent="0.2">
      <c r="V21" s="57"/>
      <c r="AF21" s="55"/>
      <c r="AG21" s="55"/>
      <c r="AH21" s="55"/>
      <c r="AI21" s="54"/>
      <c r="AJ21" s="70"/>
      <c r="AK21" s="70"/>
      <c r="AL21" s="70"/>
      <c r="AM21" s="70"/>
      <c r="AN21" s="179"/>
      <c r="AO21" s="70"/>
      <c r="AP21" s="70"/>
      <c r="AQ21" s="70"/>
      <c r="AR21" s="70"/>
      <c r="AS21" s="70"/>
      <c r="AT21" s="70"/>
      <c r="AU21" s="70"/>
      <c r="AV21" s="53"/>
      <c r="AW21" s="53"/>
      <c r="AX21" s="53">
        <v>45</v>
      </c>
      <c r="AY21" s="10" t="s">
        <v>441</v>
      </c>
      <c r="BF21" s="26"/>
      <c r="BG21" s="10"/>
    </row>
    <row r="22" spans="2:70" x14ac:dyDescent="0.2">
      <c r="V22" s="57"/>
      <c r="AF22" s="55"/>
      <c r="AG22" s="55"/>
      <c r="AH22" s="55"/>
      <c r="AI22" s="54"/>
      <c r="AJ22" s="70"/>
      <c r="AK22" s="70"/>
      <c r="AL22" s="70"/>
      <c r="AM22" s="70"/>
      <c r="AN22" s="179"/>
      <c r="AO22" s="70"/>
      <c r="AP22" s="70"/>
      <c r="AQ22" s="70"/>
      <c r="AR22" s="70"/>
      <c r="AS22" s="70"/>
      <c r="AT22" s="70"/>
      <c r="AU22" s="70"/>
      <c r="AV22" s="53"/>
      <c r="AW22" s="53"/>
      <c r="AX22" s="53">
        <v>63</v>
      </c>
      <c r="AY22" s="10" t="s">
        <v>442</v>
      </c>
      <c r="BF22" s="26"/>
      <c r="BG22" s="10"/>
    </row>
    <row r="23" spans="2:70" x14ac:dyDescent="0.2">
      <c r="V23" s="57"/>
      <c r="AF23" s="55"/>
      <c r="AG23" s="55"/>
      <c r="AH23" s="55"/>
      <c r="AI23" s="54"/>
      <c r="AJ23" s="70"/>
      <c r="AK23" s="70"/>
      <c r="AL23" s="70"/>
      <c r="AM23" s="70"/>
      <c r="AN23" s="179"/>
      <c r="AO23" s="70"/>
      <c r="AP23" s="70"/>
      <c r="AQ23" s="70"/>
      <c r="AR23" s="70"/>
      <c r="AS23" s="70"/>
      <c r="AT23" s="70"/>
      <c r="AU23" s="70"/>
      <c r="AV23" s="53"/>
      <c r="AW23" s="53"/>
      <c r="AX23" s="53"/>
      <c r="AY23" s="10" t="s">
        <v>443</v>
      </c>
      <c r="BF23" s="26"/>
      <c r="BG23" s="10"/>
    </row>
    <row r="24" spans="2:70" x14ac:dyDescent="0.2">
      <c r="B24" s="10" t="s">
        <v>58</v>
      </c>
      <c r="E24" s="54">
        <v>0</v>
      </c>
      <c r="F24" s="54">
        <v>0</v>
      </c>
      <c r="G24" s="54">
        <v>0</v>
      </c>
      <c r="H24" s="54">
        <v>0</v>
      </c>
      <c r="I24" s="54">
        <v>13.8</v>
      </c>
      <c r="J24" s="54">
        <v>39</v>
      </c>
      <c r="K24" s="54">
        <v>45.9</v>
      </c>
      <c r="L24" s="54">
        <v>46.2</v>
      </c>
      <c r="M24" s="54">
        <v>50.1</v>
      </c>
      <c r="N24" s="54">
        <v>58.6</v>
      </c>
      <c r="O24" s="54">
        <v>59</v>
      </c>
      <c r="P24" s="54">
        <v>64.3</v>
      </c>
      <c r="Q24" s="54">
        <v>64.3</v>
      </c>
      <c r="R24" s="54">
        <v>65.099999999999994</v>
      </c>
      <c r="S24" s="54">
        <v>58.9</v>
      </c>
      <c r="T24" s="54">
        <v>70.7</v>
      </c>
      <c r="U24" s="55">
        <v>73.900000000000006</v>
      </c>
      <c r="V24" s="55">
        <v>72.7</v>
      </c>
      <c r="W24" s="54">
        <v>66.900000000000006</v>
      </c>
      <c r="X24" s="55">
        <v>68.7</v>
      </c>
      <c r="Y24" s="54">
        <v>66.8</v>
      </c>
      <c r="Z24" s="54">
        <v>69.48</v>
      </c>
      <c r="AA24" s="56">
        <v>75.5</v>
      </c>
      <c r="AB24" s="54">
        <v>80.099999999999994</v>
      </c>
      <c r="AC24" s="54">
        <v>86</v>
      </c>
      <c r="AD24" s="55">
        <v>87.2</v>
      </c>
      <c r="AE24" s="54">
        <v>106</v>
      </c>
      <c r="AF24" s="54">
        <v>105.6</v>
      </c>
      <c r="AG24" s="54">
        <v>105.9</v>
      </c>
      <c r="AH24" s="54">
        <v>129.80000000000001</v>
      </c>
      <c r="AI24" s="54">
        <v>148.6</v>
      </c>
      <c r="AJ24" s="70">
        <v>152</v>
      </c>
      <c r="AK24" s="70">
        <v>10</v>
      </c>
      <c r="AL24" s="70">
        <v>158</v>
      </c>
      <c r="AM24" s="70">
        <f>164.7</f>
        <v>164.7</v>
      </c>
      <c r="AN24" s="179">
        <v>120</v>
      </c>
      <c r="AO24" s="70">
        <v>114.2</v>
      </c>
      <c r="AP24" s="70">
        <v>120</v>
      </c>
      <c r="AQ24" s="70">
        <v>119</v>
      </c>
      <c r="AR24" s="70">
        <v>114.2</v>
      </c>
      <c r="AS24" s="70">
        <v>60</v>
      </c>
      <c r="AT24" s="70">
        <v>60</v>
      </c>
      <c r="AU24" s="70">
        <v>61.1</v>
      </c>
      <c r="AV24" s="53">
        <v>59.1</v>
      </c>
      <c r="AW24" s="53">
        <v>61.5</v>
      </c>
      <c r="AX24" s="53">
        <v>66.8</v>
      </c>
      <c r="AY24" s="10" t="s">
        <v>58</v>
      </c>
      <c r="BG24" s="10"/>
      <c r="BN24" s="10" t="s">
        <v>34</v>
      </c>
      <c r="BO24" s="10" t="s">
        <v>310</v>
      </c>
      <c r="BP24" s="10" t="s">
        <v>194</v>
      </c>
      <c r="BQ24" s="10" t="s">
        <v>194</v>
      </c>
      <c r="BR24" s="19" t="s">
        <v>194</v>
      </c>
    </row>
    <row r="25" spans="2:70" x14ac:dyDescent="0.2">
      <c r="B25" s="10" t="s">
        <v>59</v>
      </c>
      <c r="E25" s="54">
        <v>0</v>
      </c>
      <c r="F25" s="54">
        <v>0</v>
      </c>
      <c r="G25" s="54">
        <v>0</v>
      </c>
      <c r="H25" s="54">
        <v>0</v>
      </c>
      <c r="I25" s="54">
        <v>0</v>
      </c>
      <c r="J25" s="54">
        <v>0</v>
      </c>
      <c r="K25" s="54">
        <v>0.15</v>
      </c>
      <c r="L25" s="54">
        <v>9.3000000000000007</v>
      </c>
      <c r="M25" s="54">
        <v>6.2</v>
      </c>
      <c r="N25" s="54">
        <v>3.4</v>
      </c>
      <c r="O25" s="54">
        <v>18.2</v>
      </c>
      <c r="P25" s="54">
        <v>21.8</v>
      </c>
      <c r="Q25" s="54">
        <v>12</v>
      </c>
      <c r="R25" s="54">
        <v>15.8</v>
      </c>
      <c r="S25" s="54">
        <v>10.4</v>
      </c>
      <c r="T25" s="54">
        <v>4.5</v>
      </c>
      <c r="U25" s="55">
        <v>3.8</v>
      </c>
      <c r="V25" s="55">
        <v>5</v>
      </c>
      <c r="W25" s="54">
        <v>4</v>
      </c>
      <c r="X25" s="55">
        <v>2</v>
      </c>
      <c r="Y25" s="54">
        <v>2.5</v>
      </c>
      <c r="Z25" s="54">
        <v>2.6</v>
      </c>
      <c r="AA25" s="56">
        <v>2.6</v>
      </c>
      <c r="AB25" s="54">
        <v>3.9</v>
      </c>
      <c r="AC25" s="54">
        <v>13.5</v>
      </c>
      <c r="AD25" s="55">
        <v>6.95</v>
      </c>
      <c r="AE25" s="54">
        <v>6.9</v>
      </c>
      <c r="AF25" s="54">
        <v>6.9</v>
      </c>
      <c r="AG25" s="54">
        <v>19.8</v>
      </c>
      <c r="AH25" s="54">
        <v>12</v>
      </c>
      <c r="AI25" s="54">
        <v>12.9</v>
      </c>
      <c r="AJ25" s="70">
        <v>18</v>
      </c>
      <c r="AK25" s="70"/>
      <c r="AL25" s="70">
        <v>20</v>
      </c>
      <c r="AM25" s="70">
        <v>20</v>
      </c>
      <c r="AN25" s="179">
        <v>16.8</v>
      </c>
      <c r="AO25" s="70">
        <v>16</v>
      </c>
      <c r="AP25" s="70">
        <v>16</v>
      </c>
      <c r="AQ25" s="70">
        <v>15.8</v>
      </c>
      <c r="AR25" s="70">
        <v>15.8</v>
      </c>
      <c r="AS25" s="70">
        <v>40.5</v>
      </c>
      <c r="AT25" s="70">
        <v>45</v>
      </c>
      <c r="AU25" s="70">
        <v>45</v>
      </c>
      <c r="AV25" s="53">
        <v>50</v>
      </c>
      <c r="AW25" s="53">
        <v>55</v>
      </c>
      <c r="AX25" s="53">
        <v>78</v>
      </c>
      <c r="AY25" s="5" t="s">
        <v>415</v>
      </c>
      <c r="BG25" s="10"/>
      <c r="BN25" s="10" t="s">
        <v>376</v>
      </c>
      <c r="BO25" s="10" t="s">
        <v>311</v>
      </c>
      <c r="BP25" s="10" t="s">
        <v>194</v>
      </c>
      <c r="BQ25" s="10" t="s">
        <v>194</v>
      </c>
      <c r="BR25" s="19" t="s">
        <v>194</v>
      </c>
    </row>
    <row r="26" spans="2:70" x14ac:dyDescent="0.2">
      <c r="B26" s="10" t="s">
        <v>174</v>
      </c>
      <c r="X26" s="55">
        <v>5</v>
      </c>
      <c r="Y26" s="54">
        <v>5</v>
      </c>
      <c r="Z26" s="54">
        <v>5</v>
      </c>
      <c r="AA26" s="56">
        <v>5</v>
      </c>
      <c r="AB26" s="54">
        <v>5.2</v>
      </c>
      <c r="AC26" s="54">
        <v>5.2</v>
      </c>
      <c r="AD26" s="55">
        <v>6</v>
      </c>
      <c r="AE26" s="54">
        <v>9.9</v>
      </c>
      <c r="AF26" s="54">
        <v>9.9</v>
      </c>
      <c r="AG26" s="54">
        <v>8</v>
      </c>
      <c r="AH26" s="54">
        <v>0</v>
      </c>
      <c r="AI26" s="54">
        <v>0</v>
      </c>
      <c r="AJ26" s="70">
        <v>0</v>
      </c>
      <c r="AK26" s="70"/>
      <c r="AL26" s="114"/>
      <c r="AM26" s="114"/>
      <c r="AN26" s="236"/>
      <c r="AO26" s="114"/>
      <c r="AP26" s="114"/>
      <c r="AQ26" s="114"/>
      <c r="AR26" s="114"/>
      <c r="AS26" s="114"/>
      <c r="AT26" s="114"/>
      <c r="AU26" s="114"/>
      <c r="AV26" s="140"/>
      <c r="AW26" s="140"/>
      <c r="AX26" s="140"/>
      <c r="AY26" s="10" t="s">
        <v>174</v>
      </c>
      <c r="BG26" s="10"/>
      <c r="BN26" s="10" t="s">
        <v>303</v>
      </c>
      <c r="BO26" s="10" t="s">
        <v>312</v>
      </c>
      <c r="BP26" s="10" t="s">
        <v>194</v>
      </c>
      <c r="BQ26" s="10" t="s">
        <v>194</v>
      </c>
      <c r="BR26" s="19" t="s">
        <v>194</v>
      </c>
    </row>
    <row r="27" spans="2:70" x14ac:dyDescent="0.2">
      <c r="B27" s="10" t="s">
        <v>60</v>
      </c>
      <c r="E27" s="54">
        <v>0</v>
      </c>
      <c r="F27" s="54">
        <v>0</v>
      </c>
      <c r="G27" s="54">
        <v>0</v>
      </c>
      <c r="H27" s="54">
        <v>0</v>
      </c>
      <c r="I27" s="54">
        <v>0</v>
      </c>
      <c r="J27" s="54">
        <v>0</v>
      </c>
      <c r="K27" s="54">
        <v>0</v>
      </c>
      <c r="L27" s="54">
        <v>0</v>
      </c>
      <c r="M27" s="54">
        <v>0</v>
      </c>
      <c r="N27" s="54">
        <v>0</v>
      </c>
      <c r="O27" s="54">
        <v>0</v>
      </c>
      <c r="P27" s="54">
        <v>0</v>
      </c>
      <c r="Q27" s="54">
        <v>4.5999999999999996</v>
      </c>
      <c r="R27" s="54">
        <v>11.9</v>
      </c>
      <c r="S27" s="54">
        <v>10.7</v>
      </c>
      <c r="T27" s="54">
        <v>9.9</v>
      </c>
      <c r="U27" s="55">
        <v>9.6</v>
      </c>
      <c r="V27" s="55">
        <v>8.9</v>
      </c>
      <c r="W27" s="54">
        <v>6.2</v>
      </c>
      <c r="X27" s="55">
        <v>5.4</v>
      </c>
      <c r="Y27" s="54">
        <v>5.7</v>
      </c>
      <c r="Z27" s="54">
        <v>6.7</v>
      </c>
      <c r="AA27" s="56">
        <v>7.2</v>
      </c>
      <c r="AB27" s="54">
        <v>7.9</v>
      </c>
      <c r="AC27" s="54">
        <v>8</v>
      </c>
      <c r="AD27" s="55">
        <v>8</v>
      </c>
      <c r="AE27" s="54">
        <v>8.1</v>
      </c>
      <c r="AF27" s="54">
        <v>8.1</v>
      </c>
      <c r="AG27" s="54">
        <v>5.8</v>
      </c>
      <c r="AH27" s="54">
        <v>0</v>
      </c>
      <c r="AI27" s="54">
        <v>4.8</v>
      </c>
      <c r="AJ27" s="70">
        <v>4.9000000000000004</v>
      </c>
      <c r="AK27" s="70"/>
      <c r="AL27" s="114">
        <v>5</v>
      </c>
      <c r="AM27" s="114">
        <v>0</v>
      </c>
      <c r="AN27" s="236"/>
      <c r="AO27" s="114"/>
      <c r="AP27" s="114"/>
      <c r="AQ27" s="114"/>
      <c r="AR27" s="114"/>
      <c r="AS27" s="114"/>
      <c r="AT27" s="114"/>
      <c r="AU27" s="114"/>
      <c r="AV27" s="140"/>
      <c r="AW27" s="140"/>
      <c r="AX27" s="140"/>
      <c r="AY27" s="10" t="s">
        <v>60</v>
      </c>
      <c r="BG27" s="10"/>
      <c r="BN27" s="10" t="s">
        <v>304</v>
      </c>
      <c r="BO27" s="10" t="s">
        <v>313</v>
      </c>
      <c r="BP27" s="10" t="s">
        <v>194</v>
      </c>
      <c r="BQ27" s="10" t="s">
        <v>194</v>
      </c>
      <c r="BR27" s="19" t="s">
        <v>194</v>
      </c>
    </row>
    <row r="28" spans="2:70" x14ac:dyDescent="0.2">
      <c r="B28" s="10" t="s">
        <v>61</v>
      </c>
      <c r="E28" s="54">
        <v>0</v>
      </c>
      <c r="F28" s="54">
        <v>0</v>
      </c>
      <c r="G28" s="54">
        <v>0</v>
      </c>
      <c r="H28" s="54">
        <v>0</v>
      </c>
      <c r="I28" s="54">
        <v>0</v>
      </c>
      <c r="J28" s="54">
        <v>0</v>
      </c>
      <c r="K28" s="54">
        <v>0</v>
      </c>
      <c r="L28" s="54">
        <v>1.4</v>
      </c>
      <c r="M28" s="54">
        <v>0.5</v>
      </c>
      <c r="N28" s="54">
        <v>0.2</v>
      </c>
      <c r="O28" s="54">
        <v>0.2</v>
      </c>
      <c r="P28" s="54">
        <v>0.2</v>
      </c>
      <c r="Q28" s="54">
        <v>0.2</v>
      </c>
      <c r="R28" s="54">
        <v>0.3</v>
      </c>
      <c r="S28" s="54">
        <v>0.2</v>
      </c>
      <c r="T28" s="54">
        <v>0</v>
      </c>
      <c r="U28" s="55">
        <v>0</v>
      </c>
      <c r="V28" s="55">
        <v>0</v>
      </c>
      <c r="X28" s="55">
        <v>0</v>
      </c>
      <c r="AI28" s="54"/>
      <c r="AJ28" s="70"/>
      <c r="AK28" s="70"/>
      <c r="AL28" s="114"/>
      <c r="AM28" s="114"/>
      <c r="AN28" s="236"/>
      <c r="AO28" s="114"/>
      <c r="AP28" s="114"/>
      <c r="AQ28" s="114"/>
      <c r="AR28" s="114"/>
      <c r="AS28" s="114"/>
      <c r="AT28" s="114"/>
      <c r="AU28" s="114"/>
      <c r="AV28" s="140"/>
      <c r="AW28" s="140"/>
      <c r="AX28" s="140"/>
      <c r="AY28" s="10" t="s">
        <v>61</v>
      </c>
    </row>
    <row r="29" spans="2:70" x14ac:dyDescent="0.2">
      <c r="B29" s="10" t="s">
        <v>62</v>
      </c>
      <c r="E29" s="54">
        <v>0</v>
      </c>
      <c r="F29" s="54">
        <v>0</v>
      </c>
      <c r="G29" s="54">
        <v>0</v>
      </c>
      <c r="H29" s="54">
        <v>2.8</v>
      </c>
      <c r="I29" s="54">
        <v>0</v>
      </c>
      <c r="J29" s="54">
        <v>0</v>
      </c>
      <c r="K29" s="54">
        <v>0</v>
      </c>
      <c r="L29" s="54">
        <v>0</v>
      </c>
      <c r="M29" s="54">
        <v>0</v>
      </c>
      <c r="N29" s="54">
        <v>0</v>
      </c>
      <c r="O29" s="54">
        <v>0</v>
      </c>
      <c r="P29" s="54">
        <v>0</v>
      </c>
      <c r="Q29" s="54">
        <v>0</v>
      </c>
      <c r="R29" s="54">
        <v>0</v>
      </c>
      <c r="S29" s="54">
        <v>0</v>
      </c>
      <c r="T29" s="54">
        <v>0</v>
      </c>
      <c r="U29" s="55">
        <v>0</v>
      </c>
      <c r="V29" s="55">
        <v>0</v>
      </c>
      <c r="X29" s="55">
        <v>0</v>
      </c>
      <c r="AI29" s="54"/>
      <c r="AJ29" s="70"/>
      <c r="AK29" s="70"/>
      <c r="AL29" s="114"/>
      <c r="AM29" s="114"/>
      <c r="AN29" s="236"/>
      <c r="AO29" s="114"/>
      <c r="AP29" s="114"/>
      <c r="AQ29" s="114"/>
      <c r="AR29" s="114"/>
      <c r="AS29" s="114"/>
      <c r="AT29" s="114"/>
      <c r="AU29" s="114"/>
      <c r="AV29" s="140"/>
      <c r="AW29" s="140"/>
      <c r="AX29" s="140"/>
      <c r="AY29" s="10" t="s">
        <v>62</v>
      </c>
    </row>
    <row r="30" spans="2:70" x14ac:dyDescent="0.2">
      <c r="B30" s="10" t="s">
        <v>168</v>
      </c>
      <c r="AC30" s="54">
        <v>6</v>
      </c>
      <c r="AD30" s="55">
        <v>2.4</v>
      </c>
      <c r="AI30" s="54"/>
      <c r="AJ30" s="70"/>
      <c r="AK30" s="70"/>
      <c r="AL30" s="114"/>
      <c r="AM30" s="114"/>
      <c r="AN30" s="236"/>
      <c r="AO30" s="114"/>
      <c r="AP30" s="114"/>
      <c r="AQ30" s="114"/>
      <c r="AR30" s="114"/>
      <c r="AS30" s="114"/>
      <c r="AT30" s="114"/>
      <c r="AU30" s="114"/>
      <c r="AV30" s="140"/>
      <c r="AW30" s="140"/>
      <c r="AX30" s="140"/>
      <c r="AY30" s="10" t="s">
        <v>168</v>
      </c>
      <c r="BN30" s="10" t="s">
        <v>305</v>
      </c>
      <c r="BO30" s="10" t="s">
        <v>314</v>
      </c>
    </row>
    <row r="31" spans="2:70" x14ac:dyDescent="0.2">
      <c r="B31" s="10" t="s">
        <v>165</v>
      </c>
      <c r="AA31" s="56">
        <v>13.1</v>
      </c>
      <c r="AI31" s="54"/>
      <c r="AJ31" s="70"/>
      <c r="AK31" s="70"/>
      <c r="AL31" s="114"/>
      <c r="AM31" s="114"/>
      <c r="AN31" s="236"/>
      <c r="AO31" s="114"/>
      <c r="AP31" s="114"/>
      <c r="AQ31" s="114"/>
      <c r="AR31" s="114"/>
      <c r="AS31" s="114"/>
      <c r="AT31" s="114"/>
      <c r="AU31" s="114"/>
      <c r="AV31" s="140"/>
      <c r="AW31" s="140"/>
      <c r="AX31" s="140"/>
      <c r="AY31" s="10" t="s">
        <v>165</v>
      </c>
    </row>
    <row r="32" spans="2:70" x14ac:dyDescent="0.2">
      <c r="B32" s="10" t="s">
        <v>255</v>
      </c>
      <c r="AH32" s="55"/>
      <c r="AI32" s="55">
        <v>46.8</v>
      </c>
      <c r="AJ32" s="55">
        <v>42.6</v>
      </c>
      <c r="AK32" s="70">
        <v>0</v>
      </c>
      <c r="AL32" s="114">
        <v>35.9</v>
      </c>
      <c r="AM32" s="114"/>
      <c r="AN32" s="236"/>
      <c r="AO32" s="114"/>
      <c r="AP32" s="114"/>
      <c r="AQ32" s="114"/>
      <c r="AR32" s="114"/>
      <c r="AS32" s="114"/>
      <c r="AT32" s="114"/>
      <c r="AU32" s="114"/>
      <c r="AV32" s="140"/>
      <c r="AW32" s="140"/>
      <c r="AX32" s="140"/>
      <c r="AY32" s="10" t="s">
        <v>255</v>
      </c>
    </row>
    <row r="33" spans="1:70" x14ac:dyDescent="0.2">
      <c r="B33" s="10" t="s">
        <v>63</v>
      </c>
      <c r="E33" s="54">
        <v>0</v>
      </c>
      <c r="F33" s="54">
        <v>-78</v>
      </c>
      <c r="G33" s="54">
        <v>-12</v>
      </c>
      <c r="H33" s="54">
        <v>173</v>
      </c>
      <c r="I33" s="54">
        <v>-149.1</v>
      </c>
      <c r="J33" s="54">
        <v>-93.8</v>
      </c>
      <c r="K33" s="54">
        <v>-69.400000000000006</v>
      </c>
      <c r="L33" s="54">
        <v>-60.4</v>
      </c>
      <c r="M33" s="54">
        <v>-31.1</v>
      </c>
      <c r="N33" s="54">
        <v>-6</v>
      </c>
      <c r="O33" s="54">
        <v>-27</v>
      </c>
      <c r="P33" s="54">
        <v>-1</v>
      </c>
      <c r="Q33" s="54">
        <v>-1.6</v>
      </c>
      <c r="R33" s="54">
        <v>-6.7</v>
      </c>
      <c r="S33" s="54">
        <v>-10.9</v>
      </c>
      <c r="T33" s="54">
        <v>-13.8</v>
      </c>
      <c r="U33" s="55">
        <v>-12.2</v>
      </c>
      <c r="V33" s="55">
        <v>-16.899999999999999</v>
      </c>
      <c r="W33" s="54">
        <v>-7.6</v>
      </c>
      <c r="X33" s="55">
        <v>-1.1000000000000001</v>
      </c>
      <c r="Y33" s="54">
        <v>-0.06</v>
      </c>
      <c r="Z33" s="54">
        <v>-0.7</v>
      </c>
      <c r="AA33" s="56">
        <v>0</v>
      </c>
      <c r="AB33" s="54">
        <f>-4.4-95</f>
        <v>-99.4</v>
      </c>
      <c r="AC33" s="54">
        <f>-9.45-33.7</f>
        <v>-43.150000000000006</v>
      </c>
      <c r="AD33" s="55">
        <v>0</v>
      </c>
      <c r="AE33" s="54">
        <v>0</v>
      </c>
      <c r="AF33" s="54">
        <v>-1.1000000000000001</v>
      </c>
      <c r="AG33" s="54">
        <v>0</v>
      </c>
      <c r="AH33" s="55">
        <v>0</v>
      </c>
      <c r="AI33" s="55">
        <v>0</v>
      </c>
      <c r="AJ33" s="55">
        <v>-70.3</v>
      </c>
      <c r="AK33" s="114">
        <v>0</v>
      </c>
      <c r="AL33" s="114">
        <v>0</v>
      </c>
      <c r="AM33" s="114">
        <v>-151</v>
      </c>
      <c r="AN33" s="236">
        <v>-187</v>
      </c>
      <c r="AO33" s="114">
        <v>0</v>
      </c>
      <c r="AP33" s="114">
        <v>-8.5</v>
      </c>
      <c r="AQ33" s="114">
        <v>-10.4</v>
      </c>
      <c r="AR33" s="114">
        <v>0</v>
      </c>
      <c r="AS33" s="114">
        <v>-14</v>
      </c>
      <c r="AT33" s="114">
        <v>0</v>
      </c>
      <c r="AU33" s="114">
        <v>0</v>
      </c>
      <c r="AV33" s="140">
        <v>0</v>
      </c>
      <c r="AW33" s="140">
        <v>0</v>
      </c>
      <c r="AX33" s="140">
        <v>0</v>
      </c>
      <c r="AY33" s="10" t="s">
        <v>63</v>
      </c>
      <c r="BG33" s="10"/>
      <c r="BL33" s="10" t="s">
        <v>199</v>
      </c>
      <c r="BN33" s="10" t="s">
        <v>275</v>
      </c>
      <c r="BO33" s="10" t="s">
        <v>295</v>
      </c>
    </row>
    <row r="34" spans="1:70" x14ac:dyDescent="0.2">
      <c r="A34" s="27"/>
      <c r="B34" s="5"/>
      <c r="C34" s="5"/>
      <c r="D34" s="5"/>
      <c r="E34" s="55"/>
      <c r="F34" s="55"/>
      <c r="G34" s="55"/>
      <c r="H34" s="55"/>
      <c r="I34" s="55"/>
      <c r="J34" s="55"/>
      <c r="K34" s="55"/>
      <c r="L34" s="55"/>
      <c r="M34" s="55"/>
      <c r="N34" s="55"/>
      <c r="O34" s="55"/>
      <c r="P34" s="55"/>
      <c r="Q34" s="55"/>
      <c r="R34" s="55"/>
      <c r="S34" s="55"/>
      <c r="T34" s="55"/>
      <c r="W34" s="55"/>
      <c r="Y34" s="55"/>
      <c r="Z34" s="55"/>
      <c r="AA34" s="55"/>
      <c r="AB34" s="55"/>
      <c r="AC34" s="55"/>
      <c r="AI34" s="54"/>
      <c r="AJ34" s="54"/>
      <c r="AK34" s="70"/>
      <c r="AL34" s="70"/>
      <c r="AM34" s="70"/>
      <c r="AN34" s="179"/>
      <c r="AO34" s="70"/>
      <c r="AP34" s="70"/>
      <c r="AQ34" s="70"/>
      <c r="AR34" s="70"/>
      <c r="AS34" s="70"/>
      <c r="AT34" s="70"/>
      <c r="AU34" s="70"/>
      <c r="AV34" s="53"/>
      <c r="AW34" s="53"/>
      <c r="AX34" s="53"/>
    </row>
    <row r="35" spans="1:70" s="1" customFormat="1" ht="10.5" x14ac:dyDescent="0.25">
      <c r="A35" s="28" t="s">
        <v>64</v>
      </c>
      <c r="B35" s="11"/>
      <c r="C35" s="11"/>
      <c r="D35" s="11"/>
      <c r="E35" s="58">
        <f t="shared" ref="E35:AE35" si="2">SUM(E15:E33)</f>
        <v>765.4</v>
      </c>
      <c r="F35" s="58">
        <f t="shared" si="2"/>
        <v>760.59999999999991</v>
      </c>
      <c r="G35" s="58">
        <f t="shared" si="2"/>
        <v>835.30000000000007</v>
      </c>
      <c r="H35" s="58">
        <f t="shared" si="2"/>
        <v>994.3</v>
      </c>
      <c r="I35" s="58">
        <f t="shared" si="2"/>
        <v>417.79999999999995</v>
      </c>
      <c r="J35" s="58">
        <f t="shared" si="2"/>
        <v>217.09999999999997</v>
      </c>
      <c r="K35" s="58">
        <f t="shared" si="2"/>
        <v>261.54999999999995</v>
      </c>
      <c r="L35" s="58">
        <f t="shared" si="2"/>
        <v>289</v>
      </c>
      <c r="M35" s="58">
        <f t="shared" si="2"/>
        <v>309.39999999999998</v>
      </c>
      <c r="N35" s="58">
        <f t="shared" si="2"/>
        <v>293.2</v>
      </c>
      <c r="O35" s="58">
        <f t="shared" si="2"/>
        <v>324.2</v>
      </c>
      <c r="P35" s="58">
        <f t="shared" si="2"/>
        <v>377.3</v>
      </c>
      <c r="Q35" s="58">
        <f t="shared" si="2"/>
        <v>409</v>
      </c>
      <c r="R35" s="58">
        <f t="shared" si="2"/>
        <v>451.09999999999997</v>
      </c>
      <c r="S35" s="58">
        <f t="shared" si="2"/>
        <v>414.59999999999997</v>
      </c>
      <c r="T35" s="58">
        <f t="shared" si="2"/>
        <v>398.59999999999991</v>
      </c>
      <c r="U35" s="59">
        <f t="shared" si="2"/>
        <v>410.1</v>
      </c>
      <c r="V35" s="59">
        <f t="shared" si="2"/>
        <v>398.84999999999997</v>
      </c>
      <c r="W35" s="58">
        <f t="shared" si="2"/>
        <v>353.8</v>
      </c>
      <c r="X35" s="59">
        <f t="shared" si="2"/>
        <v>343.4</v>
      </c>
      <c r="Y35" s="58">
        <f t="shared" si="2"/>
        <v>341.44</v>
      </c>
      <c r="Z35" s="58">
        <f t="shared" si="2"/>
        <v>363.36000000000007</v>
      </c>
      <c r="AA35" s="56">
        <f t="shared" si="2"/>
        <v>397.6</v>
      </c>
      <c r="AB35" s="58">
        <f t="shared" si="2"/>
        <v>426.29999999999995</v>
      </c>
      <c r="AC35" s="58">
        <f t="shared" si="2"/>
        <v>565.55000000000007</v>
      </c>
      <c r="AD35" s="59">
        <f t="shared" si="2"/>
        <v>598.03000000000009</v>
      </c>
      <c r="AE35" s="58">
        <f t="shared" si="2"/>
        <v>643.9</v>
      </c>
      <c r="AF35" s="58">
        <f t="shared" ref="AF35:AL35" si="3">SUM(AF15:AF34)</f>
        <v>548.5</v>
      </c>
      <c r="AG35" s="58">
        <f t="shared" si="3"/>
        <v>570.4849999999999</v>
      </c>
      <c r="AH35" s="58">
        <f t="shared" si="3"/>
        <v>570.5</v>
      </c>
      <c r="AI35" s="58">
        <f t="shared" si="3"/>
        <v>717.19999999999982</v>
      </c>
      <c r="AJ35" s="111">
        <f t="shared" si="3"/>
        <v>852.8</v>
      </c>
      <c r="AK35" s="111">
        <f>SUM(AK15:AK34)</f>
        <v>3398.6</v>
      </c>
      <c r="AL35" s="111">
        <f t="shared" si="3"/>
        <v>649.29999999999995</v>
      </c>
      <c r="AM35" s="111">
        <f t="shared" ref="AM35:AR35" si="4">SUM(AM15:AM34)</f>
        <v>423.38799999999992</v>
      </c>
      <c r="AN35" s="185">
        <f t="shared" si="4"/>
        <v>328.59999999999991</v>
      </c>
      <c r="AO35" s="111">
        <f t="shared" si="4"/>
        <v>500.40000000000003</v>
      </c>
      <c r="AP35" s="111">
        <f t="shared" si="4"/>
        <v>555.30000000000007</v>
      </c>
      <c r="AQ35" s="111">
        <f t="shared" si="4"/>
        <v>542.49999999999989</v>
      </c>
      <c r="AR35" s="111">
        <f t="shared" si="4"/>
        <v>623.29999999999995</v>
      </c>
      <c r="AS35" s="111">
        <f t="shared" ref="AS35:AX35" si="5">SUM(AS15:AS34)</f>
        <v>574.29999999999995</v>
      </c>
      <c r="AT35" s="111">
        <f t="shared" si="5"/>
        <v>617.20000000000005</v>
      </c>
      <c r="AU35" s="111">
        <f t="shared" si="5"/>
        <v>689.7</v>
      </c>
      <c r="AV35" s="111">
        <f t="shared" si="5"/>
        <v>696.9</v>
      </c>
      <c r="AW35" s="111">
        <f t="shared" si="5"/>
        <v>666.3</v>
      </c>
      <c r="AX35" s="111">
        <f t="shared" si="5"/>
        <v>806.3</v>
      </c>
      <c r="AY35" s="11" t="s">
        <v>64</v>
      </c>
      <c r="AZ35" s="11"/>
      <c r="BA35" s="11"/>
      <c r="BB35" s="11"/>
      <c r="BC35" s="11"/>
      <c r="BD35" s="11"/>
      <c r="BE35" s="11"/>
      <c r="BF35" s="29"/>
      <c r="BG35" s="29"/>
      <c r="BH35" s="11"/>
      <c r="BI35" s="11"/>
      <c r="BJ35" s="11"/>
      <c r="BK35" s="11"/>
      <c r="BL35" s="11"/>
      <c r="BM35" s="10" t="s">
        <v>222</v>
      </c>
      <c r="BN35" s="11"/>
      <c r="BO35" s="11"/>
      <c r="BP35" s="11"/>
      <c r="BQ35" s="11"/>
      <c r="BR35" s="30"/>
    </row>
    <row r="36" spans="1:70" s="6" customFormat="1" x14ac:dyDescent="0.2">
      <c r="A36" s="31" t="s">
        <v>65</v>
      </c>
      <c r="B36" s="7"/>
      <c r="C36" s="7"/>
      <c r="D36" s="7"/>
      <c r="E36" s="60">
        <v>9.1999999999999993</v>
      </c>
      <c r="F36" s="60">
        <v>2.2999999999999998</v>
      </c>
      <c r="G36" s="60">
        <v>0</v>
      </c>
      <c r="H36" s="60">
        <v>0</v>
      </c>
      <c r="I36" s="60">
        <v>0</v>
      </c>
      <c r="J36" s="60">
        <v>0</v>
      </c>
      <c r="K36" s="60">
        <v>0.1</v>
      </c>
      <c r="L36" s="60">
        <v>0</v>
      </c>
      <c r="M36" s="60">
        <v>0</v>
      </c>
      <c r="N36" s="60">
        <v>0</v>
      </c>
      <c r="O36" s="60">
        <v>0</v>
      </c>
      <c r="P36" s="60">
        <v>0</v>
      </c>
      <c r="Q36" s="60">
        <v>3.8</v>
      </c>
      <c r="R36" s="60">
        <v>3.7</v>
      </c>
      <c r="S36" s="60">
        <v>15.9</v>
      </c>
      <c r="T36" s="60">
        <v>15.4</v>
      </c>
      <c r="U36" s="60">
        <v>15.9</v>
      </c>
      <c r="V36" s="60">
        <v>18.2</v>
      </c>
      <c r="W36" s="60">
        <v>61.4</v>
      </c>
      <c r="X36" s="60">
        <f>20.3-5</f>
        <v>15.3</v>
      </c>
      <c r="Y36" s="60">
        <f>12.9+2.2</f>
        <v>15.100000000000001</v>
      </c>
      <c r="Z36" s="60">
        <f>11</f>
        <v>11</v>
      </c>
      <c r="AA36" s="60">
        <f>10</f>
        <v>10</v>
      </c>
      <c r="AB36" s="60">
        <f>9.98</f>
        <v>9.98</v>
      </c>
      <c r="AC36" s="60">
        <f>9.9</f>
        <v>9.9</v>
      </c>
      <c r="AD36" s="60">
        <f>9.7</f>
        <v>9.6999999999999993</v>
      </c>
      <c r="AE36" s="60">
        <f>9.6</f>
        <v>9.6</v>
      </c>
      <c r="AF36" s="60">
        <v>9.5</v>
      </c>
      <c r="AG36" s="60">
        <v>8</v>
      </c>
      <c r="AH36" s="60">
        <v>9.6999999999999993</v>
      </c>
      <c r="AI36" s="60">
        <v>9.5</v>
      </c>
      <c r="AJ36" s="60">
        <v>9.6999999999999993</v>
      </c>
      <c r="AK36" s="60"/>
      <c r="AL36" s="60">
        <v>10</v>
      </c>
      <c r="AM36" s="60"/>
      <c r="AN36" s="173"/>
      <c r="AO36" s="60"/>
      <c r="AP36" s="60"/>
      <c r="AQ36" s="60"/>
      <c r="AR36" s="60"/>
      <c r="AS36" s="60"/>
      <c r="AT36" s="60"/>
      <c r="AU36" s="60"/>
      <c r="AV36" s="60"/>
      <c r="AW36" s="60"/>
      <c r="AX36" s="60"/>
      <c r="AY36" s="7" t="s">
        <v>155</v>
      </c>
      <c r="AZ36" s="7"/>
      <c r="BA36" s="7"/>
      <c r="BB36" s="7"/>
      <c r="BC36" s="7"/>
      <c r="BD36" s="7"/>
      <c r="BE36" s="7"/>
      <c r="BF36" s="7"/>
      <c r="BG36" s="7"/>
      <c r="BH36" s="7"/>
      <c r="BI36" s="7"/>
      <c r="BJ36" s="7"/>
      <c r="BK36" s="7"/>
      <c r="BL36" s="7"/>
      <c r="BM36" s="7" t="s">
        <v>131</v>
      </c>
      <c r="BN36" s="7" t="s">
        <v>132</v>
      </c>
      <c r="BO36" s="7" t="s">
        <v>121</v>
      </c>
      <c r="BP36" s="7"/>
      <c r="BQ36" s="7"/>
      <c r="BR36" s="38" t="s">
        <v>263</v>
      </c>
    </row>
    <row r="37" spans="1:70" s="8" customFormat="1" ht="10.5" x14ac:dyDescent="0.25">
      <c r="A37" s="32" t="s">
        <v>66</v>
      </c>
      <c r="B37" s="9"/>
      <c r="C37" s="9"/>
      <c r="D37" s="9"/>
      <c r="E37" s="61">
        <v>774.6</v>
      </c>
      <c r="F37" s="61">
        <f t="shared" ref="F37:AI37" si="6">SUM(F35+F36)</f>
        <v>762.89999999999986</v>
      </c>
      <c r="G37" s="61">
        <f t="shared" si="6"/>
        <v>835.30000000000007</v>
      </c>
      <c r="H37" s="61">
        <f t="shared" si="6"/>
        <v>994.3</v>
      </c>
      <c r="I37" s="61">
        <f t="shared" si="6"/>
        <v>417.79999999999995</v>
      </c>
      <c r="J37" s="61">
        <f t="shared" si="6"/>
        <v>217.09999999999997</v>
      </c>
      <c r="K37" s="61">
        <f t="shared" si="6"/>
        <v>261.64999999999998</v>
      </c>
      <c r="L37" s="61">
        <f t="shared" si="6"/>
        <v>289</v>
      </c>
      <c r="M37" s="61">
        <f t="shared" si="6"/>
        <v>309.39999999999998</v>
      </c>
      <c r="N37" s="61">
        <f t="shared" si="6"/>
        <v>293.2</v>
      </c>
      <c r="O37" s="61">
        <f t="shared" si="6"/>
        <v>324.2</v>
      </c>
      <c r="P37" s="61">
        <f t="shared" si="6"/>
        <v>377.3</v>
      </c>
      <c r="Q37" s="61">
        <f t="shared" si="6"/>
        <v>412.8</v>
      </c>
      <c r="R37" s="61">
        <f t="shared" si="6"/>
        <v>454.79999999999995</v>
      </c>
      <c r="S37" s="61">
        <f t="shared" si="6"/>
        <v>430.49999999999994</v>
      </c>
      <c r="T37" s="61">
        <f t="shared" si="6"/>
        <v>413.99999999999989</v>
      </c>
      <c r="U37" s="61">
        <f t="shared" si="6"/>
        <v>426</v>
      </c>
      <c r="V37" s="61">
        <f t="shared" si="6"/>
        <v>417.04999999999995</v>
      </c>
      <c r="W37" s="61">
        <f t="shared" si="6"/>
        <v>415.2</v>
      </c>
      <c r="X37" s="61">
        <f t="shared" si="6"/>
        <v>358.7</v>
      </c>
      <c r="Y37" s="61">
        <f t="shared" si="6"/>
        <v>356.54</v>
      </c>
      <c r="Z37" s="61">
        <f t="shared" si="6"/>
        <v>374.36000000000007</v>
      </c>
      <c r="AA37" s="60">
        <f t="shared" si="6"/>
        <v>407.6</v>
      </c>
      <c r="AB37" s="61">
        <f t="shared" si="6"/>
        <v>436.28</v>
      </c>
      <c r="AC37" s="61">
        <f t="shared" si="6"/>
        <v>575.45000000000005</v>
      </c>
      <c r="AD37" s="61">
        <f t="shared" si="6"/>
        <v>607.73000000000013</v>
      </c>
      <c r="AE37" s="61">
        <f t="shared" si="6"/>
        <v>653.5</v>
      </c>
      <c r="AF37" s="61">
        <f t="shared" si="6"/>
        <v>558</v>
      </c>
      <c r="AG37" s="61">
        <f t="shared" si="6"/>
        <v>578.4849999999999</v>
      </c>
      <c r="AH37" s="61">
        <f t="shared" si="6"/>
        <v>580.20000000000005</v>
      </c>
      <c r="AI37" s="61">
        <f t="shared" si="6"/>
        <v>726.69999999999982</v>
      </c>
      <c r="AJ37" s="61">
        <f t="shared" ref="AJ37:AO37" si="7">SUM(AJ35+AJ36)</f>
        <v>862.5</v>
      </c>
      <c r="AK37" s="113">
        <f t="shared" si="7"/>
        <v>3398.6</v>
      </c>
      <c r="AL37" s="61">
        <f t="shared" si="7"/>
        <v>659.3</v>
      </c>
      <c r="AM37" s="113">
        <f t="shared" si="7"/>
        <v>423.38799999999992</v>
      </c>
      <c r="AN37" s="199">
        <f>SUM(AN35+AN36)</f>
        <v>328.59999999999991</v>
      </c>
      <c r="AO37" s="113">
        <f t="shared" si="7"/>
        <v>500.40000000000003</v>
      </c>
      <c r="AP37" s="113">
        <f t="shared" ref="AP37:AW37" si="8">SUM(AP35+AP36)</f>
        <v>555.30000000000007</v>
      </c>
      <c r="AQ37" s="113">
        <f t="shared" si="8"/>
        <v>542.49999999999989</v>
      </c>
      <c r="AR37" s="113">
        <f t="shared" si="8"/>
        <v>623.29999999999995</v>
      </c>
      <c r="AS37" s="113">
        <f t="shared" si="8"/>
        <v>574.29999999999995</v>
      </c>
      <c r="AT37" s="113">
        <f t="shared" si="8"/>
        <v>617.20000000000005</v>
      </c>
      <c r="AU37" s="113">
        <f t="shared" si="8"/>
        <v>689.7</v>
      </c>
      <c r="AV37" s="113">
        <f t="shared" si="8"/>
        <v>696.9</v>
      </c>
      <c r="AW37" s="113">
        <f t="shared" si="8"/>
        <v>666.3</v>
      </c>
      <c r="AX37" s="113">
        <f t="shared" ref="AX37" si="9">SUM(AX35+AX36)</f>
        <v>806.3</v>
      </c>
      <c r="AY37" s="9" t="s">
        <v>66</v>
      </c>
      <c r="AZ37" s="9"/>
      <c r="BA37" s="9"/>
      <c r="BB37" s="9"/>
      <c r="BC37" s="9"/>
      <c r="BD37" s="9"/>
      <c r="BE37" s="9"/>
      <c r="BF37" s="9"/>
      <c r="BG37" s="9"/>
      <c r="BH37" s="9"/>
      <c r="BI37" s="9"/>
      <c r="BJ37" s="9"/>
      <c r="BK37" s="9"/>
      <c r="BL37" s="9"/>
      <c r="BM37" s="9"/>
      <c r="BN37" s="9"/>
      <c r="BO37" s="9"/>
      <c r="BP37" s="9"/>
      <c r="BQ37" s="9"/>
      <c r="BR37" s="33"/>
    </row>
    <row r="38" spans="1:70" x14ac:dyDescent="0.2">
      <c r="A38" s="18" t="s">
        <v>108</v>
      </c>
      <c r="E38" s="54">
        <f>0</f>
        <v>0</v>
      </c>
      <c r="F38" s="54">
        <v>0</v>
      </c>
      <c r="G38" s="54">
        <v>0</v>
      </c>
      <c r="H38" s="54">
        <v>0</v>
      </c>
      <c r="I38" s="54">
        <v>0</v>
      </c>
      <c r="J38" s="54">
        <v>0</v>
      </c>
      <c r="K38" s="54">
        <v>0</v>
      </c>
      <c r="L38" s="54">
        <v>0</v>
      </c>
      <c r="M38" s="54">
        <v>0</v>
      </c>
      <c r="N38" s="54">
        <v>0</v>
      </c>
      <c r="O38" s="54">
        <v>196.9</v>
      </c>
      <c r="P38" s="54">
        <v>187.8</v>
      </c>
      <c r="Q38" s="54">
        <v>547.4</v>
      </c>
      <c r="R38" s="56">
        <v>386.4</v>
      </c>
      <c r="S38" s="54">
        <v>410.1</v>
      </c>
      <c r="T38" s="54">
        <v>0</v>
      </c>
      <c r="U38" s="55">
        <v>221.5</v>
      </c>
      <c r="V38" s="55">
        <v>36.299999999999997</v>
      </c>
      <c r="W38" s="54">
        <v>146.69999999999999</v>
      </c>
      <c r="X38" s="55">
        <v>-2</v>
      </c>
      <c r="Y38" s="54">
        <v>-101</v>
      </c>
      <c r="Z38" s="54">
        <v>-40.200000000000003</v>
      </c>
      <c r="AA38" s="56">
        <v>-146</v>
      </c>
      <c r="AB38" s="54">
        <v>103.98</v>
      </c>
      <c r="AC38" s="54">
        <v>42</v>
      </c>
      <c r="AD38" s="55">
        <v>-47</v>
      </c>
      <c r="AE38" s="54">
        <v>-98</v>
      </c>
      <c r="AF38" s="54">
        <v>-160</v>
      </c>
      <c r="AG38" s="54">
        <v>-20</v>
      </c>
      <c r="AH38" s="54">
        <v>0</v>
      </c>
      <c r="AI38" s="54">
        <v>-58</v>
      </c>
      <c r="AJ38" s="54">
        <v>0</v>
      </c>
      <c r="AK38" s="54">
        <v>0</v>
      </c>
      <c r="AL38" s="54">
        <v>0</v>
      </c>
      <c r="AM38" s="54">
        <v>0</v>
      </c>
      <c r="AN38" s="177">
        <v>0</v>
      </c>
      <c r="AO38" s="54">
        <v>0</v>
      </c>
      <c r="AP38" s="54">
        <v>0</v>
      </c>
      <c r="AQ38" s="54">
        <v>-2.9</v>
      </c>
      <c r="AR38" s="177">
        <v>0</v>
      </c>
      <c r="AS38" s="54">
        <v>0</v>
      </c>
      <c r="AT38" s="54">
        <v>0</v>
      </c>
      <c r="AU38" s="54">
        <v>0</v>
      </c>
      <c r="AV38" s="10">
        <v>0</v>
      </c>
      <c r="AW38" s="10">
        <v>0</v>
      </c>
      <c r="AX38" s="10">
        <v>0</v>
      </c>
      <c r="AY38" s="10" t="s">
        <v>236</v>
      </c>
      <c r="BG38" s="10" t="s">
        <v>224</v>
      </c>
      <c r="BM38" s="10" t="s">
        <v>230</v>
      </c>
      <c r="BN38" s="10" t="s">
        <v>296</v>
      </c>
      <c r="BO38" s="10" t="s">
        <v>183</v>
      </c>
    </row>
    <row r="39" spans="1:70" x14ac:dyDescent="0.2">
      <c r="AI39" s="54"/>
      <c r="AJ39" s="54"/>
      <c r="AK39" s="54"/>
      <c r="AL39" s="54"/>
      <c r="AM39" s="54"/>
      <c r="AN39" s="177"/>
      <c r="AO39" s="54"/>
      <c r="AP39" s="54"/>
      <c r="AQ39" s="54"/>
      <c r="AS39" s="74"/>
    </row>
    <row r="40" spans="1:70" s="1" customFormat="1" ht="10.5" x14ac:dyDescent="0.25">
      <c r="A40" s="79" t="s">
        <v>67</v>
      </c>
      <c r="B40" s="80"/>
      <c r="C40" s="80"/>
      <c r="D40" s="80"/>
      <c r="E40" s="81">
        <f t="shared" ref="E40:AE40" si="10">E35+E38</f>
        <v>765.4</v>
      </c>
      <c r="F40" s="81">
        <f t="shared" si="10"/>
        <v>760.59999999999991</v>
      </c>
      <c r="G40" s="81">
        <f t="shared" si="10"/>
        <v>835.30000000000007</v>
      </c>
      <c r="H40" s="81">
        <f t="shared" si="10"/>
        <v>994.3</v>
      </c>
      <c r="I40" s="81">
        <f t="shared" si="10"/>
        <v>417.79999999999995</v>
      </c>
      <c r="J40" s="81">
        <f t="shared" si="10"/>
        <v>217.09999999999997</v>
      </c>
      <c r="K40" s="81">
        <f t="shared" si="10"/>
        <v>261.54999999999995</v>
      </c>
      <c r="L40" s="81">
        <f t="shared" si="10"/>
        <v>289</v>
      </c>
      <c r="M40" s="81">
        <f t="shared" si="10"/>
        <v>309.39999999999998</v>
      </c>
      <c r="N40" s="81">
        <f t="shared" si="10"/>
        <v>293.2</v>
      </c>
      <c r="O40" s="81">
        <f t="shared" si="10"/>
        <v>521.1</v>
      </c>
      <c r="P40" s="81">
        <f t="shared" si="10"/>
        <v>565.1</v>
      </c>
      <c r="Q40" s="81">
        <f t="shared" si="10"/>
        <v>956.4</v>
      </c>
      <c r="R40" s="81">
        <f t="shared" si="10"/>
        <v>837.5</v>
      </c>
      <c r="S40" s="81">
        <f t="shared" si="10"/>
        <v>824.7</v>
      </c>
      <c r="T40" s="81">
        <f t="shared" si="10"/>
        <v>398.59999999999991</v>
      </c>
      <c r="U40" s="81">
        <f t="shared" si="10"/>
        <v>631.6</v>
      </c>
      <c r="V40" s="81">
        <f t="shared" si="10"/>
        <v>435.15</v>
      </c>
      <c r="W40" s="81">
        <f t="shared" si="10"/>
        <v>500.5</v>
      </c>
      <c r="X40" s="81">
        <f t="shared" si="10"/>
        <v>341.4</v>
      </c>
      <c r="Y40" s="81">
        <f t="shared" si="10"/>
        <v>240.44</v>
      </c>
      <c r="Z40" s="81">
        <f t="shared" si="10"/>
        <v>323.16000000000008</v>
      </c>
      <c r="AA40" s="82">
        <f>AA35+AA38</f>
        <v>251.60000000000002</v>
      </c>
      <c r="AB40" s="81">
        <f t="shared" si="10"/>
        <v>530.28</v>
      </c>
      <c r="AC40" s="81">
        <f t="shared" si="10"/>
        <v>607.55000000000007</v>
      </c>
      <c r="AD40" s="81">
        <f t="shared" si="10"/>
        <v>551.03000000000009</v>
      </c>
      <c r="AE40" s="81">
        <f t="shared" si="10"/>
        <v>545.9</v>
      </c>
      <c r="AF40" s="81">
        <f t="shared" ref="AF40:AL40" si="11">AF35+AF38</f>
        <v>388.5</v>
      </c>
      <c r="AG40" s="81">
        <f t="shared" si="11"/>
        <v>550.4849999999999</v>
      </c>
      <c r="AH40" s="81">
        <f t="shared" si="11"/>
        <v>570.5</v>
      </c>
      <c r="AI40" s="81">
        <f t="shared" si="11"/>
        <v>659.19999999999982</v>
      </c>
      <c r="AJ40" s="90">
        <f t="shared" si="11"/>
        <v>852.8</v>
      </c>
      <c r="AK40" s="90">
        <f>AK35+AK38</f>
        <v>3398.6</v>
      </c>
      <c r="AL40" s="81">
        <f t="shared" si="11"/>
        <v>649.29999999999995</v>
      </c>
      <c r="AM40" s="90">
        <f t="shared" ref="AM40:AR40" si="12">AM35+AM38</f>
        <v>423.38799999999992</v>
      </c>
      <c r="AN40" s="180">
        <f t="shared" si="12"/>
        <v>328.59999999999991</v>
      </c>
      <c r="AO40" s="90">
        <f t="shared" si="12"/>
        <v>500.40000000000003</v>
      </c>
      <c r="AP40" s="90">
        <f t="shared" si="12"/>
        <v>555.30000000000007</v>
      </c>
      <c r="AQ40" s="90">
        <f t="shared" si="12"/>
        <v>539.59999999999991</v>
      </c>
      <c r="AR40" s="90">
        <f t="shared" si="12"/>
        <v>623.29999999999995</v>
      </c>
      <c r="AS40" s="90">
        <f t="shared" ref="AS40:AX40" si="13">AS35+AS38</f>
        <v>574.29999999999995</v>
      </c>
      <c r="AT40" s="90">
        <f t="shared" si="13"/>
        <v>617.20000000000005</v>
      </c>
      <c r="AU40" s="90">
        <f t="shared" si="13"/>
        <v>689.7</v>
      </c>
      <c r="AV40" s="90">
        <f t="shared" si="13"/>
        <v>696.9</v>
      </c>
      <c r="AW40" s="90">
        <f t="shared" si="13"/>
        <v>666.3</v>
      </c>
      <c r="AX40" s="90">
        <f t="shared" si="13"/>
        <v>806.3</v>
      </c>
      <c r="AY40" s="80" t="s">
        <v>67</v>
      </c>
      <c r="AZ40" s="80"/>
      <c r="BA40" s="80"/>
      <c r="BB40" s="80"/>
      <c r="BC40" s="80"/>
      <c r="BD40" s="11"/>
      <c r="BE40" s="11"/>
      <c r="BF40" s="29"/>
      <c r="BG40" s="5" t="s">
        <v>225</v>
      </c>
      <c r="BH40" s="11"/>
      <c r="BI40" s="11"/>
      <c r="BJ40" s="11"/>
      <c r="BK40" s="11"/>
      <c r="BL40" s="11"/>
      <c r="BM40" s="11"/>
      <c r="BN40" s="11"/>
      <c r="BO40" s="11"/>
      <c r="BP40" s="11"/>
      <c r="BQ40" s="11"/>
      <c r="BR40" s="30"/>
    </row>
    <row r="41" spans="1:70" x14ac:dyDescent="0.2">
      <c r="AI41" s="54"/>
      <c r="AJ41" s="54"/>
      <c r="AK41" s="54"/>
      <c r="AL41" s="54"/>
      <c r="AM41" s="54"/>
      <c r="AN41" s="177"/>
      <c r="AO41" s="54"/>
      <c r="AP41" s="54"/>
      <c r="AQ41" s="54"/>
      <c r="AR41" s="267"/>
      <c r="AS41" s="54"/>
    </row>
    <row r="42" spans="1:70" ht="10.5" x14ac:dyDescent="0.25">
      <c r="A42" s="22" t="s">
        <v>258</v>
      </c>
      <c r="AI42" s="54"/>
      <c r="AJ42" s="54"/>
      <c r="AK42" s="54"/>
      <c r="AL42" s="54"/>
      <c r="AM42" s="54"/>
      <c r="AN42" s="177"/>
      <c r="AO42" s="54"/>
      <c r="AP42" s="54"/>
      <c r="AQ42" s="204"/>
      <c r="AR42" s="54"/>
      <c r="AS42" s="271"/>
      <c r="AY42" s="23" t="s">
        <v>259</v>
      </c>
      <c r="BG42" s="10" t="s">
        <v>251</v>
      </c>
      <c r="BH42" s="10" t="s">
        <v>366</v>
      </c>
      <c r="BI42" s="10" t="s">
        <v>50</v>
      </c>
      <c r="BJ42" s="10" t="s">
        <v>379</v>
      </c>
      <c r="BK42" s="10" t="s">
        <v>245</v>
      </c>
      <c r="BL42" s="10" t="s">
        <v>201</v>
      </c>
      <c r="BM42" s="10" t="s">
        <v>232</v>
      </c>
    </row>
    <row r="43" spans="1:70" x14ac:dyDescent="0.2">
      <c r="B43" s="10" t="s">
        <v>68</v>
      </c>
      <c r="E43" s="54">
        <v>67.3</v>
      </c>
      <c r="F43" s="54">
        <v>99.1</v>
      </c>
      <c r="G43" s="54">
        <v>113.4</v>
      </c>
      <c r="H43" s="54">
        <v>105.1</v>
      </c>
      <c r="I43" s="54">
        <v>58.9</v>
      </c>
      <c r="J43" s="54">
        <v>53.8</v>
      </c>
      <c r="K43" s="54">
        <v>64.7</v>
      </c>
      <c r="L43" s="54">
        <v>61.3</v>
      </c>
      <c r="M43" s="54">
        <v>57.5</v>
      </c>
      <c r="N43" s="54">
        <v>55.4</v>
      </c>
      <c r="O43" s="54">
        <v>51.4</v>
      </c>
      <c r="P43" s="54">
        <v>54.3</v>
      </c>
      <c r="Q43" s="54">
        <v>64.8</v>
      </c>
      <c r="R43" s="54">
        <v>79.5</v>
      </c>
      <c r="S43" s="55">
        <v>109.3</v>
      </c>
      <c r="T43" s="54">
        <v>139.80000000000001</v>
      </c>
      <c r="U43" s="55">
        <v>176.9</v>
      </c>
      <c r="V43" s="55">
        <v>191.1</v>
      </c>
      <c r="W43" s="54">
        <v>174.3</v>
      </c>
      <c r="X43" s="55">
        <v>172.5</v>
      </c>
      <c r="Y43" s="54">
        <v>190</v>
      </c>
      <c r="Z43" s="54">
        <v>198.7</v>
      </c>
      <c r="AA43" s="56">
        <v>228.76</v>
      </c>
      <c r="AB43" s="54">
        <v>251.5</v>
      </c>
      <c r="AC43" s="54">
        <v>181.4</v>
      </c>
      <c r="AD43" s="55">
        <v>174.2</v>
      </c>
      <c r="AE43" s="54">
        <v>172</v>
      </c>
      <c r="AF43" s="54">
        <v>161.30000000000001</v>
      </c>
      <c r="AG43" s="54">
        <v>178.4</v>
      </c>
      <c r="AH43" s="55">
        <v>183.6</v>
      </c>
      <c r="AI43" s="54">
        <v>208.4</v>
      </c>
      <c r="AJ43" s="54">
        <v>267.10000000000002</v>
      </c>
      <c r="AK43" s="54">
        <v>109.2</v>
      </c>
      <c r="AL43" s="54">
        <v>304.2</v>
      </c>
      <c r="AM43" s="54">
        <v>293.10000000000002</v>
      </c>
      <c r="AN43" s="177">
        <v>320.89999999999998</v>
      </c>
      <c r="AO43" s="54">
        <v>303.2</v>
      </c>
      <c r="AP43" s="54">
        <v>289.7</v>
      </c>
      <c r="AQ43" s="10">
        <v>272.60000000000002</v>
      </c>
      <c r="AR43" s="269">
        <v>310</v>
      </c>
      <c r="AS43" s="54">
        <v>307</v>
      </c>
      <c r="AT43" s="54">
        <v>337.5</v>
      </c>
      <c r="AU43" s="54">
        <v>344</v>
      </c>
      <c r="AV43" s="10">
        <v>396</v>
      </c>
      <c r="AW43" s="10">
        <v>400</v>
      </c>
      <c r="AX43" s="10">
        <v>595</v>
      </c>
      <c r="AY43" s="10" t="s">
        <v>256</v>
      </c>
      <c r="BG43" s="10"/>
      <c r="BN43" s="10" t="s">
        <v>297</v>
      </c>
      <c r="BO43" s="10" t="s">
        <v>184</v>
      </c>
      <c r="BP43" s="10" t="s">
        <v>345</v>
      </c>
      <c r="BQ43" s="10" t="s">
        <v>345</v>
      </c>
      <c r="BR43" s="19" t="s">
        <v>345</v>
      </c>
    </row>
    <row r="44" spans="1:70" x14ac:dyDescent="0.2">
      <c r="B44" s="10" t="s">
        <v>69</v>
      </c>
      <c r="E44" s="54">
        <v>0</v>
      </c>
      <c r="F44" s="54">
        <v>0</v>
      </c>
      <c r="G44" s="54">
        <v>0</v>
      </c>
      <c r="H44" s="54">
        <v>0</v>
      </c>
      <c r="I44" s="54">
        <v>0</v>
      </c>
      <c r="J44" s="54">
        <v>0</v>
      </c>
      <c r="K44" s="54">
        <v>0</v>
      </c>
      <c r="L44" s="54">
        <v>0</v>
      </c>
      <c r="M44" s="54">
        <v>0</v>
      </c>
      <c r="N44" s="54">
        <v>0</v>
      </c>
      <c r="O44" s="54">
        <v>0</v>
      </c>
      <c r="P44" s="54">
        <v>0</v>
      </c>
      <c r="Q44" s="54">
        <v>0</v>
      </c>
      <c r="R44" s="54">
        <v>0</v>
      </c>
      <c r="S44" s="55">
        <v>4.7</v>
      </c>
      <c r="T44" s="54">
        <v>5</v>
      </c>
      <c r="U44" s="55">
        <v>6.7</v>
      </c>
      <c r="V44" s="55">
        <v>8.6</v>
      </c>
      <c r="W44" s="54">
        <v>0</v>
      </c>
      <c r="X44" s="55">
        <v>0</v>
      </c>
      <c r="Y44" s="54">
        <v>0</v>
      </c>
      <c r="AH44" s="55"/>
      <c r="AI44" s="54"/>
      <c r="AJ44" s="54"/>
      <c r="AK44" s="54"/>
      <c r="AL44" s="54"/>
      <c r="AM44" s="54"/>
      <c r="AN44" s="177"/>
      <c r="AO44" s="54"/>
      <c r="AP44" s="54"/>
      <c r="AQ44" s="87"/>
      <c r="AR44" s="87"/>
      <c r="AS44" s="54"/>
      <c r="AT44" s="54"/>
      <c r="AU44" s="54"/>
      <c r="AY44" s="10" t="s">
        <v>69</v>
      </c>
      <c r="BG44" s="10"/>
    </row>
    <row r="45" spans="1:70" x14ac:dyDescent="0.2">
      <c r="B45" s="10" t="s">
        <v>70</v>
      </c>
      <c r="E45" s="54">
        <v>31.9</v>
      </c>
      <c r="F45" s="54">
        <v>40</v>
      </c>
      <c r="G45" s="54">
        <v>60.2</v>
      </c>
      <c r="H45" s="54">
        <v>69.599999999999994</v>
      </c>
      <c r="I45" s="54">
        <v>28.8</v>
      </c>
      <c r="J45" s="54">
        <v>27.9</v>
      </c>
      <c r="K45" s="54">
        <v>33.5</v>
      </c>
      <c r="L45" s="54">
        <v>31.7</v>
      </c>
      <c r="M45" s="54">
        <v>40.700000000000003</v>
      </c>
      <c r="N45" s="54">
        <v>34.5</v>
      </c>
      <c r="O45" s="54">
        <v>32.799999999999997</v>
      </c>
      <c r="P45" s="54">
        <v>30.3</v>
      </c>
      <c r="Q45" s="54">
        <v>51.3</v>
      </c>
      <c r="R45" s="54">
        <v>60.2</v>
      </c>
      <c r="S45" s="55">
        <v>96.7</v>
      </c>
      <c r="T45" s="54">
        <v>112.8</v>
      </c>
      <c r="U45" s="55">
        <v>123.9</v>
      </c>
      <c r="V45" s="55">
        <v>131.5</v>
      </c>
      <c r="W45" s="54">
        <v>108.3</v>
      </c>
      <c r="X45" s="55">
        <v>115.4</v>
      </c>
      <c r="Y45" s="54">
        <v>133.9</v>
      </c>
      <c r="Z45" s="54">
        <v>162.80000000000001</v>
      </c>
      <c r="AA45" s="56">
        <v>158.97</v>
      </c>
      <c r="AB45" s="54">
        <v>171.6</v>
      </c>
      <c r="AC45" s="54">
        <v>100.9</v>
      </c>
      <c r="AD45" s="55">
        <v>96.8</v>
      </c>
      <c r="AE45" s="54">
        <v>90.5</v>
      </c>
      <c r="AF45" s="54">
        <v>73.400000000000006</v>
      </c>
      <c r="AG45" s="54">
        <v>55.9</v>
      </c>
      <c r="AH45" s="55">
        <v>55.8</v>
      </c>
      <c r="AI45" s="54">
        <v>63.2</v>
      </c>
      <c r="AJ45" s="10">
        <f>88</f>
        <v>88</v>
      </c>
      <c r="AK45" s="10">
        <v>212.9</v>
      </c>
      <c r="AL45" s="10">
        <v>94.3</v>
      </c>
      <c r="AM45" s="54">
        <v>105.9</v>
      </c>
      <c r="AN45" s="177">
        <v>112.7</v>
      </c>
      <c r="AO45" s="54">
        <v>114.3</v>
      </c>
      <c r="AP45" s="54">
        <v>180.5</v>
      </c>
      <c r="AQ45" s="54">
        <v>194.2</v>
      </c>
      <c r="AR45" s="54">
        <v>229</v>
      </c>
      <c r="AS45" s="54">
        <v>257.5</v>
      </c>
      <c r="AT45" s="54">
        <v>305</v>
      </c>
      <c r="AU45" s="54">
        <v>320</v>
      </c>
      <c r="AV45" s="10">
        <v>395</v>
      </c>
      <c r="AW45" s="10">
        <v>396</v>
      </c>
      <c r="AX45" s="10">
        <v>550.5</v>
      </c>
      <c r="AY45" s="10" t="s">
        <v>385</v>
      </c>
      <c r="BD45" s="97"/>
      <c r="BG45" s="10"/>
      <c r="BN45" s="10" t="s">
        <v>298</v>
      </c>
      <c r="BO45" s="10" t="s">
        <v>185</v>
      </c>
      <c r="BP45" s="10" t="s">
        <v>345</v>
      </c>
      <c r="BQ45" s="10" t="s">
        <v>345</v>
      </c>
      <c r="BR45" s="19" t="s">
        <v>345</v>
      </c>
    </row>
    <row r="46" spans="1:70" x14ac:dyDescent="0.2">
      <c r="B46" s="15" t="s">
        <v>71</v>
      </c>
      <c r="E46" s="54">
        <v>63.4</v>
      </c>
      <c r="F46" s="54">
        <v>79.3</v>
      </c>
      <c r="G46" s="54">
        <v>104.4</v>
      </c>
      <c r="H46" s="54">
        <v>91.3</v>
      </c>
      <c r="I46" s="54">
        <v>47.7</v>
      </c>
      <c r="J46" s="54">
        <v>39</v>
      </c>
      <c r="K46" s="54">
        <v>37.200000000000003</v>
      </c>
      <c r="L46" s="54">
        <v>41</v>
      </c>
      <c r="M46" s="54">
        <v>37.9</v>
      </c>
      <c r="N46" s="54">
        <v>30.2</v>
      </c>
      <c r="O46" s="54">
        <v>34.4</v>
      </c>
      <c r="P46" s="54">
        <v>32.6</v>
      </c>
      <c r="Q46" s="54">
        <v>35.5</v>
      </c>
      <c r="R46" s="54">
        <v>49.3</v>
      </c>
      <c r="S46" s="55">
        <v>43.1</v>
      </c>
      <c r="T46" s="54">
        <v>48.2</v>
      </c>
      <c r="U46" s="55">
        <v>65.2</v>
      </c>
      <c r="V46" s="55">
        <v>87.1</v>
      </c>
      <c r="W46" s="54">
        <f>87.4-16.2</f>
        <v>71.2</v>
      </c>
      <c r="X46" s="55">
        <v>80.099999999999994</v>
      </c>
      <c r="Y46" s="54">
        <f>77.7</f>
        <v>77.7</v>
      </c>
      <c r="Z46" s="54">
        <f>23.6+41.6+14.7+(13.5*(80.1/246))</f>
        <v>84.295731707317074</v>
      </c>
      <c r="AA46" s="62">
        <f>74.4+1.9+(13*(76.3/269))</f>
        <v>79.987360594795547</v>
      </c>
      <c r="AB46" s="63">
        <f>85.4+2+(13.2*(87.4/301))</f>
        <v>91.232823920265787</v>
      </c>
      <c r="AC46" s="54">
        <v>63.1</v>
      </c>
      <c r="AD46" s="55">
        <v>58.3</v>
      </c>
      <c r="AE46" s="54">
        <v>57.8</v>
      </c>
      <c r="AF46" s="54">
        <v>65.2</v>
      </c>
      <c r="AG46" s="54">
        <v>68.2</v>
      </c>
      <c r="AH46" s="55">
        <v>103</v>
      </c>
      <c r="AI46" s="54">
        <v>107.4</v>
      </c>
      <c r="AJ46" s="70">
        <v>138.1</v>
      </c>
      <c r="AK46" s="70">
        <v>319.2</v>
      </c>
      <c r="AL46" s="179">
        <v>219</v>
      </c>
      <c r="AM46" s="70">
        <v>207.3</v>
      </c>
      <c r="AN46" s="179">
        <v>214.7</v>
      </c>
      <c r="AO46" s="70">
        <v>204.6</v>
      </c>
      <c r="AP46" s="70">
        <v>177.9</v>
      </c>
      <c r="AQ46" s="203">
        <v>168.2</v>
      </c>
      <c r="AR46" s="203">
        <v>201</v>
      </c>
      <c r="AS46" s="70">
        <v>199.1</v>
      </c>
      <c r="AT46" s="70">
        <v>220.7</v>
      </c>
      <c r="AU46" s="70">
        <v>226</v>
      </c>
      <c r="AV46" s="53">
        <v>285</v>
      </c>
      <c r="AW46" s="53">
        <v>290</v>
      </c>
      <c r="AX46" s="53">
        <v>382</v>
      </c>
      <c r="AY46" s="15" t="s">
        <v>71</v>
      </c>
      <c r="BF46" s="35"/>
      <c r="BG46" s="10" t="s">
        <v>226</v>
      </c>
      <c r="BI46" s="10" t="s">
        <v>51</v>
      </c>
      <c r="BJ46" s="10" t="s">
        <v>381</v>
      </c>
      <c r="BK46" s="10" t="s">
        <v>202</v>
      </c>
      <c r="BL46" s="10" t="s">
        <v>202</v>
      </c>
      <c r="BN46" s="10" t="s">
        <v>299</v>
      </c>
      <c r="BO46" s="10" t="s">
        <v>186</v>
      </c>
      <c r="BP46" s="10" t="s">
        <v>345</v>
      </c>
      <c r="BQ46" s="10" t="s">
        <v>345</v>
      </c>
      <c r="BR46" s="19" t="s">
        <v>345</v>
      </c>
    </row>
    <row r="47" spans="1:70" x14ac:dyDescent="0.2">
      <c r="B47" s="10" t="s">
        <v>52</v>
      </c>
      <c r="E47" s="54">
        <v>10.5</v>
      </c>
      <c r="F47" s="54">
        <v>10.199999999999999</v>
      </c>
      <c r="G47" s="54">
        <v>16.8</v>
      </c>
      <c r="H47" s="54">
        <v>26.5</v>
      </c>
      <c r="I47" s="54">
        <v>16.5</v>
      </c>
      <c r="J47" s="54">
        <v>12.7</v>
      </c>
      <c r="K47" s="54">
        <v>12.7</v>
      </c>
      <c r="L47" s="54">
        <v>23.8</v>
      </c>
      <c r="M47" s="54">
        <v>25.9</v>
      </c>
      <c r="N47" s="54">
        <v>28.4</v>
      </c>
      <c r="O47" s="54">
        <v>28.8</v>
      </c>
      <c r="P47" s="54">
        <v>32.299999999999997</v>
      </c>
      <c r="Q47" s="54">
        <v>35.9</v>
      </c>
      <c r="R47" s="54">
        <v>35.200000000000003</v>
      </c>
      <c r="S47" s="55">
        <v>0</v>
      </c>
      <c r="T47" s="54">
        <v>0</v>
      </c>
      <c r="U47" s="55">
        <v>0</v>
      </c>
      <c r="V47" s="55">
        <v>0</v>
      </c>
      <c r="X47" s="55">
        <v>0</v>
      </c>
      <c r="Z47" s="54">
        <v>0</v>
      </c>
      <c r="AA47" s="56">
        <v>0</v>
      </c>
      <c r="AB47" s="54">
        <v>0</v>
      </c>
      <c r="AC47" s="54">
        <v>0</v>
      </c>
      <c r="AD47" s="55">
        <v>0</v>
      </c>
      <c r="AE47" s="54">
        <v>0</v>
      </c>
      <c r="AF47" s="54">
        <v>0</v>
      </c>
      <c r="AG47" s="54">
        <v>0</v>
      </c>
      <c r="AH47" s="55">
        <v>0</v>
      </c>
      <c r="AI47" s="54">
        <v>0</v>
      </c>
      <c r="AJ47" s="54">
        <v>0</v>
      </c>
      <c r="AK47" s="54"/>
      <c r="AL47" s="177"/>
      <c r="AM47" s="54"/>
      <c r="AN47" s="177"/>
      <c r="AO47" s="54"/>
      <c r="AP47" s="54"/>
      <c r="AQ47" s="10">
        <v>0</v>
      </c>
      <c r="AR47" s="74">
        <v>0</v>
      </c>
      <c r="AS47" s="54">
        <v>0</v>
      </c>
      <c r="AT47" s="54"/>
      <c r="AU47" s="54"/>
      <c r="AY47" s="10" t="s">
        <v>416</v>
      </c>
      <c r="BG47" s="10"/>
    </row>
    <row r="48" spans="1:70" x14ac:dyDescent="0.2">
      <c r="B48" s="10" t="s">
        <v>344</v>
      </c>
      <c r="E48" s="54">
        <v>0</v>
      </c>
      <c r="F48" s="54">
        <v>0</v>
      </c>
      <c r="G48" s="54">
        <v>0</v>
      </c>
      <c r="H48" s="54">
        <v>0</v>
      </c>
      <c r="I48" s="54">
        <v>0</v>
      </c>
      <c r="J48" s="54">
        <v>1.2</v>
      </c>
      <c r="K48" s="54">
        <v>2</v>
      </c>
      <c r="L48" s="54">
        <v>2</v>
      </c>
      <c r="M48" s="54">
        <v>1.7</v>
      </c>
      <c r="N48" s="54">
        <v>1.9</v>
      </c>
      <c r="O48" s="54">
        <v>1.7</v>
      </c>
      <c r="P48" s="54">
        <v>1.8</v>
      </c>
      <c r="Q48" s="54">
        <v>1.8</v>
      </c>
      <c r="R48" s="54">
        <v>2.2999999999999998</v>
      </c>
      <c r="S48" s="55">
        <v>2.7</v>
      </c>
      <c r="T48" s="54">
        <v>3.4</v>
      </c>
      <c r="U48" s="55">
        <v>4.7</v>
      </c>
      <c r="V48" s="55">
        <v>0</v>
      </c>
      <c r="W48" s="54">
        <v>8.1</v>
      </c>
      <c r="X48" s="55">
        <v>26.4</v>
      </c>
      <c r="Y48" s="54">
        <v>28.9</v>
      </c>
      <c r="Z48" s="54">
        <v>38</v>
      </c>
      <c r="AA48" s="56">
        <v>42.87</v>
      </c>
      <c r="AB48" s="54">
        <v>43.3</v>
      </c>
      <c r="AC48" s="54">
        <f>(((SUM(AC43:AC46))+(SUM(AC49:AC53)))/(896.5-81.4))*81.4</f>
        <v>42.47260458839407</v>
      </c>
      <c r="AD48" s="55">
        <v>77</v>
      </c>
      <c r="AE48" s="54">
        <v>92.3</v>
      </c>
      <c r="AF48" s="64">
        <f>(98.2+16.8)*((AF43+AF45+AF46+AF47+AF49))/(AF43+AF45+AF46+AF47+AF49+AF104+AF105+AF106+AF107+AF108+AF82)</f>
        <v>53.728526808953674</v>
      </c>
      <c r="AG48" s="64">
        <f>(98.5+13.3)*((AG43+AG45+AG46+AG47+AG49))/(AG43+AG45+AG46+AG47+AG49+AG104+AG105+AG106+AG107+AG108+AG82)</f>
        <v>53.784621578099838</v>
      </c>
      <c r="AH48" s="64">
        <f>(99+11)*((AH43+AH45+AH46+AH47+AH49))/(AH43+AH45+AH46+AH47+AH49+AH104+AH105+AH106+AH107+AH108+AH82)</f>
        <v>41.821487946799664</v>
      </c>
      <c r="AI48" s="64">
        <f>(104.1+10.8)*((AI43+AI45+AI46+AI47+AI49))/(AI43+AI45+AI46+AI47+AI49+AI104+AI105+AI106+AI107+AI108+AI82)</f>
        <v>44.19146585389084</v>
      </c>
      <c r="AJ48" s="64">
        <f>(127.6+18.2)*((AJ43+AJ45+AJ46+AJ47+AJ49))/(AJ43+AJ45+AJ46+AJ47+AJ49+AJ104+AJ105+AJ106+AJ107+AJ108+AJ82)</f>
        <v>62.980977542932635</v>
      </c>
      <c r="AK48" s="64">
        <f>(80+21.9)*((AK43+AK45+AK46+AK47))/(AK43+AK45+AK46+AK47+AK49+AK104+AK105+AK106+AK107+AK108+AK82)</f>
        <v>30.984054810108578</v>
      </c>
      <c r="AL48" s="178">
        <f>(140+45)*((AL43+AL44+AL45+AL46+AL47))/(AL43+AL45+AL46+AL47+AL49+AL104+AL105+AL106+AL107+AL108+AL82)</f>
        <v>80.347095231396821</v>
      </c>
      <c r="AM48" s="64">
        <f>(170+32)*((AM43+AM44+AM45+AM46+AM47))/(AM43+AM45+AM46+AM47+AM49+AM104+AM105+AM106+AM107+AM108+AM82)</f>
        <v>95.183492655630673</v>
      </c>
      <c r="AN48" s="178">
        <f>(165+25)*((AN43+AN44+AN45+AN46+AN47))/(AN43+AN45+AN46+AN47+AN49+AN104+AN105+AN106+AN107+AN108+AN82)</f>
        <v>86.977121875441327</v>
      </c>
      <c r="AO48" s="64">
        <f>(160.5+23.6)*((AO43+AO44+AO45+AO46+AO47))/(AO43+AO45+AO46+AO47+AO49+AO104+AO105+AO106+AO107+AO108+AO82)</f>
        <v>84.968180132057284</v>
      </c>
      <c r="AP48" s="64">
        <f>(162+23.5)*((AP43+AP44+AP45+AP46+AP47))/(AP43+AP45+AP46+AP47+AP49+AP104+AP105+AP106+AP107+AP108+AP82)</f>
        <v>84.491215124042455</v>
      </c>
      <c r="AQ48" s="64">
        <f>(160.8+21)*((AQ43+AQ44+AQ45+AQ46+AQ47))/(AQ43+AQ45+AQ46+AQ47+AQ49+AQ104+AQ105+AQ106+AQ107+AQ108+AQ82)</f>
        <v>85.091029704429857</v>
      </c>
      <c r="AR48" s="64">
        <f>(155+21)*((AR43+AR44+AR45+AR46+AR47))/(AR43+AR45+AR46+AR47+AR49+AR104+AR105+AR106+AR107+AR108+AR82)</f>
        <v>84.352331606217618</v>
      </c>
      <c r="AS48" s="64">
        <f>(153.5+19)*((AS43+AS44+AS45+AS46+AS47))/(AS43+AS45+AS46+AS47+AS49+AS104+AS105+AS106+AS107+AS108+AS82)</f>
        <v>86.618662458078518</v>
      </c>
      <c r="AT48" s="64">
        <f>(162.5+15)*((AT43+AT44+AT45+AT46+AT47))/(AT43+AT45+AT46+AT47+AT49+AT104+AT105+AT106+AT107+AT108+AT82)</f>
        <v>89.121684504420656</v>
      </c>
      <c r="AU48" s="64">
        <f>(162.5+14)*((AU43+AU44+AU45+AU46+AU47))/(AU43+AU45+AU46+AU47+AU49+AU104+AU105+AU106+AU107+AU108+AU82)</f>
        <v>89.075701729515174</v>
      </c>
      <c r="AV48" s="64">
        <f>(165+14.5)*((AV43+AV44+AV45+AV46+AV47))/(AV43+AV45+AV46+AV47+AV49+AV104+AV105+AV106+AV107+AV108+AV82)</f>
        <v>90.783548766157466</v>
      </c>
      <c r="AW48" s="64">
        <f>(165+14.5)*((AW43+AW44+AW45+AW46+AW47))/(AW43+AW45+AW46+AW47+AW49+AW104+AW105+AW106+AW107+AW108+AW82)</f>
        <v>91.219934487599446</v>
      </c>
      <c r="AX48" s="64">
        <f>(250+43.6)*((AX43+AX44+AX45+AX46+AX47))/(AX43+AX45+AX46+AX47+AX49+AX104+AX105+AX106+AX107+AX108+AX82)</f>
        <v>148.62928348909659</v>
      </c>
      <c r="AY48" s="10" t="s">
        <v>384</v>
      </c>
      <c r="BG48" s="10"/>
      <c r="BM48" s="10" t="s">
        <v>233</v>
      </c>
      <c r="BN48" s="10" t="s">
        <v>300</v>
      </c>
      <c r="BO48" s="10" t="s">
        <v>187</v>
      </c>
      <c r="BP48" s="10" t="s">
        <v>345</v>
      </c>
      <c r="BQ48" s="10" t="s">
        <v>345</v>
      </c>
      <c r="BR48" s="19" t="s">
        <v>345</v>
      </c>
    </row>
    <row r="49" spans="1:70" x14ac:dyDescent="0.2">
      <c r="B49" s="10" t="s">
        <v>173</v>
      </c>
      <c r="S49" s="55"/>
      <c r="AC49" s="54">
        <v>55.1</v>
      </c>
      <c r="AD49" s="55">
        <v>60.1</v>
      </c>
      <c r="AE49" s="54">
        <v>59.6</v>
      </c>
      <c r="AF49" s="54">
        <v>59.1</v>
      </c>
      <c r="AG49" s="54">
        <v>56</v>
      </c>
      <c r="AH49" s="55">
        <v>23.5</v>
      </c>
      <c r="AI49" s="56">
        <v>24.8</v>
      </c>
      <c r="AJ49" s="56">
        <v>30</v>
      </c>
      <c r="AK49" s="54">
        <v>0</v>
      </c>
      <c r="AL49" s="177">
        <v>0</v>
      </c>
      <c r="AM49" s="54"/>
      <c r="AN49" s="177"/>
      <c r="AO49" s="54"/>
      <c r="AP49" s="54"/>
      <c r="AQ49" s="54"/>
      <c r="AS49" s="54"/>
      <c r="AT49" s="54"/>
      <c r="AU49" s="54"/>
      <c r="AY49" s="10" t="s">
        <v>136</v>
      </c>
      <c r="BN49" s="10" t="s">
        <v>268</v>
      </c>
      <c r="BO49" s="10" t="s">
        <v>106</v>
      </c>
      <c r="BP49" s="10" t="s">
        <v>345</v>
      </c>
      <c r="BQ49" s="10" t="s">
        <v>345</v>
      </c>
      <c r="BR49" s="19" t="s">
        <v>345</v>
      </c>
    </row>
    <row r="50" spans="1:70" x14ac:dyDescent="0.2">
      <c r="B50" s="10" t="s">
        <v>329</v>
      </c>
      <c r="S50" s="55"/>
      <c r="AC50" s="54">
        <v>24.8</v>
      </c>
      <c r="AD50" s="55">
        <v>24.1</v>
      </c>
      <c r="AE50" s="54">
        <v>7</v>
      </c>
      <c r="AH50" s="55"/>
      <c r="AI50" s="54"/>
      <c r="AJ50" s="54"/>
      <c r="AK50" s="54"/>
      <c r="AL50" s="177"/>
      <c r="AM50" s="54"/>
      <c r="AN50" s="177"/>
      <c r="AO50" s="54"/>
      <c r="AP50" s="54"/>
      <c r="AQ50" s="54"/>
      <c r="AR50" s="54"/>
      <c r="AS50" s="54"/>
      <c r="AT50" s="54"/>
      <c r="AU50" s="54"/>
      <c r="AY50" s="10" t="s">
        <v>329</v>
      </c>
      <c r="BN50" s="10" t="s">
        <v>270</v>
      </c>
      <c r="BO50" s="10" t="s">
        <v>133</v>
      </c>
      <c r="BP50" s="10" t="s">
        <v>345</v>
      </c>
      <c r="BQ50" s="10" t="s">
        <v>345</v>
      </c>
      <c r="BR50" s="19" t="s">
        <v>345</v>
      </c>
    </row>
    <row r="51" spans="1:70" x14ac:dyDescent="0.2">
      <c r="B51" s="10" t="s">
        <v>168</v>
      </c>
      <c r="S51" s="55"/>
      <c r="AB51" s="54">
        <v>3.8</v>
      </c>
      <c r="AD51" s="55">
        <v>2.4</v>
      </c>
      <c r="AH51" s="55"/>
      <c r="AI51" s="54"/>
      <c r="AJ51" s="54"/>
      <c r="AK51" s="54"/>
      <c r="AL51" s="177"/>
      <c r="AM51" s="54"/>
      <c r="AN51" s="177"/>
      <c r="AO51" s="54"/>
      <c r="AP51" s="54"/>
      <c r="AQ51" s="54"/>
      <c r="AR51" s="267"/>
      <c r="AS51" s="54"/>
      <c r="AT51" s="54"/>
      <c r="AU51" s="54"/>
      <c r="AY51" s="10" t="s">
        <v>168</v>
      </c>
      <c r="BN51" s="10" t="s">
        <v>41</v>
      </c>
      <c r="BO51" s="10" t="s">
        <v>356</v>
      </c>
    </row>
    <row r="52" spans="1:70" x14ac:dyDescent="0.2">
      <c r="S52" s="55"/>
      <c r="AH52" s="55"/>
      <c r="AI52" s="64">
        <f>13.8+11.7+17.9+1.4+8.1</f>
        <v>52.9</v>
      </c>
      <c r="AJ52" s="54">
        <v>47.7</v>
      </c>
      <c r="AK52" s="54">
        <v>0</v>
      </c>
      <c r="AL52" s="176">
        <v>54.6</v>
      </c>
      <c r="AM52" s="54"/>
      <c r="AN52" s="177"/>
      <c r="AO52" s="54"/>
      <c r="AP52" s="54"/>
      <c r="AQ52" s="54"/>
      <c r="AR52" s="267"/>
      <c r="AS52" s="54"/>
      <c r="AT52" s="54"/>
      <c r="AU52" s="54"/>
      <c r="AY52" s="10" t="s">
        <v>154</v>
      </c>
    </row>
    <row r="53" spans="1:70" x14ac:dyDescent="0.2">
      <c r="B53" s="10" t="s">
        <v>320</v>
      </c>
      <c r="S53" s="55"/>
      <c r="T53" s="54">
        <v>-0.25</v>
      </c>
      <c r="U53" s="55">
        <v>0</v>
      </c>
      <c r="V53" s="55">
        <v>-15.9</v>
      </c>
      <c r="W53" s="54">
        <v>0</v>
      </c>
      <c r="X53" s="55">
        <v>-0.5</v>
      </c>
      <c r="Y53" s="54">
        <v>-0.35</v>
      </c>
      <c r="Z53" s="55">
        <v>-1.4</v>
      </c>
      <c r="AA53" s="56">
        <v>0</v>
      </c>
      <c r="AB53" s="54">
        <v>0</v>
      </c>
      <c r="AC53" s="54">
        <v>0</v>
      </c>
      <c r="AD53" s="55">
        <v>0</v>
      </c>
      <c r="AE53" s="54">
        <v>0</v>
      </c>
      <c r="AF53" s="54">
        <v>0</v>
      </c>
      <c r="AG53" s="54">
        <v>0</v>
      </c>
      <c r="AH53" s="55">
        <v>0</v>
      </c>
      <c r="AI53" s="54">
        <v>-0.7</v>
      </c>
      <c r="AJ53" s="54">
        <v>-13.2</v>
      </c>
      <c r="AK53" s="55"/>
      <c r="AL53" s="177"/>
      <c r="AM53" s="54">
        <f>-30+0.3</f>
        <v>-29.7</v>
      </c>
      <c r="AN53" s="177">
        <v>-9.9</v>
      </c>
      <c r="AO53" s="54">
        <f>-81.6</f>
        <v>-81.599999999999994</v>
      </c>
      <c r="AP53" s="54">
        <f>-2.4-10.4</f>
        <v>-12.8</v>
      </c>
      <c r="AQ53" s="54">
        <f>-0.7-13-9.7</f>
        <v>-23.4</v>
      </c>
      <c r="AR53" s="267">
        <v>-3.8</v>
      </c>
      <c r="AS53" s="54">
        <v>-55.6</v>
      </c>
      <c r="AT53" s="315">
        <v>0</v>
      </c>
      <c r="AU53" s="315">
        <v>0</v>
      </c>
      <c r="AV53" s="64">
        <f>(-70.7)*((AV43+AV44+AV44+AV45+AV46))/(AV43+AV45+AV46+AV47+AV49+AV104+AV105+AV106+AV107+AV108+AV82)</f>
        <v>-35.757085781433609</v>
      </c>
      <c r="AW53" s="64">
        <f>(-2.2)*((AW43+AW44+AW44+AW45+AW46))/(AW43+AW45+AW46+AW47+AW49+AW104+AW105+AW106+AW107+AW108+AW82)</f>
        <v>-1.1180159101544223</v>
      </c>
      <c r="AX53" s="323">
        <v>0</v>
      </c>
      <c r="AY53" s="10" t="s">
        <v>320</v>
      </c>
      <c r="BJ53" s="10" t="s">
        <v>319</v>
      </c>
    </row>
    <row r="54" spans="1:70" x14ac:dyDescent="0.2">
      <c r="S54" s="55"/>
      <c r="AI54" s="54"/>
      <c r="AJ54" s="54"/>
      <c r="AK54" s="54"/>
      <c r="AL54" s="177"/>
      <c r="AM54" s="54"/>
      <c r="AN54" s="177"/>
      <c r="AO54" s="54"/>
      <c r="AP54" s="54"/>
      <c r="AQ54" s="74"/>
      <c r="AR54" s="268"/>
      <c r="AS54" s="54"/>
      <c r="AT54" s="54"/>
      <c r="AU54" s="54"/>
    </row>
    <row r="55" spans="1:70" s="1" customFormat="1" ht="10.5" x14ac:dyDescent="0.25">
      <c r="A55" s="79" t="s">
        <v>260</v>
      </c>
      <c r="B55" s="80"/>
      <c r="C55" s="80"/>
      <c r="D55" s="80"/>
      <c r="E55" s="81">
        <f t="shared" ref="E55:X55" si="14">SUM(E43:E48)</f>
        <v>173.1</v>
      </c>
      <c r="F55" s="81">
        <f t="shared" si="14"/>
        <v>228.59999999999997</v>
      </c>
      <c r="G55" s="81">
        <f t="shared" si="14"/>
        <v>294.8</v>
      </c>
      <c r="H55" s="81">
        <f t="shared" si="14"/>
        <v>292.5</v>
      </c>
      <c r="I55" s="81">
        <f t="shared" si="14"/>
        <v>151.9</v>
      </c>
      <c r="J55" s="81">
        <f t="shared" si="14"/>
        <v>134.59999999999997</v>
      </c>
      <c r="K55" s="81">
        <f t="shared" si="14"/>
        <v>150.1</v>
      </c>
      <c r="L55" s="81">
        <f t="shared" si="14"/>
        <v>159.80000000000001</v>
      </c>
      <c r="M55" s="81">
        <f t="shared" si="14"/>
        <v>163.69999999999999</v>
      </c>
      <c r="N55" s="81">
        <f t="shared" si="14"/>
        <v>150.4</v>
      </c>
      <c r="O55" s="81">
        <f t="shared" si="14"/>
        <v>149.1</v>
      </c>
      <c r="P55" s="81">
        <f t="shared" si="14"/>
        <v>151.30000000000001</v>
      </c>
      <c r="Q55" s="81">
        <f t="shared" si="14"/>
        <v>189.3</v>
      </c>
      <c r="R55" s="81">
        <f t="shared" si="14"/>
        <v>226.5</v>
      </c>
      <c r="S55" s="81">
        <f t="shared" si="14"/>
        <v>256.5</v>
      </c>
      <c r="T55" s="81">
        <f t="shared" si="14"/>
        <v>309.2</v>
      </c>
      <c r="U55" s="81">
        <f t="shared" si="14"/>
        <v>377.4</v>
      </c>
      <c r="V55" s="81">
        <f t="shared" si="14"/>
        <v>418.29999999999995</v>
      </c>
      <c r="W55" s="81">
        <f t="shared" si="14"/>
        <v>361.90000000000003</v>
      </c>
      <c r="X55" s="81">
        <f t="shared" si="14"/>
        <v>394.4</v>
      </c>
      <c r="Y55" s="81">
        <f t="shared" ref="Y55:AL55" si="15">SUM(Y43:Y53)</f>
        <v>430.14999999999992</v>
      </c>
      <c r="Z55" s="81">
        <f t="shared" si="15"/>
        <v>482.39573170731711</v>
      </c>
      <c r="AA55" s="82">
        <f t="shared" si="15"/>
        <v>510.58736059479554</v>
      </c>
      <c r="AB55" s="81">
        <f t="shared" si="15"/>
        <v>561.43282392026572</v>
      </c>
      <c r="AC55" s="81">
        <f t="shared" si="15"/>
        <v>467.77260458839413</v>
      </c>
      <c r="AD55" s="81">
        <f t="shared" si="15"/>
        <v>492.90000000000003</v>
      </c>
      <c r="AE55" s="81">
        <f t="shared" si="15"/>
        <v>479.20000000000005</v>
      </c>
      <c r="AF55" s="90">
        <f t="shared" si="15"/>
        <v>412.72852680895375</v>
      </c>
      <c r="AG55" s="90">
        <f t="shared" si="15"/>
        <v>412.28462157809986</v>
      </c>
      <c r="AH55" s="90">
        <f t="shared" si="15"/>
        <v>407.72148794679964</v>
      </c>
      <c r="AI55" s="90">
        <f t="shared" si="15"/>
        <v>500.19146585389086</v>
      </c>
      <c r="AJ55" s="90">
        <f>SUM(AJ43:AJ53)</f>
        <v>620.68097754293262</v>
      </c>
      <c r="AK55" s="90">
        <f>SUM(AK43:AK53)</f>
        <v>672.2840548101085</v>
      </c>
      <c r="AL55" s="180">
        <f t="shared" si="15"/>
        <v>752.44709523139682</v>
      </c>
      <c r="AM55" s="90">
        <f t="shared" ref="AM55:AT55" si="16">SUM(AM43:AM53)</f>
        <v>671.78349265563054</v>
      </c>
      <c r="AN55" s="180">
        <f t="shared" si="16"/>
        <v>725.37712187544128</v>
      </c>
      <c r="AO55" s="90">
        <f t="shared" si="16"/>
        <v>625.46818013205723</v>
      </c>
      <c r="AP55" s="90">
        <f t="shared" si="16"/>
        <v>719.79121512404254</v>
      </c>
      <c r="AQ55" s="90">
        <f t="shared" si="16"/>
        <v>696.69102970442987</v>
      </c>
      <c r="AR55" s="90">
        <f t="shared" si="16"/>
        <v>820.55233160621765</v>
      </c>
      <c r="AS55" s="90">
        <f t="shared" si="16"/>
        <v>794.61866245807857</v>
      </c>
      <c r="AT55" s="90">
        <f t="shared" si="16"/>
        <v>952.32168450442066</v>
      </c>
      <c r="AU55" s="90">
        <f>SUM(AU43:AU53)</f>
        <v>979.07570172951523</v>
      </c>
      <c r="AV55" s="297">
        <f>SUM(AV43:AV53)</f>
        <v>1131.0264629847238</v>
      </c>
      <c r="AW55" s="297">
        <f>SUM(AW43:AW53)</f>
        <v>1176.1019185774451</v>
      </c>
      <c r="AX55" s="297">
        <f>SUM(AX43:AX53)</f>
        <v>1676.1292834890967</v>
      </c>
      <c r="AY55" s="80" t="s">
        <v>260</v>
      </c>
      <c r="AZ55" s="80"/>
      <c r="BA55" s="80"/>
      <c r="BB55" s="80"/>
      <c r="BC55" s="80"/>
      <c r="BD55" s="29"/>
      <c r="BE55" s="11"/>
      <c r="BF55" s="29"/>
      <c r="BG55" s="29"/>
      <c r="BH55" s="11"/>
      <c r="BI55" s="11"/>
      <c r="BJ55" s="11"/>
      <c r="BK55" s="11"/>
      <c r="BL55" s="11"/>
      <c r="BM55" s="11"/>
      <c r="BN55" s="11"/>
      <c r="BO55" s="11"/>
      <c r="BP55" s="11"/>
      <c r="BQ55" s="11"/>
      <c r="BR55" s="30"/>
    </row>
    <row r="56" spans="1:70" x14ac:dyDescent="0.2">
      <c r="S56" s="55"/>
      <c r="AH56" s="87"/>
      <c r="AL56" s="53"/>
      <c r="AM56" s="70"/>
      <c r="AN56" s="179"/>
      <c r="AO56" s="70"/>
      <c r="AP56" s="314"/>
      <c r="AQ56" s="248"/>
      <c r="AR56" s="248"/>
      <c r="AS56" s="248"/>
      <c r="AT56" s="248"/>
      <c r="AU56" s="248"/>
      <c r="AV56" s="248"/>
      <c r="AW56" s="248"/>
      <c r="AX56" s="248"/>
      <c r="BC56" s="53"/>
      <c r="BH56" s="5"/>
      <c r="BI56" s="5"/>
      <c r="BJ56" s="5"/>
      <c r="BK56" s="5"/>
      <c r="BL56" s="5"/>
      <c r="BN56" s="5"/>
      <c r="BO56" s="5"/>
    </row>
    <row r="57" spans="1:70" x14ac:dyDescent="0.2">
      <c r="B57" s="96" t="s">
        <v>54</v>
      </c>
      <c r="C57" s="97"/>
      <c r="D57" s="97"/>
      <c r="E57" s="98"/>
      <c r="F57" s="98"/>
      <c r="G57" s="98"/>
      <c r="H57" s="98"/>
      <c r="I57" s="98"/>
      <c r="J57" s="98"/>
      <c r="K57" s="98"/>
      <c r="L57" s="98"/>
      <c r="M57" s="98"/>
      <c r="N57" s="98"/>
      <c r="O57" s="98"/>
      <c r="P57" s="98"/>
      <c r="Q57" s="98"/>
      <c r="R57" s="98"/>
      <c r="S57" s="99">
        <v>193.9</v>
      </c>
      <c r="T57" s="98">
        <v>185.4</v>
      </c>
      <c r="U57" s="99">
        <v>206.8</v>
      </c>
      <c r="V57" s="99">
        <v>214.8</v>
      </c>
      <c r="W57" s="98">
        <v>111.8</v>
      </c>
      <c r="X57" s="99">
        <v>120.8</v>
      </c>
      <c r="Y57" s="98">
        <v>125</v>
      </c>
      <c r="Z57" s="98">
        <v>133</v>
      </c>
      <c r="AA57" s="100">
        <v>135</v>
      </c>
      <c r="AB57" s="98">
        <v>152.69999999999999</v>
      </c>
      <c r="AC57" s="98">
        <v>230</v>
      </c>
      <c r="AD57" s="99">
        <v>223.5</v>
      </c>
      <c r="AE57" s="98">
        <v>227.2</v>
      </c>
      <c r="AF57" s="98">
        <v>228</v>
      </c>
      <c r="AG57" s="98">
        <v>238</v>
      </c>
      <c r="AH57" s="98">
        <v>200</v>
      </c>
      <c r="AI57" s="98">
        <v>222.7</v>
      </c>
      <c r="AJ57" s="115">
        <f>246.3+200</f>
        <v>446.3</v>
      </c>
      <c r="AK57" s="115">
        <f>4875+2.5</f>
        <v>4877.5</v>
      </c>
      <c r="AL57" s="171">
        <v>210</v>
      </c>
      <c r="AM57" s="98">
        <v>174.3</v>
      </c>
      <c r="AN57" s="171">
        <v>65</v>
      </c>
      <c r="AO57" s="98">
        <v>128.9</v>
      </c>
      <c r="AP57" s="98">
        <v>174</v>
      </c>
      <c r="AQ57" s="98">
        <v>193</v>
      </c>
      <c r="AR57" s="98">
        <v>215</v>
      </c>
      <c r="AS57" s="98">
        <v>225</v>
      </c>
      <c r="AT57" s="98">
        <v>248</v>
      </c>
      <c r="AU57" s="98">
        <v>257</v>
      </c>
      <c r="AV57" s="97">
        <v>305</v>
      </c>
      <c r="AW57" s="97">
        <v>310</v>
      </c>
      <c r="AX57" s="97">
        <v>390</v>
      </c>
      <c r="AY57" s="97" t="s">
        <v>434</v>
      </c>
      <c r="AZ57" s="97"/>
      <c r="BA57" s="97"/>
      <c r="BB57" s="97"/>
      <c r="BC57" s="97" t="s">
        <v>171</v>
      </c>
      <c r="BH57" s="26"/>
      <c r="BI57" s="26"/>
      <c r="BJ57" s="26"/>
      <c r="BK57" s="5"/>
      <c r="BL57" s="5"/>
      <c r="BN57" s="5" t="s">
        <v>2</v>
      </c>
      <c r="BO57" s="5" t="s">
        <v>160</v>
      </c>
      <c r="BP57" s="10" t="s">
        <v>345</v>
      </c>
      <c r="BQ57" s="10" t="s">
        <v>345</v>
      </c>
      <c r="BR57" s="19" t="s">
        <v>345</v>
      </c>
    </row>
    <row r="58" spans="1:70" x14ac:dyDescent="0.2">
      <c r="B58" s="96"/>
      <c r="C58" s="97"/>
      <c r="D58" s="97"/>
      <c r="E58" s="98"/>
      <c r="F58" s="98"/>
      <c r="G58" s="98"/>
      <c r="H58" s="98"/>
      <c r="I58" s="98"/>
      <c r="J58" s="98"/>
      <c r="K58" s="98"/>
      <c r="L58" s="98"/>
      <c r="M58" s="98"/>
      <c r="N58" s="98"/>
      <c r="O58" s="98"/>
      <c r="P58" s="98"/>
      <c r="Q58" s="98"/>
      <c r="R58" s="98"/>
      <c r="S58" s="99"/>
      <c r="T58" s="98"/>
      <c r="U58" s="99"/>
      <c r="V58" s="99"/>
      <c r="W58" s="98"/>
      <c r="X58" s="99"/>
      <c r="Y58" s="98"/>
      <c r="Z58" s="98"/>
      <c r="AA58" s="100"/>
      <c r="AB58" s="98"/>
      <c r="AC58" s="98"/>
      <c r="AD58" s="99"/>
      <c r="AE58" s="98"/>
      <c r="AF58" s="98"/>
      <c r="AG58" s="98"/>
      <c r="AH58" s="98"/>
      <c r="AI58" s="98"/>
      <c r="AJ58" s="115"/>
      <c r="AK58" s="115"/>
      <c r="AL58" s="171"/>
      <c r="AM58" s="98"/>
      <c r="AN58" s="171"/>
      <c r="AO58" s="98"/>
      <c r="AP58" s="98"/>
      <c r="AQ58" s="98"/>
      <c r="AR58" s="98"/>
      <c r="AS58" s="98"/>
      <c r="AT58" s="98"/>
      <c r="AU58" s="98"/>
      <c r="AV58" s="97">
        <v>0</v>
      </c>
      <c r="AW58" s="97">
        <v>0</v>
      </c>
      <c r="AX58" s="97">
        <v>21</v>
      </c>
      <c r="AY58" s="97" t="s">
        <v>435</v>
      </c>
      <c r="AZ58" s="97"/>
      <c r="BA58" s="97"/>
      <c r="BB58" s="97"/>
      <c r="BC58" s="97"/>
      <c r="BH58" s="26"/>
      <c r="BI58" s="26"/>
      <c r="BJ58" s="26"/>
      <c r="BK58" s="5"/>
      <c r="BL58" s="5"/>
      <c r="BN58" s="5"/>
      <c r="BO58" s="5"/>
    </row>
    <row r="59" spans="1:70" x14ac:dyDescent="0.2">
      <c r="B59" s="96" t="s">
        <v>55</v>
      </c>
      <c r="C59" s="97"/>
      <c r="D59" s="97"/>
      <c r="E59" s="98"/>
      <c r="F59" s="98"/>
      <c r="G59" s="98"/>
      <c r="H59" s="98"/>
      <c r="I59" s="98"/>
      <c r="J59" s="98"/>
      <c r="K59" s="98"/>
      <c r="L59" s="98"/>
      <c r="M59" s="98"/>
      <c r="N59" s="98"/>
      <c r="O59" s="98"/>
      <c r="P59" s="98"/>
      <c r="Q59" s="98"/>
      <c r="R59" s="98"/>
      <c r="S59" s="99">
        <v>4</v>
      </c>
      <c r="T59" s="98">
        <v>4.5999999999999996</v>
      </c>
      <c r="U59" s="99">
        <v>15.5</v>
      </c>
      <c r="V59" s="99">
        <v>17.2</v>
      </c>
      <c r="W59" s="98">
        <v>16.2</v>
      </c>
      <c r="X59" s="99">
        <v>19.8</v>
      </c>
      <c r="Y59" s="98">
        <v>19.8</v>
      </c>
      <c r="Z59" s="98">
        <v>23.8</v>
      </c>
      <c r="AA59" s="100">
        <v>23.92</v>
      </c>
      <c r="AB59" s="98">
        <v>25.6</v>
      </c>
      <c r="AC59" s="98">
        <v>18.899999999999999</v>
      </c>
      <c r="AD59" s="99">
        <v>19.3</v>
      </c>
      <c r="AE59" s="98">
        <v>19.399999999999999</v>
      </c>
      <c r="AF59" s="98">
        <v>19.899999999999999</v>
      </c>
      <c r="AG59" s="98">
        <v>17</v>
      </c>
      <c r="AH59" s="98">
        <v>19.5</v>
      </c>
      <c r="AI59" s="98">
        <v>19.8</v>
      </c>
      <c r="AJ59" s="115">
        <v>22</v>
      </c>
      <c r="AK59" s="115">
        <v>22.4</v>
      </c>
      <c r="AL59" s="198">
        <v>32</v>
      </c>
      <c r="AM59" s="99">
        <v>30.4</v>
      </c>
      <c r="AN59" s="171">
        <v>29.9</v>
      </c>
      <c r="AO59" s="98">
        <v>28.3</v>
      </c>
      <c r="AP59" s="98">
        <v>28.2</v>
      </c>
      <c r="AQ59" s="99">
        <v>27</v>
      </c>
      <c r="AR59" s="99">
        <v>27</v>
      </c>
      <c r="AS59" s="99">
        <v>27</v>
      </c>
      <c r="AT59" s="324">
        <v>27</v>
      </c>
      <c r="AU59" s="324">
        <v>30</v>
      </c>
      <c r="AV59" s="325">
        <v>40</v>
      </c>
      <c r="AW59" s="325">
        <v>40</v>
      </c>
      <c r="AX59" s="325">
        <v>438.2</v>
      </c>
      <c r="AY59" s="97" t="s">
        <v>55</v>
      </c>
      <c r="AZ59" s="97"/>
      <c r="BA59" s="97"/>
      <c r="BB59" s="97"/>
      <c r="BC59" s="97" t="s">
        <v>171</v>
      </c>
      <c r="BH59" s="5"/>
      <c r="BI59" s="5"/>
      <c r="BJ59" s="5"/>
      <c r="BK59" s="5"/>
      <c r="BL59" s="5"/>
      <c r="BN59" s="5" t="s">
        <v>188</v>
      </c>
      <c r="BO59" s="5" t="s">
        <v>191</v>
      </c>
      <c r="BP59" s="10" t="s">
        <v>345</v>
      </c>
      <c r="BQ59" s="10" t="s">
        <v>345</v>
      </c>
      <c r="BR59" s="19" t="s">
        <v>345</v>
      </c>
    </row>
    <row r="60" spans="1:70" x14ac:dyDescent="0.2">
      <c r="B60" s="96" t="s">
        <v>56</v>
      </c>
      <c r="C60" s="97"/>
      <c r="D60" s="97"/>
      <c r="E60" s="98"/>
      <c r="F60" s="98"/>
      <c r="G60" s="98"/>
      <c r="H60" s="98"/>
      <c r="I60" s="98"/>
      <c r="J60" s="98"/>
      <c r="K60" s="98"/>
      <c r="L60" s="98"/>
      <c r="M60" s="98"/>
      <c r="N60" s="98"/>
      <c r="O60" s="98"/>
      <c r="P60" s="98"/>
      <c r="Q60" s="98"/>
      <c r="R60" s="98"/>
      <c r="S60" s="99">
        <v>16.2</v>
      </c>
      <c r="T60" s="98">
        <v>15.5</v>
      </c>
      <c r="U60" s="99">
        <v>18.3</v>
      </c>
      <c r="V60" s="99">
        <v>24</v>
      </c>
      <c r="W60" s="98">
        <v>26</v>
      </c>
      <c r="X60" s="99">
        <v>29</v>
      </c>
      <c r="Y60" s="98">
        <v>30.3</v>
      </c>
      <c r="Z60" s="98">
        <v>33</v>
      </c>
      <c r="AA60" s="100">
        <v>33.5</v>
      </c>
      <c r="AB60" s="98">
        <f>37.9+17.9</f>
        <v>55.8</v>
      </c>
      <c r="AC60" s="98">
        <v>45</v>
      </c>
      <c r="AD60" s="99">
        <v>44.7</v>
      </c>
      <c r="AE60" s="98">
        <f>44+2/3</f>
        <v>44.666666666666664</v>
      </c>
      <c r="AF60" s="98">
        <v>44.2</v>
      </c>
      <c r="AG60" s="98">
        <v>35.6</v>
      </c>
      <c r="AH60" s="98">
        <v>49.5</v>
      </c>
      <c r="AI60" s="98">
        <v>44.1</v>
      </c>
      <c r="AJ60" s="115">
        <v>50</v>
      </c>
      <c r="AK60" s="115">
        <v>3084.5</v>
      </c>
      <c r="AL60" s="172">
        <v>50</v>
      </c>
      <c r="AM60" s="115">
        <v>50</v>
      </c>
      <c r="AN60" s="172">
        <v>50</v>
      </c>
      <c r="AO60" s="115">
        <v>47.1</v>
      </c>
      <c r="AP60" s="115">
        <v>50</v>
      </c>
      <c r="AQ60" s="115">
        <v>50</v>
      </c>
      <c r="AR60" s="115">
        <v>50</v>
      </c>
      <c r="AS60" s="115">
        <v>50</v>
      </c>
      <c r="AT60" s="326">
        <v>55</v>
      </c>
      <c r="AU60" s="326">
        <v>55</v>
      </c>
      <c r="AV60" s="327">
        <v>62.5</v>
      </c>
      <c r="AW60" s="327">
        <v>62.5</v>
      </c>
      <c r="AX60" s="327">
        <v>62.5</v>
      </c>
      <c r="AY60" s="97" t="s">
        <v>417</v>
      </c>
      <c r="AZ60" s="97"/>
      <c r="BA60" s="97"/>
      <c r="BB60" s="97"/>
      <c r="BC60" s="97" t="s">
        <v>172</v>
      </c>
      <c r="BH60" s="26"/>
      <c r="BI60" s="26"/>
      <c r="BJ60" s="26"/>
      <c r="BK60" s="5"/>
      <c r="BL60" s="5" t="s">
        <v>203</v>
      </c>
      <c r="BN60" s="5" t="s">
        <v>0</v>
      </c>
      <c r="BO60" s="5" t="s">
        <v>161</v>
      </c>
      <c r="BP60" s="10" t="s">
        <v>345</v>
      </c>
      <c r="BQ60" s="10" t="s">
        <v>345</v>
      </c>
      <c r="BR60" s="19" t="s">
        <v>345</v>
      </c>
    </row>
    <row r="61" spans="1:70" x14ac:dyDescent="0.2">
      <c r="B61" s="97" t="s">
        <v>137</v>
      </c>
      <c r="C61" s="97"/>
      <c r="D61" s="97"/>
      <c r="E61" s="98"/>
      <c r="F61" s="98"/>
      <c r="G61" s="98"/>
      <c r="H61" s="98"/>
      <c r="I61" s="98"/>
      <c r="J61" s="98"/>
      <c r="K61" s="98"/>
      <c r="L61" s="98"/>
      <c r="M61" s="98"/>
      <c r="N61" s="98"/>
      <c r="O61" s="98"/>
      <c r="P61" s="98"/>
      <c r="Q61" s="98"/>
      <c r="R61" s="98"/>
      <c r="S61" s="99"/>
      <c r="T61" s="98"/>
      <c r="U61" s="99"/>
      <c r="V61" s="99"/>
      <c r="W61" s="98"/>
      <c r="X61" s="99"/>
      <c r="Y61" s="98"/>
      <c r="Z61" s="98"/>
      <c r="AA61" s="100"/>
      <c r="AB61" s="98"/>
      <c r="AC61" s="98"/>
      <c r="AD61" s="99"/>
      <c r="AE61" s="98"/>
      <c r="AF61" s="98"/>
      <c r="AG61" s="98"/>
      <c r="AH61" s="98"/>
      <c r="AI61" s="98"/>
      <c r="AJ61" s="115">
        <v>0</v>
      </c>
      <c r="AK61" s="115">
        <f>398+2786</f>
        <v>3184</v>
      </c>
      <c r="AL61" s="201">
        <v>0</v>
      </c>
      <c r="AM61" s="168">
        <v>0</v>
      </c>
      <c r="AN61" s="172">
        <v>0</v>
      </c>
      <c r="AO61" s="115">
        <v>0</v>
      </c>
      <c r="AP61" s="115">
        <v>0</v>
      </c>
      <c r="AQ61" s="115">
        <v>0</v>
      </c>
      <c r="AR61" s="115">
        <v>0</v>
      </c>
      <c r="AS61" s="115">
        <v>0</v>
      </c>
      <c r="AT61" s="115">
        <v>0</v>
      </c>
      <c r="AU61" s="115">
        <v>0</v>
      </c>
      <c r="AV61" s="167">
        <v>0</v>
      </c>
      <c r="AW61" s="167">
        <v>0</v>
      </c>
      <c r="AX61" s="167">
        <v>0</v>
      </c>
      <c r="AY61" s="97" t="s">
        <v>137</v>
      </c>
      <c r="AZ61" s="97"/>
      <c r="BA61" s="97"/>
      <c r="BB61" s="97"/>
      <c r="BC61" s="97" t="s">
        <v>171</v>
      </c>
      <c r="BD61" s="53"/>
      <c r="BE61" s="53"/>
      <c r="BF61" s="53"/>
      <c r="BH61" s="26"/>
      <c r="BI61" s="26"/>
      <c r="BJ61" s="26"/>
      <c r="BK61" s="5"/>
      <c r="BL61" s="5"/>
      <c r="BN61" s="5"/>
      <c r="BO61" s="5"/>
    </row>
    <row r="62" spans="1:70" x14ac:dyDescent="0.2">
      <c r="B62" s="97" t="s">
        <v>120</v>
      </c>
      <c r="C62" s="97"/>
      <c r="D62" s="97"/>
      <c r="E62" s="98"/>
      <c r="F62" s="98"/>
      <c r="G62" s="98"/>
      <c r="H62" s="98"/>
      <c r="I62" s="98"/>
      <c r="J62" s="98"/>
      <c r="K62" s="98"/>
      <c r="L62" s="98"/>
      <c r="M62" s="98"/>
      <c r="N62" s="98"/>
      <c r="O62" s="98"/>
      <c r="P62" s="98"/>
      <c r="Q62" s="98"/>
      <c r="R62" s="98"/>
      <c r="S62" s="99"/>
      <c r="T62" s="98"/>
      <c r="U62" s="99"/>
      <c r="V62" s="99"/>
      <c r="W62" s="98"/>
      <c r="X62" s="99"/>
      <c r="Y62" s="98"/>
      <c r="Z62" s="98"/>
      <c r="AA62" s="100"/>
      <c r="AB62" s="98"/>
      <c r="AC62" s="98"/>
      <c r="AD62" s="99"/>
      <c r="AE62" s="98"/>
      <c r="AF62" s="98"/>
      <c r="AG62" s="98"/>
      <c r="AH62" s="98"/>
      <c r="AI62" s="98">
        <v>0</v>
      </c>
      <c r="AJ62" s="115">
        <v>7510</v>
      </c>
      <c r="AK62" s="115">
        <v>10</v>
      </c>
      <c r="AL62" s="172">
        <v>20</v>
      </c>
      <c r="AM62" s="168">
        <v>10</v>
      </c>
      <c r="AN62" s="172">
        <v>6</v>
      </c>
      <c r="AO62" s="115">
        <v>5.7</v>
      </c>
      <c r="AP62" s="115">
        <v>6</v>
      </c>
      <c r="AQ62" s="168">
        <v>4</v>
      </c>
      <c r="AR62" s="168">
        <v>6</v>
      </c>
      <c r="AS62" s="168">
        <v>3.9</v>
      </c>
      <c r="AT62" s="168">
        <v>5</v>
      </c>
      <c r="AU62" s="168">
        <v>5</v>
      </c>
      <c r="AV62" s="320">
        <v>5</v>
      </c>
      <c r="AW62" s="320">
        <v>0</v>
      </c>
      <c r="AX62" s="320">
        <v>0</v>
      </c>
      <c r="AY62" s="97" t="s">
        <v>120</v>
      </c>
      <c r="AZ62" s="97"/>
      <c r="BA62" s="97"/>
      <c r="BB62" s="97"/>
      <c r="BC62" s="97" t="s">
        <v>171</v>
      </c>
      <c r="BH62" s="26"/>
      <c r="BI62" s="26"/>
      <c r="BJ62" s="26"/>
      <c r="BK62" s="5"/>
      <c r="BL62" s="5"/>
      <c r="BN62" s="5"/>
      <c r="BO62" s="5"/>
    </row>
    <row r="63" spans="1:70" x14ac:dyDescent="0.2">
      <c r="B63" s="97" t="s">
        <v>117</v>
      </c>
      <c r="C63" s="97"/>
      <c r="D63" s="97"/>
      <c r="E63" s="98"/>
      <c r="F63" s="98"/>
      <c r="G63" s="98"/>
      <c r="H63" s="98"/>
      <c r="I63" s="98"/>
      <c r="J63" s="98"/>
      <c r="K63" s="98"/>
      <c r="L63" s="98"/>
      <c r="M63" s="98"/>
      <c r="N63" s="98"/>
      <c r="O63" s="98"/>
      <c r="P63" s="98"/>
      <c r="Q63" s="98"/>
      <c r="R63" s="98"/>
      <c r="S63" s="99"/>
      <c r="T63" s="98"/>
      <c r="U63" s="99"/>
      <c r="V63" s="99"/>
      <c r="W63" s="98"/>
      <c r="X63" s="99"/>
      <c r="Y63" s="98"/>
      <c r="Z63" s="98"/>
      <c r="AA63" s="100"/>
      <c r="AB63" s="98"/>
      <c r="AC63" s="98"/>
      <c r="AD63" s="99"/>
      <c r="AE63" s="98"/>
      <c r="AF63" s="98"/>
      <c r="AG63" s="98"/>
      <c r="AH63" s="98"/>
      <c r="AI63" s="98"/>
      <c r="AJ63" s="115">
        <v>0</v>
      </c>
      <c r="AK63" s="168">
        <f>298.5+1990+298.5+398+48.6</f>
        <v>3033.6</v>
      </c>
      <c r="AL63" s="172">
        <v>0</v>
      </c>
      <c r="AM63" s="115">
        <v>0</v>
      </c>
      <c r="AN63" s="172">
        <v>0</v>
      </c>
      <c r="AO63" s="115">
        <v>0</v>
      </c>
      <c r="AP63" s="115">
        <v>0</v>
      </c>
      <c r="AQ63" s="115">
        <v>0</v>
      </c>
      <c r="AR63" s="115">
        <v>0</v>
      </c>
      <c r="AS63" s="115">
        <v>0</v>
      </c>
      <c r="AT63" s="115">
        <v>0</v>
      </c>
      <c r="AU63" s="115">
        <v>0</v>
      </c>
      <c r="AV63" s="167">
        <v>0</v>
      </c>
      <c r="AW63" s="167">
        <v>0</v>
      </c>
      <c r="AX63" s="167">
        <v>0</v>
      </c>
      <c r="AY63" s="97" t="s">
        <v>215</v>
      </c>
      <c r="AZ63" s="97"/>
      <c r="BA63" s="97"/>
      <c r="BB63" s="97"/>
      <c r="BC63" s="97"/>
      <c r="BH63" s="26"/>
      <c r="BI63" s="26"/>
      <c r="BJ63" s="26"/>
      <c r="BK63" s="5"/>
      <c r="BL63" s="5"/>
      <c r="BN63" s="5"/>
      <c r="BO63" s="5"/>
    </row>
    <row r="64" spans="1:70" x14ac:dyDescent="0.2">
      <c r="B64" s="97"/>
      <c r="C64" s="97"/>
      <c r="D64" s="97"/>
      <c r="E64" s="98"/>
      <c r="F64" s="98"/>
      <c r="G64" s="98"/>
      <c r="H64" s="98"/>
      <c r="I64" s="98"/>
      <c r="J64" s="98"/>
      <c r="K64" s="98"/>
      <c r="L64" s="98"/>
      <c r="M64" s="98"/>
      <c r="N64" s="98"/>
      <c r="O64" s="98"/>
      <c r="P64" s="98"/>
      <c r="Q64" s="98"/>
      <c r="R64" s="98"/>
      <c r="S64" s="99"/>
      <c r="T64" s="98"/>
      <c r="U64" s="99"/>
      <c r="V64" s="99"/>
      <c r="W64" s="98"/>
      <c r="X64" s="99"/>
      <c r="Y64" s="98"/>
      <c r="Z64" s="98"/>
      <c r="AA64" s="100"/>
      <c r="AB64" s="98"/>
      <c r="AC64" s="98"/>
      <c r="AD64" s="99"/>
      <c r="AE64" s="98"/>
      <c r="AF64" s="98"/>
      <c r="AG64" s="98"/>
      <c r="AH64" s="98"/>
      <c r="AI64" s="98"/>
      <c r="AJ64" s="115"/>
      <c r="AK64" s="168"/>
      <c r="AL64" s="172"/>
      <c r="AM64" s="115"/>
      <c r="AN64" s="172"/>
      <c r="AO64" s="115"/>
      <c r="AP64" s="115">
        <v>0</v>
      </c>
      <c r="AQ64" s="115">
        <v>0</v>
      </c>
      <c r="AR64" s="115">
        <v>0</v>
      </c>
      <c r="AS64" s="115">
        <v>0</v>
      </c>
      <c r="AT64" s="115">
        <v>0</v>
      </c>
      <c r="AU64" s="115">
        <v>0</v>
      </c>
      <c r="AV64" s="167">
        <v>0</v>
      </c>
      <c r="AW64" s="167">
        <v>0</v>
      </c>
      <c r="AX64" s="167">
        <v>0</v>
      </c>
      <c r="AY64" s="186" t="s">
        <v>394</v>
      </c>
      <c r="AZ64" s="97"/>
      <c r="BA64" s="97"/>
      <c r="BB64" s="97"/>
      <c r="BC64" s="97"/>
      <c r="BH64" s="26"/>
      <c r="BI64" s="26"/>
      <c r="BJ64" s="26"/>
      <c r="BK64" s="5"/>
      <c r="BL64" s="5"/>
      <c r="BN64" s="5"/>
      <c r="BO64" s="5"/>
    </row>
    <row r="65" spans="1:70" x14ac:dyDescent="0.2">
      <c r="B65" s="97"/>
      <c r="C65" s="97"/>
      <c r="D65" s="290" t="str">
        <f>AY65</f>
        <v>21st Century Clean Transportation Plan Investments</v>
      </c>
      <c r="E65" s="98"/>
      <c r="F65" s="98"/>
      <c r="G65" s="98"/>
      <c r="H65" s="98"/>
      <c r="I65" s="98"/>
      <c r="J65" s="98"/>
      <c r="K65" s="98"/>
      <c r="L65" s="98"/>
      <c r="M65" s="98"/>
      <c r="N65" s="98"/>
      <c r="O65" s="98"/>
      <c r="P65" s="98"/>
      <c r="Q65" s="98"/>
      <c r="R65" s="98"/>
      <c r="S65" s="99"/>
      <c r="T65" s="98"/>
      <c r="U65" s="99"/>
      <c r="V65" s="99"/>
      <c r="W65" s="98"/>
      <c r="X65" s="99"/>
      <c r="Y65" s="98"/>
      <c r="Z65" s="98"/>
      <c r="AA65" s="100"/>
      <c r="AB65" s="98"/>
      <c r="AC65" s="98"/>
      <c r="AD65" s="99"/>
      <c r="AE65" s="98"/>
      <c r="AF65" s="98"/>
      <c r="AG65" s="98"/>
      <c r="AH65" s="98"/>
      <c r="AI65" s="98"/>
      <c r="AJ65" s="115"/>
      <c r="AK65" s="168"/>
      <c r="AL65" s="172"/>
      <c r="AM65" s="115"/>
      <c r="AN65" s="172"/>
      <c r="AO65" s="115"/>
      <c r="AP65" s="115"/>
      <c r="AQ65" s="115">
        <v>0</v>
      </c>
      <c r="AR65" s="115">
        <v>0</v>
      </c>
      <c r="AS65" s="115">
        <v>1335</v>
      </c>
      <c r="AT65" s="115">
        <v>0</v>
      </c>
      <c r="AU65" s="115">
        <v>0</v>
      </c>
      <c r="AV65" s="167">
        <v>0</v>
      </c>
      <c r="AW65" s="167">
        <v>0</v>
      </c>
      <c r="AX65" s="167">
        <v>0</v>
      </c>
      <c r="AY65" s="186" t="s">
        <v>422</v>
      </c>
      <c r="AZ65" s="97"/>
      <c r="BA65" s="97"/>
      <c r="BB65" s="97"/>
      <c r="BC65" s="97"/>
      <c r="BD65" s="5"/>
      <c r="BE65" s="5"/>
      <c r="BH65" s="26"/>
      <c r="BI65" s="26"/>
      <c r="BJ65" s="26"/>
      <c r="BK65" s="5"/>
      <c r="BL65" s="5"/>
      <c r="BN65" s="5"/>
      <c r="BO65" s="5"/>
    </row>
    <row r="66" spans="1:70" x14ac:dyDescent="0.2">
      <c r="B66" s="97"/>
      <c r="C66" s="97"/>
      <c r="D66" s="290"/>
      <c r="E66" s="98"/>
      <c r="F66" s="98"/>
      <c r="G66" s="98"/>
      <c r="H66" s="98"/>
      <c r="I66" s="98"/>
      <c r="J66" s="98"/>
      <c r="K66" s="98"/>
      <c r="L66" s="98"/>
      <c r="M66" s="98"/>
      <c r="N66" s="98"/>
      <c r="O66" s="98"/>
      <c r="P66" s="98"/>
      <c r="Q66" s="98"/>
      <c r="R66" s="98"/>
      <c r="S66" s="99"/>
      <c r="T66" s="98"/>
      <c r="U66" s="99"/>
      <c r="V66" s="99"/>
      <c r="W66" s="98"/>
      <c r="X66" s="99"/>
      <c r="Y66" s="98"/>
      <c r="Z66" s="98"/>
      <c r="AA66" s="100"/>
      <c r="AB66" s="98"/>
      <c r="AC66" s="98"/>
      <c r="AD66" s="99"/>
      <c r="AE66" s="98"/>
      <c r="AF66" s="98"/>
      <c r="AG66" s="98"/>
      <c r="AH66" s="98"/>
      <c r="AI66" s="98"/>
      <c r="AJ66" s="115"/>
      <c r="AK66" s="168"/>
      <c r="AL66" s="172"/>
      <c r="AM66" s="115"/>
      <c r="AN66" s="172"/>
      <c r="AO66" s="115"/>
      <c r="AP66" s="115"/>
      <c r="AQ66" s="115"/>
      <c r="AR66" s="115"/>
      <c r="AS66" s="115"/>
      <c r="AT66" s="115"/>
      <c r="AU66" s="115"/>
      <c r="AV66" s="167">
        <v>0</v>
      </c>
      <c r="AW66" s="167">
        <v>0</v>
      </c>
      <c r="AX66" s="167">
        <v>300</v>
      </c>
      <c r="AY66" s="186" t="s">
        <v>436</v>
      </c>
      <c r="AZ66" s="97"/>
      <c r="BA66" s="97"/>
      <c r="BB66" s="97"/>
      <c r="BC66" s="97"/>
      <c r="BD66" s="5"/>
      <c r="BE66" s="5"/>
      <c r="BH66" s="26"/>
      <c r="BI66" s="26"/>
      <c r="BJ66" s="26"/>
      <c r="BK66" s="5"/>
      <c r="BL66" s="5"/>
      <c r="BN66" s="5"/>
      <c r="BO66" s="5"/>
    </row>
    <row r="67" spans="1:70" x14ac:dyDescent="0.2">
      <c r="B67" s="97"/>
      <c r="C67" s="97"/>
      <c r="D67" s="290"/>
      <c r="E67" s="98"/>
      <c r="F67" s="98"/>
      <c r="G67" s="98"/>
      <c r="H67" s="98"/>
      <c r="I67" s="98"/>
      <c r="J67" s="98"/>
      <c r="K67" s="98"/>
      <c r="L67" s="98"/>
      <c r="M67" s="98"/>
      <c r="N67" s="98"/>
      <c r="O67" s="98"/>
      <c r="P67" s="98"/>
      <c r="Q67" s="98"/>
      <c r="R67" s="98"/>
      <c r="S67" s="99"/>
      <c r="T67" s="98"/>
      <c r="U67" s="99"/>
      <c r="V67" s="99"/>
      <c r="W67" s="98"/>
      <c r="X67" s="99"/>
      <c r="Y67" s="98"/>
      <c r="Z67" s="98"/>
      <c r="AA67" s="100"/>
      <c r="AB67" s="98"/>
      <c r="AC67" s="98"/>
      <c r="AD67" s="99"/>
      <c r="AE67" s="98"/>
      <c r="AF67" s="98"/>
      <c r="AG67" s="98"/>
      <c r="AH67" s="98"/>
      <c r="AI67" s="98"/>
      <c r="AJ67" s="115"/>
      <c r="AK67" s="168"/>
      <c r="AL67" s="172"/>
      <c r="AM67" s="115"/>
      <c r="AN67" s="172"/>
      <c r="AO67" s="115"/>
      <c r="AP67" s="115"/>
      <c r="AQ67" s="115"/>
      <c r="AR67" s="115"/>
      <c r="AS67" s="115"/>
      <c r="AT67" s="115"/>
      <c r="AU67" s="115"/>
      <c r="AV67" s="167"/>
      <c r="AW67" s="167"/>
      <c r="AX67" s="167">
        <v>25</v>
      </c>
      <c r="AY67" s="186" t="s">
        <v>437</v>
      </c>
      <c r="AZ67" s="97"/>
      <c r="BA67" s="97"/>
      <c r="BB67" s="97"/>
      <c r="BC67" s="97"/>
      <c r="BD67" s="5"/>
      <c r="BE67" s="5"/>
      <c r="BH67" s="26"/>
      <c r="BI67" s="26"/>
      <c r="BJ67" s="26"/>
      <c r="BK67" s="5"/>
      <c r="BL67" s="5"/>
      <c r="BN67" s="5"/>
      <c r="BO67" s="5"/>
    </row>
    <row r="68" spans="1:70" s="6" customFormat="1" x14ac:dyDescent="0.2">
      <c r="A68" s="31" t="s">
        <v>72</v>
      </c>
      <c r="B68" s="7"/>
      <c r="C68" s="7"/>
      <c r="D68" s="7"/>
      <c r="E68" s="60">
        <v>364.7</v>
      </c>
      <c r="F68" s="60">
        <v>402.2</v>
      </c>
      <c r="G68" s="60">
        <v>484.6</v>
      </c>
      <c r="H68" s="60">
        <v>416.8</v>
      </c>
      <c r="I68" s="60">
        <v>-6.5</v>
      </c>
      <c r="J68" s="60">
        <v>294.5</v>
      </c>
      <c r="K68" s="60">
        <v>280.2</v>
      </c>
      <c r="L68" s="60">
        <v>281.89999999999998</v>
      </c>
      <c r="M68" s="60">
        <v>252.7</v>
      </c>
      <c r="N68" s="60">
        <v>72</v>
      </c>
      <c r="O68" s="60">
        <v>153.19999999999999</v>
      </c>
      <c r="P68" s="60">
        <v>149.5</v>
      </c>
      <c r="Q68" s="60">
        <v>176.8</v>
      </c>
      <c r="R68" s="60">
        <v>234.4</v>
      </c>
      <c r="S68" s="60">
        <v>254.8</v>
      </c>
      <c r="T68" s="60">
        <v>270</v>
      </c>
      <c r="U68" s="60">
        <v>309</v>
      </c>
      <c r="V68" s="60">
        <v>324.7</v>
      </c>
      <c r="W68" s="60">
        <v>190</v>
      </c>
      <c r="X68" s="60"/>
      <c r="Y68" s="60"/>
      <c r="Z68" s="60"/>
      <c r="AA68" s="60">
        <v>0</v>
      </c>
      <c r="AB68" s="60">
        <v>124.5</v>
      </c>
      <c r="AC68" s="60">
        <f>40.95+8.23</f>
        <v>49.180000000000007</v>
      </c>
      <c r="AD68" s="60">
        <f>5.27+40.65</f>
        <v>45.92</v>
      </c>
      <c r="AE68" s="60">
        <v>34.4</v>
      </c>
      <c r="AF68" s="60">
        <f>2.3+33.9+6.5+5.5+5</f>
        <v>53.199999999999996</v>
      </c>
      <c r="AG68" s="60">
        <f>25.4+3.9+4+5</f>
        <v>38.299999999999997</v>
      </c>
      <c r="AH68" s="60">
        <f>2.3+4+5</f>
        <v>11.3</v>
      </c>
      <c r="AI68" s="60">
        <f>5.9</f>
        <v>5.9</v>
      </c>
      <c r="AJ68" s="60">
        <v>6</v>
      </c>
      <c r="AK68" s="60">
        <v>0</v>
      </c>
      <c r="AL68" s="173">
        <v>6</v>
      </c>
      <c r="AM68" s="60">
        <v>0</v>
      </c>
      <c r="AN68" s="173">
        <v>0</v>
      </c>
      <c r="AO68" s="60">
        <v>0</v>
      </c>
      <c r="AP68" s="60">
        <v>0</v>
      </c>
      <c r="AQ68" s="60">
        <v>0</v>
      </c>
      <c r="AR68" s="60">
        <v>0</v>
      </c>
      <c r="AS68" s="60">
        <v>0</v>
      </c>
      <c r="AT68" s="60">
        <v>0</v>
      </c>
      <c r="AU68" s="60">
        <v>0</v>
      </c>
      <c r="AV68" s="60">
        <v>0</v>
      </c>
      <c r="AW68" s="60">
        <v>0</v>
      </c>
      <c r="AX68" s="7">
        <v>0</v>
      </c>
      <c r="AY68" s="7" t="s">
        <v>212</v>
      </c>
      <c r="AZ68" s="7"/>
      <c r="BA68" s="7"/>
      <c r="BB68" s="7"/>
      <c r="BC68" s="37"/>
      <c r="BD68" s="7"/>
      <c r="BE68" s="7"/>
      <c r="BF68" s="7"/>
      <c r="BG68" s="7"/>
      <c r="BH68" s="7"/>
      <c r="BI68" s="7"/>
      <c r="BJ68" s="7"/>
      <c r="BK68" s="7"/>
      <c r="BL68" s="7"/>
      <c r="BM68" s="7"/>
      <c r="BN68" s="7" t="s">
        <v>338</v>
      </c>
      <c r="BO68" s="7" t="s">
        <v>162</v>
      </c>
      <c r="BP68" s="10" t="s">
        <v>211</v>
      </c>
      <c r="BQ68" s="10" t="s">
        <v>345</v>
      </c>
      <c r="BR68" s="19" t="s">
        <v>345</v>
      </c>
    </row>
    <row r="69" spans="1:70" s="6" customFormat="1" x14ac:dyDescent="0.2">
      <c r="A69" s="31" t="s">
        <v>7</v>
      </c>
      <c r="B69" s="7"/>
      <c r="C69" s="7"/>
      <c r="D69" s="7"/>
      <c r="E69" s="60"/>
      <c r="F69" s="60"/>
      <c r="G69" s="60"/>
      <c r="H69" s="60"/>
      <c r="I69" s="60"/>
      <c r="J69" s="60"/>
      <c r="K69" s="60"/>
      <c r="L69" s="60"/>
      <c r="M69" s="60"/>
      <c r="N69" s="60"/>
      <c r="O69" s="60"/>
      <c r="P69" s="60"/>
      <c r="Q69" s="60"/>
      <c r="R69" s="60"/>
      <c r="S69" s="60"/>
      <c r="T69" s="60"/>
      <c r="U69" s="60"/>
      <c r="V69" s="60"/>
      <c r="W69" s="60"/>
      <c r="X69" s="60"/>
      <c r="Y69" s="60"/>
      <c r="Z69" s="60"/>
      <c r="AA69" s="60"/>
      <c r="AB69" s="60">
        <v>0</v>
      </c>
      <c r="AC69" s="60">
        <v>0</v>
      </c>
      <c r="AD69" s="60"/>
      <c r="AE69" s="60"/>
      <c r="AF69" s="60"/>
      <c r="AG69" s="60">
        <v>3.3</v>
      </c>
      <c r="AH69" s="60"/>
      <c r="AI69" s="60"/>
      <c r="AJ69" s="60"/>
      <c r="AK69" s="60"/>
      <c r="AL69" s="173"/>
      <c r="AM69" s="60"/>
      <c r="AN69" s="173"/>
      <c r="AO69" s="60"/>
      <c r="AP69" s="60"/>
      <c r="AQ69" s="7"/>
      <c r="AR69" s="7"/>
      <c r="AS69" s="7"/>
      <c r="AT69" s="7"/>
      <c r="AU69" s="7"/>
      <c r="AV69" s="7"/>
      <c r="AW69" s="7"/>
      <c r="AX69" s="7"/>
      <c r="AY69" s="7" t="s">
        <v>7</v>
      </c>
      <c r="AZ69" s="7"/>
      <c r="BA69" s="7"/>
      <c r="BB69" s="7"/>
      <c r="BC69" s="37"/>
      <c r="BD69" s="7"/>
      <c r="BE69" s="7"/>
      <c r="BF69" s="7"/>
      <c r="BG69" s="7"/>
      <c r="BH69" s="7"/>
      <c r="BI69" s="7"/>
      <c r="BJ69" s="7"/>
      <c r="BK69" s="7"/>
      <c r="BL69" s="7"/>
      <c r="BM69" s="7"/>
      <c r="BN69" s="7"/>
      <c r="BO69" s="7"/>
      <c r="BP69" s="7"/>
      <c r="BQ69" s="7"/>
      <c r="BR69" s="38"/>
    </row>
    <row r="70" spans="1:70" s="1" customFormat="1" ht="10.5" x14ac:dyDescent="0.25">
      <c r="A70" s="34" t="s">
        <v>290</v>
      </c>
      <c r="B70" s="11"/>
      <c r="C70" s="11"/>
      <c r="D70" s="11"/>
      <c r="E70" s="111">
        <f t="shared" ref="E70:AV70" si="17">SUM(E55:E69)</f>
        <v>537.79999999999995</v>
      </c>
      <c r="F70" s="111">
        <f t="shared" si="17"/>
        <v>630.79999999999995</v>
      </c>
      <c r="G70" s="111">
        <f t="shared" si="17"/>
        <v>779.40000000000009</v>
      </c>
      <c r="H70" s="111">
        <f t="shared" si="17"/>
        <v>709.3</v>
      </c>
      <c r="I70" s="111">
        <f t="shared" si="17"/>
        <v>145.4</v>
      </c>
      <c r="J70" s="111">
        <f t="shared" si="17"/>
        <v>429.09999999999997</v>
      </c>
      <c r="K70" s="111">
        <f t="shared" si="17"/>
        <v>430.29999999999995</v>
      </c>
      <c r="L70" s="111">
        <f t="shared" si="17"/>
        <v>441.7</v>
      </c>
      <c r="M70" s="111">
        <f t="shared" si="17"/>
        <v>416.4</v>
      </c>
      <c r="N70" s="111">
        <f t="shared" si="17"/>
        <v>222.4</v>
      </c>
      <c r="O70" s="111">
        <f t="shared" si="17"/>
        <v>302.29999999999995</v>
      </c>
      <c r="P70" s="111">
        <f t="shared" si="17"/>
        <v>300.8</v>
      </c>
      <c r="Q70" s="111">
        <f t="shared" si="17"/>
        <v>366.1</v>
      </c>
      <c r="R70" s="111">
        <f t="shared" si="17"/>
        <v>460.9</v>
      </c>
      <c r="S70" s="111">
        <f t="shared" si="17"/>
        <v>725.4</v>
      </c>
      <c r="T70" s="111">
        <f t="shared" si="17"/>
        <v>784.7</v>
      </c>
      <c r="U70" s="111">
        <f t="shared" si="17"/>
        <v>927</v>
      </c>
      <c r="V70" s="111">
        <f t="shared" si="17"/>
        <v>999</v>
      </c>
      <c r="W70" s="111">
        <f t="shared" si="17"/>
        <v>705.90000000000009</v>
      </c>
      <c r="X70" s="111">
        <f t="shared" si="17"/>
        <v>563.99999999999989</v>
      </c>
      <c r="Y70" s="111">
        <f t="shared" si="17"/>
        <v>605.24999999999977</v>
      </c>
      <c r="Z70" s="111">
        <f t="shared" si="17"/>
        <v>672.19573170731701</v>
      </c>
      <c r="AA70" s="111">
        <f t="shared" si="17"/>
        <v>703.0073605947955</v>
      </c>
      <c r="AB70" s="111">
        <f t="shared" si="17"/>
        <v>920.03282392026574</v>
      </c>
      <c r="AC70" s="111">
        <f t="shared" si="17"/>
        <v>810.85260458839412</v>
      </c>
      <c r="AD70" s="111">
        <f t="shared" si="17"/>
        <v>826.32</v>
      </c>
      <c r="AE70" s="111">
        <f t="shared" si="17"/>
        <v>804.86666666666667</v>
      </c>
      <c r="AF70" s="111">
        <f t="shared" si="17"/>
        <v>758.02852680895387</v>
      </c>
      <c r="AG70" s="111">
        <f t="shared" si="17"/>
        <v>744.48462157809979</v>
      </c>
      <c r="AH70" s="111">
        <f t="shared" si="17"/>
        <v>688.02148794679965</v>
      </c>
      <c r="AI70" s="111">
        <f t="shared" si="17"/>
        <v>792.6914658538908</v>
      </c>
      <c r="AJ70" s="111">
        <f t="shared" si="17"/>
        <v>8654.980977542933</v>
      </c>
      <c r="AK70" s="111">
        <f t="shared" si="17"/>
        <v>14884.284054810109</v>
      </c>
      <c r="AL70" s="111">
        <f t="shared" si="17"/>
        <v>1070.4470952313968</v>
      </c>
      <c r="AM70" s="111">
        <f t="shared" si="17"/>
        <v>936.48349265563058</v>
      </c>
      <c r="AN70" s="111">
        <f t="shared" si="17"/>
        <v>876.27712187544125</v>
      </c>
      <c r="AO70" s="111">
        <f t="shared" si="17"/>
        <v>835.46818013205723</v>
      </c>
      <c r="AP70" s="111">
        <f t="shared" si="17"/>
        <v>977.99121512404258</v>
      </c>
      <c r="AQ70" s="111">
        <f t="shared" si="17"/>
        <v>970.69102970442987</v>
      </c>
      <c r="AR70" s="111">
        <f t="shared" si="17"/>
        <v>1118.5523316062176</v>
      </c>
      <c r="AS70" s="111">
        <f t="shared" si="17"/>
        <v>2435.5186624580788</v>
      </c>
      <c r="AT70" s="111">
        <f t="shared" si="17"/>
        <v>1287.3216845044208</v>
      </c>
      <c r="AU70" s="111">
        <f t="shared" si="17"/>
        <v>1326.0757017295152</v>
      </c>
      <c r="AV70" s="111">
        <f t="shared" si="17"/>
        <v>1543.5264629847238</v>
      </c>
      <c r="AW70" s="111">
        <f t="shared" ref="AW70" si="18">SUM(AW55:AW69)</f>
        <v>1588.6019185774451</v>
      </c>
      <c r="AX70" s="111">
        <f>SUM(AX55:AX69)</f>
        <v>2912.8292834890963</v>
      </c>
      <c r="AY70" s="11" t="s">
        <v>290</v>
      </c>
      <c r="AZ70" s="11"/>
      <c r="BA70" s="11"/>
      <c r="BB70" s="11"/>
      <c r="BC70" s="11"/>
      <c r="BD70" s="11"/>
      <c r="BE70" s="11"/>
      <c r="BF70" s="29"/>
      <c r="BG70" s="29"/>
      <c r="BH70" s="11"/>
      <c r="BI70" s="11"/>
      <c r="BJ70" s="11"/>
      <c r="BK70" s="11"/>
      <c r="BL70" s="11"/>
      <c r="BM70" s="11"/>
      <c r="BN70" s="11"/>
      <c r="BO70" s="11"/>
      <c r="BP70" s="11"/>
      <c r="BQ70" s="11"/>
      <c r="BR70" s="30"/>
    </row>
    <row r="71" spans="1:70" s="1" customFormat="1" ht="10.5" x14ac:dyDescent="0.25">
      <c r="A71" s="34"/>
      <c r="B71" s="11"/>
      <c r="C71" s="11"/>
      <c r="D71" s="11"/>
      <c r="E71" s="256">
        <f t="shared" ref="E71:AW71" si="19">SUM(E57:E67)</f>
        <v>0</v>
      </c>
      <c r="F71" s="256">
        <f t="shared" si="19"/>
        <v>0</v>
      </c>
      <c r="G71" s="256">
        <f t="shared" si="19"/>
        <v>0</v>
      </c>
      <c r="H71" s="256">
        <f t="shared" si="19"/>
        <v>0</v>
      </c>
      <c r="I71" s="256">
        <f t="shared" si="19"/>
        <v>0</v>
      </c>
      <c r="J71" s="256">
        <f t="shared" si="19"/>
        <v>0</v>
      </c>
      <c r="K71" s="256">
        <f t="shared" si="19"/>
        <v>0</v>
      </c>
      <c r="L71" s="256">
        <f t="shared" si="19"/>
        <v>0</v>
      </c>
      <c r="M71" s="256">
        <f t="shared" si="19"/>
        <v>0</v>
      </c>
      <c r="N71" s="256">
        <f t="shared" si="19"/>
        <v>0</v>
      </c>
      <c r="O71" s="256">
        <f t="shared" si="19"/>
        <v>0</v>
      </c>
      <c r="P71" s="256">
        <f t="shared" si="19"/>
        <v>0</v>
      </c>
      <c r="Q71" s="256">
        <f t="shared" si="19"/>
        <v>0</v>
      </c>
      <c r="R71" s="256">
        <f t="shared" si="19"/>
        <v>0</v>
      </c>
      <c r="S71" s="256">
        <f t="shared" si="19"/>
        <v>214.1</v>
      </c>
      <c r="T71" s="256">
        <f t="shared" si="19"/>
        <v>205.5</v>
      </c>
      <c r="U71" s="256">
        <f t="shared" si="19"/>
        <v>240.60000000000002</v>
      </c>
      <c r="V71" s="256">
        <f t="shared" si="19"/>
        <v>256</v>
      </c>
      <c r="W71" s="256">
        <f t="shared" si="19"/>
        <v>154</v>
      </c>
      <c r="X71" s="256">
        <f t="shared" si="19"/>
        <v>169.6</v>
      </c>
      <c r="Y71" s="256">
        <f t="shared" si="19"/>
        <v>175.10000000000002</v>
      </c>
      <c r="Z71" s="256">
        <f t="shared" si="19"/>
        <v>189.8</v>
      </c>
      <c r="AA71" s="256">
        <f t="shared" si="19"/>
        <v>192.42000000000002</v>
      </c>
      <c r="AB71" s="256">
        <f t="shared" si="19"/>
        <v>234.09999999999997</v>
      </c>
      <c r="AC71" s="256">
        <f t="shared" si="19"/>
        <v>293.89999999999998</v>
      </c>
      <c r="AD71" s="256">
        <f t="shared" si="19"/>
        <v>287.5</v>
      </c>
      <c r="AE71" s="256">
        <f t="shared" si="19"/>
        <v>291.26666666666665</v>
      </c>
      <c r="AF71" s="256">
        <f t="shared" si="19"/>
        <v>292.10000000000002</v>
      </c>
      <c r="AG71" s="256">
        <f t="shared" si="19"/>
        <v>290.60000000000002</v>
      </c>
      <c r="AH71" s="256">
        <f t="shared" si="19"/>
        <v>269</v>
      </c>
      <c r="AI71" s="256">
        <f t="shared" si="19"/>
        <v>286.60000000000002</v>
      </c>
      <c r="AJ71" s="256">
        <f t="shared" si="19"/>
        <v>8028.3</v>
      </c>
      <c r="AK71" s="256">
        <f t="shared" si="19"/>
        <v>14212</v>
      </c>
      <c r="AL71" s="256">
        <f t="shared" si="19"/>
        <v>312</v>
      </c>
      <c r="AM71" s="256">
        <f t="shared" si="19"/>
        <v>264.70000000000005</v>
      </c>
      <c r="AN71" s="256">
        <f t="shared" si="19"/>
        <v>150.9</v>
      </c>
      <c r="AO71" s="256">
        <f t="shared" si="19"/>
        <v>210</v>
      </c>
      <c r="AP71" s="256">
        <f t="shared" si="19"/>
        <v>258.2</v>
      </c>
      <c r="AQ71" s="256">
        <f t="shared" si="19"/>
        <v>274</v>
      </c>
      <c r="AR71" s="256">
        <f t="shared" si="19"/>
        <v>298</v>
      </c>
      <c r="AS71" s="256">
        <f t="shared" si="19"/>
        <v>1640.9</v>
      </c>
      <c r="AT71" s="256">
        <f t="shared" si="19"/>
        <v>335</v>
      </c>
      <c r="AU71" s="256">
        <f t="shared" si="19"/>
        <v>347</v>
      </c>
      <c r="AV71" s="256">
        <f t="shared" si="19"/>
        <v>412.5</v>
      </c>
      <c r="AW71" s="256">
        <f t="shared" si="19"/>
        <v>412.5</v>
      </c>
      <c r="AX71" s="256">
        <f>SUM(AX57:AX67)</f>
        <v>1236.7</v>
      </c>
      <c r="AY71" s="338" t="s">
        <v>452</v>
      </c>
      <c r="AZ71" s="11"/>
      <c r="BA71" s="11"/>
      <c r="BB71" s="11"/>
      <c r="BC71" s="11"/>
      <c r="BD71" s="11"/>
      <c r="BE71" s="11"/>
      <c r="BF71" s="29"/>
      <c r="BG71" s="29"/>
      <c r="BH71" s="11"/>
      <c r="BI71" s="11"/>
      <c r="BJ71" s="11"/>
      <c r="BK71" s="11"/>
      <c r="BL71" s="11"/>
      <c r="BM71" s="11"/>
      <c r="BN71" s="11"/>
      <c r="BO71" s="11"/>
      <c r="BP71" s="11"/>
      <c r="BQ71" s="11"/>
      <c r="BR71" s="30"/>
    </row>
    <row r="72" spans="1:70" s="1" customFormat="1" ht="10.5" x14ac:dyDescent="0.25">
      <c r="A72" s="11"/>
      <c r="B72" s="11"/>
      <c r="C72" s="11"/>
      <c r="D72" s="11"/>
      <c r="E72" s="11"/>
      <c r="F72" s="11"/>
      <c r="G72" s="11"/>
      <c r="H72" s="11"/>
      <c r="I72" s="11"/>
      <c r="J72" s="11"/>
      <c r="K72" s="11"/>
      <c r="L72" s="11"/>
      <c r="M72" s="11"/>
      <c r="N72" s="11"/>
      <c r="O72" s="11"/>
      <c r="P72" s="11"/>
      <c r="Q72" s="11"/>
      <c r="R72" s="11"/>
      <c r="S72" s="29"/>
      <c r="T72" s="11"/>
      <c r="U72" s="29"/>
      <c r="V72" s="29"/>
      <c r="W72" s="11"/>
      <c r="X72" s="29"/>
      <c r="Y72" s="11"/>
      <c r="Z72" s="11"/>
      <c r="AA72" s="5"/>
      <c r="AB72" s="11"/>
      <c r="AC72" s="11"/>
      <c r="AD72" s="29"/>
      <c r="AE72" s="11"/>
      <c r="AF72" s="11"/>
      <c r="AG72" s="11"/>
      <c r="AH72" s="11"/>
      <c r="AI72" s="11"/>
      <c r="AJ72" s="11"/>
      <c r="AK72" s="136"/>
      <c r="AL72" s="11"/>
      <c r="AM72" s="58"/>
      <c r="AN72" s="174"/>
      <c r="AO72" s="58"/>
      <c r="AP72" s="111"/>
      <c r="AQ72" s="185"/>
      <c r="AR72" s="273"/>
      <c r="AS72" s="111"/>
      <c r="AT72" s="136"/>
      <c r="AU72" s="136"/>
      <c r="AV72" s="136"/>
      <c r="AW72" s="136"/>
      <c r="AX72" s="136"/>
      <c r="AY72" s="338"/>
      <c r="AZ72" s="11"/>
      <c r="BA72" s="11"/>
      <c r="BB72" s="11"/>
      <c r="BC72" s="11"/>
      <c r="BD72" s="11"/>
      <c r="BE72" s="11"/>
      <c r="BF72" s="29"/>
      <c r="BG72" s="29"/>
      <c r="BH72" s="11"/>
      <c r="BI72" s="11"/>
      <c r="BJ72" s="11"/>
      <c r="BK72" s="11"/>
      <c r="BL72" s="11"/>
      <c r="BM72" s="11"/>
      <c r="BN72" s="11"/>
      <c r="BO72" s="11"/>
      <c r="BP72" s="11"/>
      <c r="BQ72" s="11"/>
      <c r="BR72" s="30"/>
    </row>
    <row r="73" spans="1:70" s="1" customFormat="1" ht="10.5" x14ac:dyDescent="0.25">
      <c r="A73" s="102" t="s">
        <v>150</v>
      </c>
      <c r="B73" s="103"/>
      <c r="C73" s="103"/>
      <c r="D73" s="103"/>
      <c r="E73" s="117"/>
      <c r="F73" s="117"/>
      <c r="G73" s="117"/>
      <c r="H73" s="117"/>
      <c r="I73" s="117"/>
      <c r="J73" s="117"/>
      <c r="K73" s="117"/>
      <c r="L73" s="117"/>
      <c r="M73" s="117"/>
      <c r="N73" s="117"/>
      <c r="O73" s="117"/>
      <c r="P73" s="117"/>
      <c r="Q73" s="117"/>
      <c r="R73" s="117"/>
      <c r="S73" s="118"/>
      <c r="T73" s="117"/>
      <c r="U73" s="118"/>
      <c r="V73" s="118"/>
      <c r="W73" s="117"/>
      <c r="X73" s="118"/>
      <c r="Y73" s="117"/>
      <c r="Z73" s="117"/>
      <c r="AA73" s="120"/>
      <c r="AB73" s="117"/>
      <c r="AC73" s="117"/>
      <c r="AD73" s="118"/>
      <c r="AE73" s="117"/>
      <c r="AF73" s="117"/>
      <c r="AG73" s="117"/>
      <c r="AH73" s="117"/>
      <c r="AI73" s="103"/>
      <c r="AJ73" s="103"/>
      <c r="AK73" s="103"/>
      <c r="AL73" s="103"/>
      <c r="AM73" s="104"/>
      <c r="AN73" s="237"/>
      <c r="AO73" s="104"/>
      <c r="AP73" s="104"/>
      <c r="AQ73" s="104"/>
      <c r="AR73" s="104"/>
      <c r="AS73" s="104"/>
      <c r="AT73" s="103"/>
      <c r="AU73" s="103"/>
      <c r="AV73" s="103"/>
      <c r="AW73" s="103"/>
      <c r="AX73" s="103"/>
      <c r="AY73" s="102" t="s">
        <v>150</v>
      </c>
      <c r="AZ73" s="103"/>
      <c r="BA73" s="103"/>
      <c r="BB73" s="103"/>
      <c r="BC73" s="11"/>
      <c r="BD73" s="11"/>
      <c r="BE73" s="11"/>
      <c r="BF73" s="29"/>
      <c r="BG73" s="29"/>
      <c r="BH73" s="11"/>
      <c r="BI73" s="11"/>
      <c r="BJ73" s="11"/>
      <c r="BK73" s="11"/>
      <c r="BL73" s="11"/>
      <c r="BM73" s="11"/>
      <c r="BN73" s="11"/>
      <c r="BO73" s="11"/>
      <c r="BP73" s="11"/>
      <c r="BQ73" s="11"/>
      <c r="BR73" s="30"/>
    </row>
    <row r="74" spans="1:70" s="1" customFormat="1" ht="10.5" x14ac:dyDescent="0.25">
      <c r="A74" s="194"/>
      <c r="B74" s="186" t="s">
        <v>148</v>
      </c>
      <c r="C74" s="195"/>
      <c r="D74" s="195"/>
      <c r="E74" s="104"/>
      <c r="F74" s="104"/>
      <c r="G74" s="104"/>
      <c r="H74" s="104"/>
      <c r="I74" s="104"/>
      <c r="J74" s="104"/>
      <c r="K74" s="104"/>
      <c r="L74" s="104"/>
      <c r="M74" s="104"/>
      <c r="N74" s="104"/>
      <c r="O74" s="104"/>
      <c r="P74" s="104"/>
      <c r="Q74" s="104"/>
      <c r="R74" s="104"/>
      <c r="S74" s="105"/>
      <c r="T74" s="104"/>
      <c r="U74" s="105"/>
      <c r="V74" s="105"/>
      <c r="W74" s="104"/>
      <c r="X74" s="105"/>
      <c r="Y74" s="104"/>
      <c r="Z74" s="104"/>
      <c r="AA74" s="100"/>
      <c r="AB74" s="104"/>
      <c r="AC74" s="104"/>
      <c r="AD74" s="105"/>
      <c r="AE74" s="104"/>
      <c r="AF74" s="104"/>
      <c r="AG74" s="104"/>
      <c r="AH74" s="104"/>
      <c r="AI74" s="98">
        <v>4.5</v>
      </c>
      <c r="AJ74" s="98">
        <v>0</v>
      </c>
      <c r="AK74" s="98">
        <v>0</v>
      </c>
      <c r="AL74" s="171">
        <v>0</v>
      </c>
      <c r="AM74" s="98">
        <v>169.7</v>
      </c>
      <c r="AN74" s="171">
        <v>0</v>
      </c>
      <c r="AO74" s="98">
        <v>0</v>
      </c>
      <c r="AP74" s="98">
        <v>20</v>
      </c>
      <c r="AQ74" s="272">
        <v>17</v>
      </c>
      <c r="AR74" s="98">
        <v>17</v>
      </c>
      <c r="AS74" s="98">
        <v>-0.1</v>
      </c>
      <c r="AT74" s="186">
        <v>30.9</v>
      </c>
      <c r="AU74" s="186">
        <v>12.3</v>
      </c>
      <c r="AV74" s="186">
        <f>29+5</f>
        <v>34</v>
      </c>
      <c r="AW74" s="186">
        <f>29+5</f>
        <v>34</v>
      </c>
      <c r="AX74" s="186">
        <f>29+150+5</f>
        <v>184</v>
      </c>
      <c r="AY74" s="97" t="s">
        <v>450</v>
      </c>
      <c r="AZ74" s="103"/>
      <c r="BA74" s="103"/>
      <c r="BB74" s="103"/>
      <c r="BC74" s="11"/>
      <c r="BD74" s="11"/>
      <c r="BE74" s="11"/>
      <c r="BF74" s="29"/>
      <c r="BG74" s="29"/>
      <c r="BH74" s="11"/>
      <c r="BI74" s="11"/>
      <c r="BJ74" s="11"/>
      <c r="BK74" s="11"/>
      <c r="BL74" s="11"/>
      <c r="BM74" s="11"/>
      <c r="BN74" s="11"/>
      <c r="BO74" s="11"/>
      <c r="BP74" s="11"/>
      <c r="BQ74" s="11"/>
      <c r="BR74" s="30"/>
    </row>
    <row r="75" spans="1:70" s="1" customFormat="1" ht="10.5" x14ac:dyDescent="0.25">
      <c r="A75" s="194"/>
      <c r="B75" s="186"/>
      <c r="C75" s="195"/>
      <c r="D75" s="195"/>
      <c r="E75" s="104"/>
      <c r="F75" s="104"/>
      <c r="G75" s="104"/>
      <c r="H75" s="104"/>
      <c r="I75" s="104"/>
      <c r="J75" s="104"/>
      <c r="K75" s="104"/>
      <c r="L75" s="104"/>
      <c r="M75" s="104"/>
      <c r="N75" s="104"/>
      <c r="O75" s="104"/>
      <c r="P75" s="104"/>
      <c r="Q75" s="104"/>
      <c r="R75" s="104"/>
      <c r="S75" s="105"/>
      <c r="T75" s="104"/>
      <c r="U75" s="105"/>
      <c r="V75" s="105"/>
      <c r="W75" s="104"/>
      <c r="X75" s="105"/>
      <c r="Y75" s="104"/>
      <c r="Z75" s="104"/>
      <c r="AA75" s="100"/>
      <c r="AB75" s="104"/>
      <c r="AC75" s="104"/>
      <c r="AD75" s="105"/>
      <c r="AE75" s="104"/>
      <c r="AF75" s="104"/>
      <c r="AG75" s="104"/>
      <c r="AH75" s="104"/>
      <c r="AI75" s="98"/>
      <c r="AJ75" s="98"/>
      <c r="AK75" s="98"/>
      <c r="AL75" s="171"/>
      <c r="AM75" s="98"/>
      <c r="AN75" s="171"/>
      <c r="AO75" s="98"/>
      <c r="AP75" s="98"/>
      <c r="AQ75" s="337"/>
      <c r="AR75" s="274"/>
      <c r="AS75" s="98"/>
      <c r="AT75" s="186"/>
      <c r="AU75" s="186"/>
      <c r="AV75" s="186">
        <v>0</v>
      </c>
      <c r="AW75" s="186">
        <f>-392-1908</f>
        <v>-2300</v>
      </c>
      <c r="AX75" s="186">
        <v>0</v>
      </c>
      <c r="AY75" s="97" t="s">
        <v>466</v>
      </c>
      <c r="AZ75" s="103"/>
      <c r="BA75" s="103"/>
      <c r="BB75" s="103"/>
      <c r="BC75" s="11"/>
      <c r="BD75" s="11"/>
      <c r="BE75" s="11"/>
      <c r="BF75" s="29"/>
      <c r="BG75" s="29"/>
      <c r="BH75" s="11"/>
      <c r="BI75" s="11"/>
      <c r="BJ75" s="11"/>
      <c r="BK75" s="11"/>
      <c r="BL75" s="11"/>
      <c r="BM75" s="11"/>
      <c r="BN75" s="11"/>
      <c r="BO75" s="11"/>
      <c r="BP75" s="11"/>
      <c r="BQ75" s="11"/>
      <c r="BR75" s="30"/>
    </row>
    <row r="76" spans="1:70" s="1" customFormat="1" ht="10.5" x14ac:dyDescent="0.25">
      <c r="A76" s="194"/>
      <c r="B76" s="186" t="s">
        <v>149</v>
      </c>
      <c r="C76" s="195"/>
      <c r="D76" s="195"/>
      <c r="E76" s="104"/>
      <c r="F76" s="104"/>
      <c r="G76" s="104"/>
      <c r="H76" s="104"/>
      <c r="I76" s="104"/>
      <c r="J76" s="104"/>
      <c r="K76" s="104"/>
      <c r="L76" s="104"/>
      <c r="M76" s="104"/>
      <c r="N76" s="104"/>
      <c r="O76" s="104"/>
      <c r="P76" s="104"/>
      <c r="Q76" s="104"/>
      <c r="R76" s="104"/>
      <c r="S76" s="105"/>
      <c r="T76" s="104"/>
      <c r="U76" s="105"/>
      <c r="V76" s="105"/>
      <c r="W76" s="104"/>
      <c r="X76" s="105"/>
      <c r="Y76" s="104"/>
      <c r="Z76" s="104"/>
      <c r="AA76" s="100"/>
      <c r="AB76" s="104"/>
      <c r="AC76" s="104"/>
      <c r="AD76" s="105"/>
      <c r="AE76" s="104"/>
      <c r="AF76" s="104"/>
      <c r="AG76" s="104"/>
      <c r="AH76" s="104"/>
      <c r="AI76" s="98">
        <v>0</v>
      </c>
      <c r="AJ76" s="98">
        <v>0</v>
      </c>
      <c r="AK76" s="99">
        <v>3960</v>
      </c>
      <c r="AL76" s="171">
        <v>0</v>
      </c>
      <c r="AM76" s="98">
        <v>0</v>
      </c>
      <c r="AN76" s="171">
        <v>0</v>
      </c>
      <c r="AO76" s="98">
        <v>0</v>
      </c>
      <c r="AP76" s="98">
        <v>0</v>
      </c>
      <c r="AQ76" s="171">
        <v>0</v>
      </c>
      <c r="AR76" s="274">
        <v>0</v>
      </c>
      <c r="AS76" s="98">
        <v>0</v>
      </c>
      <c r="AT76" s="99">
        <v>0</v>
      </c>
      <c r="AU76" s="186">
        <v>0</v>
      </c>
      <c r="AV76" s="186">
        <v>0</v>
      </c>
      <c r="AW76" s="186">
        <v>0</v>
      </c>
      <c r="AX76" s="186">
        <v>0</v>
      </c>
      <c r="AY76" s="97" t="s">
        <v>248</v>
      </c>
      <c r="AZ76" s="103"/>
      <c r="BA76" s="103"/>
      <c r="BB76" s="103"/>
      <c r="BC76" s="11"/>
      <c r="BD76" s="11"/>
      <c r="BE76" s="11"/>
      <c r="BF76" s="29"/>
      <c r="BG76" s="29"/>
      <c r="BH76" s="11"/>
      <c r="BI76" s="11"/>
      <c r="BJ76" s="11"/>
      <c r="BK76" s="11"/>
      <c r="BL76" s="11"/>
      <c r="BM76" s="11"/>
      <c r="BN76" s="11"/>
      <c r="BO76" s="11"/>
      <c r="BP76" s="11"/>
      <c r="BQ76" s="11"/>
      <c r="BR76" s="30"/>
    </row>
    <row r="77" spans="1:70" s="1" customFormat="1" ht="10.5" x14ac:dyDescent="0.25">
      <c r="A77" s="194"/>
      <c r="B77" s="186"/>
      <c r="C77" s="195"/>
      <c r="D77" s="195"/>
      <c r="E77" s="104"/>
      <c r="F77" s="104"/>
      <c r="G77" s="104"/>
      <c r="H77" s="104"/>
      <c r="I77" s="104"/>
      <c r="J77" s="104"/>
      <c r="K77" s="104"/>
      <c r="L77" s="104"/>
      <c r="M77" s="104"/>
      <c r="N77" s="104"/>
      <c r="O77" s="104"/>
      <c r="P77" s="104"/>
      <c r="Q77" s="104"/>
      <c r="R77" s="104"/>
      <c r="S77" s="105"/>
      <c r="T77" s="104"/>
      <c r="U77" s="105"/>
      <c r="V77" s="105"/>
      <c r="W77" s="104"/>
      <c r="X77" s="105"/>
      <c r="Y77" s="104"/>
      <c r="Z77" s="104"/>
      <c r="AA77" s="100"/>
      <c r="AB77" s="104"/>
      <c r="AC77" s="104"/>
      <c r="AD77" s="105"/>
      <c r="AE77" s="104"/>
      <c r="AF77" s="104"/>
      <c r="AG77" s="104"/>
      <c r="AH77" s="104"/>
      <c r="AI77" s="98"/>
      <c r="AJ77" s="98"/>
      <c r="AK77" s="99"/>
      <c r="AL77" s="171">
        <v>0</v>
      </c>
      <c r="AM77" s="98">
        <v>0</v>
      </c>
      <c r="AN77" s="198"/>
      <c r="AO77" s="98">
        <v>0</v>
      </c>
      <c r="AP77" s="98">
        <v>0</v>
      </c>
      <c r="AQ77" s="98">
        <v>0</v>
      </c>
      <c r="AR77" s="98">
        <v>0</v>
      </c>
      <c r="AS77" s="98">
        <v>0</v>
      </c>
      <c r="AT77" s="98">
        <v>0</v>
      </c>
      <c r="AU77" s="97">
        <v>0</v>
      </c>
      <c r="AV77" s="97">
        <v>0</v>
      </c>
      <c r="AW77" s="97">
        <v>0</v>
      </c>
      <c r="AX77" s="97">
        <v>0</v>
      </c>
      <c r="AY77" s="97" t="s">
        <v>386</v>
      </c>
      <c r="AZ77" s="103"/>
      <c r="BA77" s="103"/>
      <c r="BB77" s="103"/>
      <c r="BC77" s="11"/>
      <c r="BD77" s="11"/>
      <c r="BE77" s="11"/>
      <c r="BF77" s="29"/>
      <c r="BG77" s="29"/>
      <c r="BH77" s="11"/>
      <c r="BI77" s="11"/>
      <c r="BJ77" s="11"/>
      <c r="BK77" s="11"/>
      <c r="BL77" s="11"/>
      <c r="BM77" s="11"/>
      <c r="BN77" s="11"/>
      <c r="BO77" s="11"/>
      <c r="BP77" s="11"/>
      <c r="BQ77" s="11"/>
      <c r="BR77" s="30"/>
    </row>
    <row r="78" spans="1:70" s="1" customFormat="1" ht="10.5" x14ac:dyDescent="0.25">
      <c r="A78" s="194"/>
      <c r="B78" s="186"/>
      <c r="C78" s="195"/>
      <c r="D78" s="195"/>
      <c r="E78" s="104"/>
      <c r="F78" s="104"/>
      <c r="G78" s="104"/>
      <c r="H78" s="104"/>
      <c r="I78" s="104"/>
      <c r="J78" s="104"/>
      <c r="K78" s="104"/>
      <c r="L78" s="104"/>
      <c r="M78" s="104"/>
      <c r="N78" s="104"/>
      <c r="O78" s="104"/>
      <c r="P78" s="104"/>
      <c r="Q78" s="104"/>
      <c r="R78" s="104"/>
      <c r="S78" s="105"/>
      <c r="T78" s="104"/>
      <c r="U78" s="105"/>
      <c r="V78" s="105"/>
      <c r="W78" s="104"/>
      <c r="X78" s="105"/>
      <c r="Y78" s="104"/>
      <c r="Z78" s="104"/>
      <c r="AA78" s="100"/>
      <c r="AB78" s="104"/>
      <c r="AC78" s="104"/>
      <c r="AD78" s="105"/>
      <c r="AE78" s="104"/>
      <c r="AF78" s="104"/>
      <c r="AG78" s="104"/>
      <c r="AH78" s="104"/>
      <c r="AI78" s="98"/>
      <c r="AJ78" s="98"/>
      <c r="AK78" s="99"/>
      <c r="AL78" s="171"/>
      <c r="AM78" s="98"/>
      <c r="AN78" s="198"/>
      <c r="AO78" s="98"/>
      <c r="AP78" s="98"/>
      <c r="AQ78" s="272"/>
      <c r="AR78" s="272"/>
      <c r="AS78" s="98"/>
      <c r="AT78" s="98"/>
      <c r="AU78" s="97"/>
      <c r="AV78" s="97"/>
      <c r="AW78" s="97"/>
      <c r="AX78" s="97"/>
      <c r="AZ78" s="103"/>
      <c r="BA78" s="103"/>
      <c r="BB78" s="103"/>
      <c r="BC78" s="11"/>
      <c r="BD78" s="11"/>
      <c r="BE78" s="11"/>
      <c r="BF78" s="29"/>
      <c r="BG78" s="29"/>
      <c r="BH78" s="11"/>
      <c r="BI78" s="11"/>
      <c r="BJ78" s="11"/>
      <c r="BK78" s="11"/>
      <c r="BL78" s="11"/>
      <c r="BM78" s="11"/>
      <c r="BN78" s="11"/>
      <c r="BO78" s="11"/>
      <c r="BP78" s="11"/>
      <c r="BQ78" s="11"/>
      <c r="BR78" s="30"/>
    </row>
    <row r="79" spans="1:70" s="1" customFormat="1" ht="10.5" x14ac:dyDescent="0.25">
      <c r="A79" s="194"/>
      <c r="B79" s="186"/>
      <c r="C79" s="195"/>
      <c r="D79" s="195"/>
      <c r="E79" s="104"/>
      <c r="F79" s="104"/>
      <c r="G79" s="104"/>
      <c r="H79" s="104"/>
      <c r="I79" s="104"/>
      <c r="J79" s="104"/>
      <c r="K79" s="104"/>
      <c r="L79" s="104"/>
      <c r="M79" s="104"/>
      <c r="N79" s="104"/>
      <c r="O79" s="104"/>
      <c r="P79" s="104"/>
      <c r="Q79" s="104"/>
      <c r="R79" s="104"/>
      <c r="S79" s="105"/>
      <c r="T79" s="104"/>
      <c r="U79" s="105"/>
      <c r="V79" s="105"/>
      <c r="W79" s="104"/>
      <c r="X79" s="105"/>
      <c r="Y79" s="104"/>
      <c r="Z79" s="104"/>
      <c r="AA79" s="100"/>
      <c r="AB79" s="104"/>
      <c r="AC79" s="104"/>
      <c r="AD79" s="105"/>
      <c r="AE79" s="104"/>
      <c r="AF79" s="104"/>
      <c r="AG79" s="104"/>
      <c r="AH79" s="104"/>
      <c r="AI79" s="98"/>
      <c r="AJ79" s="98"/>
      <c r="AK79" s="99"/>
      <c r="AL79" s="171"/>
      <c r="AM79" s="98"/>
      <c r="AN79" s="198"/>
      <c r="AO79" s="98">
        <v>0</v>
      </c>
      <c r="AP79" s="98">
        <v>0</v>
      </c>
      <c r="AQ79" s="272">
        <v>0</v>
      </c>
      <c r="AR79" s="272">
        <v>0</v>
      </c>
      <c r="AS79" s="98">
        <v>0</v>
      </c>
      <c r="AT79" s="98">
        <v>0</v>
      </c>
      <c r="AU79" s="97">
        <v>0</v>
      </c>
      <c r="AV79" s="97">
        <v>0</v>
      </c>
      <c r="AW79" s="97">
        <v>0</v>
      </c>
      <c r="AX79" s="97">
        <v>0</v>
      </c>
      <c r="AY79" s="97" t="s">
        <v>387</v>
      </c>
      <c r="AZ79" s="103"/>
      <c r="BA79" s="103"/>
      <c r="BB79" s="103"/>
      <c r="BC79" s="11"/>
      <c r="BD79" s="11"/>
      <c r="BE79" s="11"/>
      <c r="BF79" s="29"/>
      <c r="BG79" s="29"/>
      <c r="BH79" s="11"/>
      <c r="BI79" s="11"/>
      <c r="BJ79" s="11"/>
      <c r="BK79" s="11"/>
      <c r="BL79" s="11"/>
      <c r="BM79" s="11"/>
      <c r="BN79" s="11"/>
      <c r="BO79" s="11"/>
      <c r="BP79" s="11"/>
      <c r="BQ79" s="11"/>
      <c r="BR79" s="30"/>
    </row>
    <row r="80" spans="1:70" s="1" customFormat="1" ht="10.5" x14ac:dyDescent="0.25">
      <c r="A80" s="195" t="s">
        <v>151</v>
      </c>
      <c r="B80" s="186"/>
      <c r="C80" s="195"/>
      <c r="D80" s="195"/>
      <c r="E80" s="104"/>
      <c r="F80" s="104"/>
      <c r="G80" s="104"/>
      <c r="H80" s="104"/>
      <c r="I80" s="104"/>
      <c r="J80" s="104"/>
      <c r="K80" s="104"/>
      <c r="L80" s="104"/>
      <c r="M80" s="104"/>
      <c r="N80" s="104"/>
      <c r="O80" s="104"/>
      <c r="P80" s="104"/>
      <c r="Q80" s="104"/>
      <c r="R80" s="104"/>
      <c r="S80" s="105"/>
      <c r="T80" s="104"/>
      <c r="U80" s="105"/>
      <c r="V80" s="105"/>
      <c r="W80" s="104"/>
      <c r="X80" s="105"/>
      <c r="Y80" s="104"/>
      <c r="Z80" s="104"/>
      <c r="AA80" s="100"/>
      <c r="AB80" s="104"/>
      <c r="AC80" s="104"/>
      <c r="AD80" s="105"/>
      <c r="AE80" s="104"/>
      <c r="AF80" s="104"/>
      <c r="AG80" s="104"/>
      <c r="AH80" s="104"/>
      <c r="AI80" s="104">
        <f t="shared" ref="AI80:AN80" si="20">SUM(AI74:AI77)</f>
        <v>4.5</v>
      </c>
      <c r="AJ80" s="104">
        <f t="shared" si="20"/>
        <v>0</v>
      </c>
      <c r="AK80" s="104">
        <f t="shared" si="20"/>
        <v>3960</v>
      </c>
      <c r="AL80" s="104">
        <f t="shared" si="20"/>
        <v>0</v>
      </c>
      <c r="AM80" s="104">
        <f t="shared" si="20"/>
        <v>169.7</v>
      </c>
      <c r="AN80" s="237">
        <f t="shared" si="20"/>
        <v>0</v>
      </c>
      <c r="AO80" s="104">
        <f t="shared" ref="AO80:AX80" si="21">SUM(AO74:AO79)</f>
        <v>0</v>
      </c>
      <c r="AP80" s="104">
        <f t="shared" si="21"/>
        <v>20</v>
      </c>
      <c r="AQ80" s="104">
        <f t="shared" si="21"/>
        <v>17</v>
      </c>
      <c r="AR80" s="104">
        <f t="shared" si="21"/>
        <v>17</v>
      </c>
      <c r="AS80" s="104">
        <f t="shared" si="21"/>
        <v>-0.1</v>
      </c>
      <c r="AT80" s="104">
        <f t="shared" si="21"/>
        <v>30.9</v>
      </c>
      <c r="AU80" s="104">
        <f t="shared" si="21"/>
        <v>12.3</v>
      </c>
      <c r="AV80" s="104">
        <f t="shared" si="21"/>
        <v>34</v>
      </c>
      <c r="AW80" s="104">
        <f t="shared" si="21"/>
        <v>-2266</v>
      </c>
      <c r="AX80" s="104">
        <f t="shared" si="21"/>
        <v>184</v>
      </c>
      <c r="AY80" s="103" t="s">
        <v>151</v>
      </c>
      <c r="AZ80" s="103"/>
      <c r="BA80" s="103"/>
      <c r="BB80" s="103"/>
      <c r="BC80" s="11"/>
      <c r="BD80" s="11"/>
      <c r="BE80" s="11"/>
      <c r="BF80" s="29"/>
      <c r="BG80" s="29"/>
      <c r="BH80" s="11"/>
      <c r="BI80" s="11"/>
      <c r="BJ80" s="11"/>
      <c r="BK80" s="11"/>
      <c r="BL80" s="11"/>
      <c r="BM80" s="11"/>
      <c r="BN80" s="11"/>
      <c r="BO80" s="11"/>
      <c r="BP80" s="11"/>
      <c r="BQ80" s="11"/>
      <c r="BR80" s="30"/>
    </row>
    <row r="81" spans="1:70" s="1" customFormat="1" ht="10.5" x14ac:dyDescent="0.25">
      <c r="A81" s="196"/>
      <c r="B81" s="29"/>
      <c r="C81" s="29"/>
      <c r="D81" s="29"/>
      <c r="E81" s="58"/>
      <c r="F81" s="58"/>
      <c r="G81" s="58"/>
      <c r="H81" s="58"/>
      <c r="I81" s="58"/>
      <c r="J81" s="58"/>
      <c r="K81" s="58"/>
      <c r="L81" s="58"/>
      <c r="M81" s="58"/>
      <c r="N81" s="58"/>
      <c r="O81" s="58"/>
      <c r="P81" s="58"/>
      <c r="Q81" s="58"/>
      <c r="R81" s="58"/>
      <c r="S81" s="59"/>
      <c r="T81" s="58"/>
      <c r="U81" s="59"/>
      <c r="V81" s="59"/>
      <c r="W81" s="58"/>
      <c r="X81" s="59"/>
      <c r="Y81" s="58"/>
      <c r="Z81" s="58"/>
      <c r="AA81" s="56"/>
      <c r="AB81" s="58"/>
      <c r="AC81" s="58"/>
      <c r="AD81" s="59"/>
      <c r="AE81" s="58"/>
      <c r="AF81" s="58"/>
      <c r="AG81" s="58"/>
      <c r="AH81" s="58"/>
      <c r="AI81" s="11"/>
      <c r="AJ81" s="11"/>
      <c r="AK81" s="11"/>
      <c r="AL81" s="11"/>
      <c r="AM81" s="58"/>
      <c r="AN81" s="174"/>
      <c r="AO81" s="58"/>
      <c r="AP81" s="58"/>
      <c r="AQ81" s="58"/>
      <c r="AR81" s="275"/>
      <c r="AS81" s="275"/>
      <c r="AT81" s="11"/>
      <c r="AU81" s="11"/>
      <c r="AV81" s="11"/>
      <c r="AW81" s="11"/>
      <c r="AX81" s="11"/>
      <c r="AY81" s="11"/>
      <c r="AZ81" s="11"/>
      <c r="BA81" s="11"/>
      <c r="BB81" s="11"/>
      <c r="BC81" s="11"/>
      <c r="BD81" s="11"/>
      <c r="BE81" s="11"/>
      <c r="BF81" s="29"/>
      <c r="BG81" s="29"/>
      <c r="BH81" s="11"/>
      <c r="BI81" s="11"/>
      <c r="BJ81" s="11"/>
      <c r="BK81" s="11"/>
      <c r="BL81" s="11"/>
      <c r="BM81" s="11"/>
      <c r="BN81" s="11"/>
      <c r="BO81" s="11"/>
      <c r="BP81" s="11"/>
      <c r="BQ81" s="11"/>
      <c r="BR81" s="30"/>
    </row>
    <row r="82" spans="1:70" s="1" customFormat="1" ht="10.5" x14ac:dyDescent="0.25">
      <c r="A82" s="197" t="s">
        <v>159</v>
      </c>
      <c r="B82" s="29"/>
      <c r="C82" s="29"/>
      <c r="D82" s="29"/>
      <c r="E82" s="77">
        <v>0</v>
      </c>
      <c r="F82" s="77">
        <v>0</v>
      </c>
      <c r="G82" s="77">
        <v>0</v>
      </c>
      <c r="H82" s="77">
        <v>0</v>
      </c>
      <c r="I82" s="77">
        <v>0</v>
      </c>
      <c r="J82" s="77">
        <v>0</v>
      </c>
      <c r="K82" s="77">
        <v>0</v>
      </c>
      <c r="L82" s="77">
        <v>0</v>
      </c>
      <c r="M82" s="77">
        <v>0</v>
      </c>
      <c r="N82" s="77">
        <v>0</v>
      </c>
      <c r="O82" s="77">
        <v>0</v>
      </c>
      <c r="P82" s="77">
        <v>0</v>
      </c>
      <c r="Q82" s="77">
        <v>0</v>
      </c>
      <c r="R82" s="77">
        <v>0</v>
      </c>
      <c r="S82" s="77">
        <v>0</v>
      </c>
      <c r="T82" s="77">
        <v>0</v>
      </c>
      <c r="U82" s="77">
        <v>9.6</v>
      </c>
      <c r="V82" s="77">
        <v>8.8000000000000007</v>
      </c>
      <c r="W82" s="77">
        <v>14.3</v>
      </c>
      <c r="X82" s="77">
        <v>14.8</v>
      </c>
      <c r="Y82" s="77">
        <v>18.899999999999999</v>
      </c>
      <c r="Z82" s="77">
        <v>24.98</v>
      </c>
      <c r="AA82" s="77">
        <v>24.29</v>
      </c>
      <c r="AB82" s="77">
        <v>26.6</v>
      </c>
      <c r="AC82" s="77">
        <f>28.9+46.7</f>
        <v>75.599999999999994</v>
      </c>
      <c r="AD82" s="77">
        <f>38.1+53.9</f>
        <v>92</v>
      </c>
      <c r="AE82" s="77">
        <f>80.4+63.8</f>
        <v>144.19999999999999</v>
      </c>
      <c r="AF82" s="77">
        <v>166.8</v>
      </c>
      <c r="AG82" s="77">
        <v>153.5</v>
      </c>
      <c r="AH82" s="77">
        <v>189.5</v>
      </c>
      <c r="AI82" s="121">
        <v>206.2</v>
      </c>
      <c r="AJ82" s="123">
        <v>164.6</v>
      </c>
      <c r="AK82" s="59">
        <v>43</v>
      </c>
      <c r="AL82" s="175">
        <v>174</v>
      </c>
      <c r="AM82" s="59">
        <v>95.8</v>
      </c>
      <c r="AN82" s="175">
        <v>101.3</v>
      </c>
      <c r="AO82" s="59">
        <v>95.8</v>
      </c>
      <c r="AP82" s="59">
        <v>92.9</v>
      </c>
      <c r="AQ82" s="59">
        <v>94.8</v>
      </c>
      <c r="AR82" s="121">
        <v>101</v>
      </c>
      <c r="AS82" s="121">
        <v>101</v>
      </c>
      <c r="AT82" s="29">
        <v>115</v>
      </c>
      <c r="AU82" s="29">
        <v>120</v>
      </c>
      <c r="AV82" s="29">
        <v>150</v>
      </c>
      <c r="AW82" s="29">
        <v>150</v>
      </c>
      <c r="AX82" s="29">
        <v>197.5</v>
      </c>
      <c r="AY82" s="94" t="s">
        <v>182</v>
      </c>
      <c r="AZ82" s="93"/>
      <c r="BA82" s="93"/>
      <c r="BB82" s="93"/>
      <c r="BC82" s="93"/>
      <c r="BD82" s="29"/>
      <c r="BE82" s="11"/>
      <c r="BF82" s="29"/>
      <c r="BG82" s="29"/>
      <c r="BH82" s="11"/>
      <c r="BI82" s="11"/>
      <c r="BJ82" s="11"/>
      <c r="BK82" s="11"/>
      <c r="BL82" s="11"/>
      <c r="BM82" s="11"/>
      <c r="BN82" s="11"/>
      <c r="BO82" s="11"/>
      <c r="BP82" s="11"/>
      <c r="BQ82" s="11"/>
      <c r="BR82" s="30"/>
    </row>
    <row r="83" spans="1:70" s="1" customFormat="1" ht="10.5" x14ac:dyDescent="0.25">
      <c r="A83" s="197"/>
      <c r="B83" s="5" t="s">
        <v>181</v>
      </c>
      <c r="C83" s="29"/>
      <c r="D83" s="29"/>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122">
        <v>13.1</v>
      </c>
      <c r="AJ83" s="55">
        <v>8.3000000000000007</v>
      </c>
      <c r="AK83" s="55">
        <v>0</v>
      </c>
      <c r="AL83" s="176">
        <v>6.4</v>
      </c>
      <c r="AM83" s="55">
        <v>0</v>
      </c>
      <c r="AN83" s="176">
        <v>0</v>
      </c>
      <c r="AO83" s="55">
        <v>0</v>
      </c>
      <c r="AP83" s="55">
        <v>0</v>
      </c>
      <c r="AQ83" s="75">
        <v>0</v>
      </c>
      <c r="AR83" s="276">
        <v>0</v>
      </c>
      <c r="AS83" s="276">
        <v>0</v>
      </c>
      <c r="AT83" s="5">
        <v>0</v>
      </c>
      <c r="AU83" s="5"/>
      <c r="AV83" s="5"/>
      <c r="AW83" s="5"/>
      <c r="AX83" s="5"/>
      <c r="AY83" s="89" t="s">
        <v>181</v>
      </c>
      <c r="AZ83" s="93"/>
      <c r="BA83" s="93"/>
      <c r="BB83" s="93"/>
      <c r="BC83" s="93"/>
      <c r="BD83" s="29"/>
      <c r="BE83" s="11"/>
      <c r="BF83" s="29"/>
      <c r="BG83" s="29"/>
      <c r="BH83" s="11"/>
      <c r="BI83" s="11"/>
      <c r="BJ83" s="11"/>
      <c r="BK83" s="11"/>
      <c r="BL83" s="11"/>
      <c r="BM83" s="11"/>
      <c r="BN83" s="11"/>
      <c r="BO83" s="11"/>
      <c r="BP83" s="11"/>
      <c r="BQ83" s="11"/>
      <c r="BR83" s="30"/>
    </row>
    <row r="84" spans="1:70" s="1" customFormat="1" ht="10.5" x14ac:dyDescent="0.25">
      <c r="A84" s="197"/>
      <c r="B84" s="5"/>
      <c r="C84" s="29"/>
      <c r="D84" s="29"/>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59"/>
      <c r="AF84" s="71">
        <f>(98.2+16.8)*(AF82)/(AF43+AF46+AF45+AF104+AF105+AF106+AF107+AF108+AF82+AF49)</f>
        <v>24.963560645497136</v>
      </c>
      <c r="AG84" s="71">
        <f>(98.5+13.3)*(AG82)/(AG43+AG46+AG45+AG104+AG105+AG106+AG107+AG108+AG82+AG49)</f>
        <v>23.029119699409556</v>
      </c>
      <c r="AH84" s="71">
        <f>((99.3+11)*(AH82)/(AH43+AH46+AH45+AH104+AH105+AH106+AH107+AH108+AH82+AH49))</f>
        <v>21.718464256026596</v>
      </c>
      <c r="AI84" s="71">
        <f>(104.1+10.8)*(AI82)/(AI43+AI46+AI45+AI104+AI105+AI106+AI107+AI108+AI82+AI49)</f>
        <v>22.566320601962094</v>
      </c>
      <c r="AJ84" s="71">
        <f>(127.6+18.2)*(AJ82)/(AJ43+AJ46+AJ45+AJ104+AJ105+AJ106+AJ107+AJ108+AJ82+AJ49)</f>
        <v>19.81396961690885</v>
      </c>
      <c r="AK84" s="71">
        <f>(80+21.9)*(AK82)/(AK43+AK46+AK45+AK104+AK105+AK106+AK107+AK108+AK82)</f>
        <v>2.0775212175809585</v>
      </c>
      <c r="AL84" s="71">
        <f>(140+45)*(AL82)/(AL43+AL46+AL45+AL104+AL105+AL106+AL107+AL108+AL82)</f>
        <v>22.640315093543396</v>
      </c>
      <c r="AM84" s="71">
        <f>(170+32)*(AM82)/(AM43+AM46+AM48+AM45+AM104+AM105+AM106+AM107+AM108+AM82)</f>
        <v>14.003785487596437</v>
      </c>
      <c r="AN84" s="238">
        <f>(165+25)*(AN82)/(AN43+AN46+AN48+AN45+AN104+AN105+AN106+AN107+AN108+AN82)</f>
        <v>12.80421296991698</v>
      </c>
      <c r="AO84" s="71">
        <f>(160.5+23.6)*(AO82)/(AO43+AO46+AO48+AO45+AO104+AO105+AO106+AO107+AO108+AO82)</f>
        <v>12.308724727472518</v>
      </c>
      <c r="AP84" s="71">
        <f>(162+23.5)*(AP82)/(AP43+AP46+AP48+AP45+AP104+AP105+AP106+AP107+AP108+AP82)</f>
        <v>11.432300936278118</v>
      </c>
      <c r="AQ84" s="71">
        <f>(160.8+21)*(AQ82)/(AQ43+AQ46+AQ48+AQ45+AQ104+AQ105+AQ106+AQ107+AQ108+AQ82)</f>
        <v>11.953632423093335</v>
      </c>
      <c r="AR84" s="71">
        <f>(155+21)*(AR82)/(AR43+AR46+AR48+AR45+AR104+AR105+AR106+AR107+AR108+AR82)</f>
        <v>10.91655635882293</v>
      </c>
      <c r="AS84" s="71">
        <f>(153.5+19)*(AS82)/(AS43+AS46+AS48+AS45+AS104+AS105+AS106+AS107+AS108+AS82)</f>
        <v>10.839480936129807</v>
      </c>
      <c r="AT84" s="71">
        <f>(152.5+18.9)*(AT82)/(AT43+AT46+AT48+AT45+AT104+AT105+AT106+AT107+AT108+AT82)</f>
        <v>10.900162382005552</v>
      </c>
      <c r="AU84" s="71">
        <f>(162.5)*(AU82)/(AU43+AU46+AU48+AU45+AU104+AU105+AU106+AU107+AU108+AU82)</f>
        <v>10.525885653037186</v>
      </c>
      <c r="AV84" s="71">
        <f>(165)*(AV82)/(AV43+AV46+AV48+AV45+AV104+AV105+AV106+AV107+AV108+AV82)</f>
        <v>11.157275188632365</v>
      </c>
      <c r="AW84" s="71">
        <f>(165)*(AW82)/(AW43+AW46+AW48+AW45+AW104+AW105+AW106+AW107+AW108+AW82)</f>
        <v>11.10752112793188</v>
      </c>
      <c r="AX84" s="71">
        <f>(250)*(AX82)/(AX43+AX46+AX48+AX45+AX104+AX105+AX106+AX107+AX108+AX82)</f>
        <v>15.595244256738738</v>
      </c>
      <c r="AY84" s="89" t="s">
        <v>269</v>
      </c>
      <c r="AZ84" s="93"/>
      <c r="BA84" s="93"/>
      <c r="BC84" s="189"/>
      <c r="BD84" s="189"/>
      <c r="BE84" s="11"/>
      <c r="BF84" s="29"/>
      <c r="BG84" s="29"/>
      <c r="BH84" s="11"/>
      <c r="BI84" s="11"/>
      <c r="BJ84" s="11"/>
      <c r="BK84" s="11"/>
      <c r="BL84" s="11"/>
      <c r="BM84" s="11"/>
      <c r="BN84" s="11"/>
      <c r="BO84" s="11"/>
      <c r="BP84" s="11"/>
      <c r="BQ84" s="11"/>
      <c r="BR84" s="30"/>
    </row>
    <row r="85" spans="1:70" s="1" customFormat="1" ht="10.5" x14ac:dyDescent="0.25">
      <c r="A85" s="83" t="s">
        <v>158</v>
      </c>
      <c r="B85" s="84"/>
      <c r="C85" s="80"/>
      <c r="D85" s="80"/>
      <c r="E85" s="84">
        <f t="shared" ref="E85:T85" si="22">E82+E83</f>
        <v>0</v>
      </c>
      <c r="F85" s="84">
        <f t="shared" si="22"/>
        <v>0</v>
      </c>
      <c r="G85" s="84">
        <f t="shared" si="22"/>
        <v>0</v>
      </c>
      <c r="H85" s="84">
        <f t="shared" si="22"/>
        <v>0</v>
      </c>
      <c r="I85" s="84">
        <f t="shared" si="22"/>
        <v>0</v>
      </c>
      <c r="J85" s="84">
        <f t="shared" si="22"/>
        <v>0</v>
      </c>
      <c r="K85" s="84">
        <f t="shared" si="22"/>
        <v>0</v>
      </c>
      <c r="L85" s="84">
        <f t="shared" si="22"/>
        <v>0</v>
      </c>
      <c r="M85" s="84">
        <f t="shared" si="22"/>
        <v>0</v>
      </c>
      <c r="N85" s="84">
        <f t="shared" si="22"/>
        <v>0</v>
      </c>
      <c r="O85" s="84">
        <f t="shared" si="22"/>
        <v>0</v>
      </c>
      <c r="P85" s="84">
        <f t="shared" si="22"/>
        <v>0</v>
      </c>
      <c r="Q85" s="84">
        <f t="shared" si="22"/>
        <v>0</v>
      </c>
      <c r="R85" s="84">
        <f t="shared" si="22"/>
        <v>0</v>
      </c>
      <c r="S85" s="84">
        <f t="shared" si="22"/>
        <v>0</v>
      </c>
      <c r="T85" s="84">
        <f t="shared" si="22"/>
        <v>0</v>
      </c>
      <c r="U85" s="193">
        <f t="shared" ref="U85:AJ85" si="23">U82+U83+U84</f>
        <v>9.6</v>
      </c>
      <c r="V85" s="193">
        <f t="shared" si="23"/>
        <v>8.8000000000000007</v>
      </c>
      <c r="W85" s="193">
        <f t="shared" si="23"/>
        <v>14.3</v>
      </c>
      <c r="X85" s="193">
        <f t="shared" si="23"/>
        <v>14.8</v>
      </c>
      <c r="Y85" s="193">
        <f t="shared" si="23"/>
        <v>18.899999999999999</v>
      </c>
      <c r="Z85" s="193">
        <f t="shared" si="23"/>
        <v>24.98</v>
      </c>
      <c r="AA85" s="193">
        <f t="shared" si="23"/>
        <v>24.29</v>
      </c>
      <c r="AB85" s="193">
        <f t="shared" si="23"/>
        <v>26.6</v>
      </c>
      <c r="AC85" s="193">
        <f t="shared" si="23"/>
        <v>75.599999999999994</v>
      </c>
      <c r="AD85" s="193">
        <f t="shared" si="23"/>
        <v>92</v>
      </c>
      <c r="AE85" s="188">
        <f t="shared" si="23"/>
        <v>144.19999999999999</v>
      </c>
      <c r="AF85" s="188">
        <f>AF82+AF83+AF84</f>
        <v>191.76356064549714</v>
      </c>
      <c r="AG85" s="188">
        <f t="shared" si="23"/>
        <v>176.52911969940956</v>
      </c>
      <c r="AH85" s="188">
        <f t="shared" si="23"/>
        <v>211.21846425602661</v>
      </c>
      <c r="AI85" s="188">
        <f t="shared" si="23"/>
        <v>241.86632060196209</v>
      </c>
      <c r="AJ85" s="188">
        <f t="shared" si="23"/>
        <v>192.71396961690886</v>
      </c>
      <c r="AK85" s="188">
        <f>AK82+AK83+AK84</f>
        <v>45.077521217580959</v>
      </c>
      <c r="AL85" s="188">
        <f t="shared" ref="AL85:AR85" si="24">SUM(AL82:AL84)</f>
        <v>203.0403150935434</v>
      </c>
      <c r="AM85" s="188">
        <f t="shared" si="24"/>
        <v>109.80378548759643</v>
      </c>
      <c r="AN85" s="239">
        <f t="shared" si="24"/>
        <v>114.10421296991697</v>
      </c>
      <c r="AO85" s="188">
        <f t="shared" si="24"/>
        <v>108.10872472747252</v>
      </c>
      <c r="AP85" s="188">
        <f t="shared" si="24"/>
        <v>104.33230093627813</v>
      </c>
      <c r="AQ85" s="188">
        <f t="shared" si="24"/>
        <v>106.75363242309334</v>
      </c>
      <c r="AR85" s="188">
        <f t="shared" si="24"/>
        <v>111.91655635882293</v>
      </c>
      <c r="AS85" s="188">
        <f t="shared" ref="AS85:AX85" si="25">SUM(AS82:AS84)</f>
        <v>111.8394809361298</v>
      </c>
      <c r="AT85" s="188">
        <f t="shared" si="25"/>
        <v>125.90016238200555</v>
      </c>
      <c r="AU85" s="188">
        <f t="shared" si="25"/>
        <v>130.52588565303719</v>
      </c>
      <c r="AV85" s="188">
        <f t="shared" si="25"/>
        <v>161.15727518863235</v>
      </c>
      <c r="AW85" s="188">
        <f t="shared" si="25"/>
        <v>161.10752112793188</v>
      </c>
      <c r="AX85" s="188">
        <f t="shared" si="25"/>
        <v>213.09524425673874</v>
      </c>
      <c r="AY85" s="80" t="s">
        <v>157</v>
      </c>
      <c r="AZ85" s="80"/>
      <c r="BA85" s="80"/>
      <c r="BB85" s="80"/>
      <c r="BC85" s="80"/>
      <c r="BD85" s="29"/>
      <c r="BE85" s="11"/>
      <c r="BF85" s="29"/>
      <c r="BG85" s="29"/>
      <c r="BH85" s="11"/>
      <c r="BI85" s="11"/>
      <c r="BJ85" s="11"/>
      <c r="BK85" s="11"/>
      <c r="BL85" s="11"/>
      <c r="BM85" s="11"/>
      <c r="BN85" s="11"/>
      <c r="BO85" s="11"/>
      <c r="BP85" s="11"/>
      <c r="BQ85" s="11"/>
      <c r="BR85" s="30"/>
    </row>
    <row r="86" spans="1:70" s="191" customFormat="1" ht="10.5" x14ac:dyDescent="0.25">
      <c r="A86" s="197"/>
      <c r="B86" s="5"/>
      <c r="C86" s="29"/>
      <c r="D86" s="29"/>
      <c r="E86" s="5"/>
      <c r="F86" s="5"/>
      <c r="G86" s="5"/>
      <c r="H86" s="5"/>
      <c r="I86" s="5"/>
      <c r="J86" s="5"/>
      <c r="K86" s="5"/>
      <c r="L86" s="5"/>
      <c r="M86" s="5"/>
      <c r="N86" s="5"/>
      <c r="O86" s="5"/>
      <c r="P86" s="5"/>
      <c r="Q86" s="5"/>
      <c r="R86" s="5"/>
      <c r="S86" s="5"/>
      <c r="T86" s="5"/>
      <c r="U86" s="231"/>
      <c r="V86" s="231"/>
      <c r="W86" s="231"/>
      <c r="X86" s="231"/>
      <c r="Y86" s="231"/>
      <c r="Z86" s="231"/>
      <c r="AA86" s="231"/>
      <c r="AB86" s="231"/>
      <c r="AC86" s="231"/>
      <c r="AD86" s="231"/>
      <c r="AE86" s="64"/>
      <c r="AF86" s="64"/>
      <c r="AG86" s="64"/>
      <c r="AH86" s="64"/>
      <c r="AI86" s="64"/>
      <c r="AJ86" s="64"/>
      <c r="AK86" s="64"/>
      <c r="AL86" s="178"/>
      <c r="AM86" s="64"/>
      <c r="AN86" s="178"/>
      <c r="AO86" s="64"/>
      <c r="AP86" s="64"/>
      <c r="AQ86" s="178"/>
      <c r="AR86" s="264"/>
      <c r="AS86" s="264"/>
      <c r="AT86" s="36"/>
      <c r="AU86" s="36"/>
      <c r="AV86" s="36"/>
      <c r="AW86" s="36"/>
      <c r="AX86" s="36"/>
      <c r="AY86" s="29"/>
      <c r="AZ86" s="29"/>
      <c r="BA86" s="29"/>
      <c r="BB86" s="29"/>
      <c r="BC86" s="29"/>
      <c r="BD86" s="29"/>
      <c r="BE86" s="29"/>
      <c r="BF86" s="29"/>
      <c r="BG86" s="29"/>
      <c r="BH86" s="29"/>
      <c r="BI86" s="29"/>
      <c r="BJ86" s="29"/>
      <c r="BK86" s="29"/>
      <c r="BL86" s="29"/>
      <c r="BM86" s="29"/>
      <c r="BN86" s="29"/>
      <c r="BO86" s="29"/>
      <c r="BP86" s="29"/>
      <c r="BQ86" s="29"/>
      <c r="BR86" s="190"/>
    </row>
    <row r="87" spans="1:70" s="1" customFormat="1" ht="10.5" x14ac:dyDescent="0.25">
      <c r="A87" s="197" t="str">
        <f>AY87</f>
        <v>ARPA-Energy</v>
      </c>
      <c r="B87" s="29"/>
      <c r="C87" s="29"/>
      <c r="D87" s="2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175"/>
      <c r="AM87" s="59"/>
      <c r="AN87" s="175"/>
      <c r="AO87" s="59"/>
      <c r="AP87" s="59"/>
      <c r="AQ87" s="175"/>
      <c r="AR87" s="121"/>
      <c r="AS87" s="121"/>
      <c r="AT87" s="29"/>
      <c r="AU87" s="29"/>
      <c r="AV87" s="29"/>
      <c r="AW87" s="29"/>
      <c r="AX87" s="29"/>
      <c r="AY87" s="224" t="s">
        <v>458</v>
      </c>
      <c r="AZ87" s="29"/>
      <c r="BA87" s="29"/>
      <c r="BB87" s="29"/>
      <c r="BC87" s="29"/>
      <c r="BD87" s="29"/>
      <c r="BE87" s="11"/>
      <c r="BF87" s="29"/>
      <c r="BG87" s="29"/>
      <c r="BH87" s="11"/>
      <c r="BI87" s="11"/>
      <c r="BJ87" s="11"/>
      <c r="BK87" s="11"/>
      <c r="BL87" s="11"/>
      <c r="BM87" s="11"/>
      <c r="BN87" s="11"/>
      <c r="BO87" s="11"/>
      <c r="BP87" s="11"/>
      <c r="BQ87" s="11"/>
      <c r="BR87" s="30"/>
    </row>
    <row r="88" spans="1:70" s="1" customFormat="1" ht="10.5" x14ac:dyDescent="0.25">
      <c r="A88" s="5" t="str">
        <f>AY88</f>
        <v>Projects (FY17 on, inc. ARPA-E mandatory funding)</v>
      </c>
      <c r="B88" s="225"/>
      <c r="C88" s="225"/>
      <c r="D88" s="225"/>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v>8.6999999999999993</v>
      </c>
      <c r="AK88" s="226">
        <v>388.9</v>
      </c>
      <c r="AL88" s="227">
        <v>0</v>
      </c>
      <c r="AM88" s="226">
        <v>165.6</v>
      </c>
      <c r="AN88" s="227">
        <v>253</v>
      </c>
      <c r="AO88" s="226">
        <v>226.6</v>
      </c>
      <c r="AP88" s="226">
        <v>252</v>
      </c>
      <c r="AQ88" s="227">
        <v>252</v>
      </c>
      <c r="AR88" s="277">
        <v>261.8</v>
      </c>
      <c r="AS88" s="277">
        <v>276.8</v>
      </c>
      <c r="AT88" s="225">
        <v>324.10000000000002</v>
      </c>
      <c r="AU88" s="225">
        <v>334.8</v>
      </c>
      <c r="AV88" s="225">
        <v>390</v>
      </c>
      <c r="AW88" s="225">
        <v>392</v>
      </c>
      <c r="AX88" s="225">
        <v>463</v>
      </c>
      <c r="AY88" s="191" t="s">
        <v>423</v>
      </c>
      <c r="AZ88" s="225"/>
      <c r="BA88" s="225"/>
      <c r="BB88" s="225"/>
      <c r="BC88" s="225"/>
      <c r="BD88" s="29"/>
      <c r="BE88" s="11"/>
      <c r="BF88" s="29"/>
      <c r="BG88" s="29"/>
      <c r="BH88" s="11"/>
      <c r="BI88" s="11"/>
      <c r="BJ88" s="11"/>
      <c r="BK88" s="11"/>
      <c r="BL88" s="11"/>
      <c r="BM88" s="11"/>
      <c r="BN88" s="11"/>
      <c r="BO88" s="11"/>
      <c r="BP88" s="11"/>
      <c r="BQ88" s="11"/>
      <c r="BR88" s="30"/>
    </row>
    <row r="89" spans="1:70" x14ac:dyDescent="0.2">
      <c r="A89" s="5" t="str">
        <f>AY89</f>
        <v>Program direction</v>
      </c>
      <c r="AI89" s="54"/>
      <c r="AJ89" s="54"/>
      <c r="AK89" s="54"/>
      <c r="AL89" s="177"/>
      <c r="AM89" s="54">
        <v>14</v>
      </c>
      <c r="AN89" s="177">
        <v>22</v>
      </c>
      <c r="AO89" s="54">
        <v>24</v>
      </c>
      <c r="AP89" s="54">
        <v>28</v>
      </c>
      <c r="AQ89" s="54">
        <v>28</v>
      </c>
      <c r="AR89" s="267">
        <v>29.3</v>
      </c>
      <c r="AS89" s="267">
        <v>29.3</v>
      </c>
      <c r="AT89" s="10">
        <v>29.3</v>
      </c>
      <c r="AU89" s="260">
        <v>31.3</v>
      </c>
      <c r="AV89" s="260">
        <v>35</v>
      </c>
      <c r="AW89" s="260">
        <v>35</v>
      </c>
      <c r="AX89" s="260">
        <v>37</v>
      </c>
      <c r="AY89" s="10" t="s">
        <v>388</v>
      </c>
    </row>
    <row r="90" spans="1:70" x14ac:dyDescent="0.2">
      <c r="A90" s="5"/>
      <c r="AI90" s="54"/>
      <c r="AJ90" s="54"/>
      <c r="AK90" s="54"/>
      <c r="AL90" s="177"/>
      <c r="AM90" s="54"/>
      <c r="AN90" s="177"/>
      <c r="AO90" s="54"/>
      <c r="AP90" s="54">
        <v>0.02</v>
      </c>
      <c r="AQ90" s="269">
        <v>-0.01</v>
      </c>
      <c r="AR90" s="271">
        <v>0</v>
      </c>
      <c r="AS90" s="271">
        <f>-0.8</f>
        <v>-0.8</v>
      </c>
      <c r="AT90" s="10">
        <v>0</v>
      </c>
      <c r="AU90" s="260">
        <v>0</v>
      </c>
      <c r="AV90" s="260">
        <v>0</v>
      </c>
      <c r="AW90" s="260">
        <v>0</v>
      </c>
      <c r="AX90" s="260">
        <v>0</v>
      </c>
      <c r="AY90" s="10" t="s">
        <v>428</v>
      </c>
    </row>
    <row r="91" spans="1:70" ht="10.5" x14ac:dyDescent="0.25">
      <c r="A91" s="232" t="str">
        <f>AY91</f>
        <v>ARPA-E Total</v>
      </c>
      <c r="B91" s="229"/>
      <c r="C91" s="229"/>
      <c r="D91" s="229"/>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f t="shared" ref="AJ91:AX91" si="26">AJ88+AJ89+AJ90</f>
        <v>8.6999999999999993</v>
      </c>
      <c r="AK91" s="230">
        <f t="shared" si="26"/>
        <v>388.9</v>
      </c>
      <c r="AL91" s="230">
        <f t="shared" si="26"/>
        <v>0</v>
      </c>
      <c r="AM91" s="230">
        <f t="shared" si="26"/>
        <v>179.6</v>
      </c>
      <c r="AN91" s="230">
        <f t="shared" si="26"/>
        <v>275</v>
      </c>
      <c r="AO91" s="230">
        <f t="shared" si="26"/>
        <v>250.6</v>
      </c>
      <c r="AP91" s="297">
        <f t="shared" si="26"/>
        <v>280.02</v>
      </c>
      <c r="AQ91" s="297">
        <f t="shared" si="26"/>
        <v>279.99</v>
      </c>
      <c r="AR91" s="278">
        <f t="shared" si="26"/>
        <v>291.10000000000002</v>
      </c>
      <c r="AS91" s="278">
        <f t="shared" si="26"/>
        <v>305.3</v>
      </c>
      <c r="AT91" s="278">
        <f t="shared" si="26"/>
        <v>353.40000000000003</v>
      </c>
      <c r="AU91" s="278">
        <f t="shared" si="26"/>
        <v>366.1</v>
      </c>
      <c r="AV91" s="278">
        <f t="shared" si="26"/>
        <v>425</v>
      </c>
      <c r="AW91" s="278">
        <f t="shared" si="26"/>
        <v>427</v>
      </c>
      <c r="AX91" s="278">
        <f t="shared" si="26"/>
        <v>500</v>
      </c>
      <c r="AY91" s="229" t="s">
        <v>389</v>
      </c>
      <c r="AZ91" s="228"/>
      <c r="BA91" s="228"/>
      <c r="BB91" s="228"/>
      <c r="BC91" s="228"/>
    </row>
    <row r="92" spans="1:70" ht="10.5" x14ac:dyDescent="0.25">
      <c r="A92" s="232"/>
      <c r="B92" s="229"/>
      <c r="C92" s="229"/>
      <c r="D92" s="229"/>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328"/>
      <c r="AM92" s="230"/>
      <c r="AN92" s="328"/>
      <c r="AO92" s="230"/>
      <c r="AP92" s="329"/>
      <c r="AQ92" s="329"/>
      <c r="AR92" s="330"/>
      <c r="AS92" s="330"/>
      <c r="AT92" s="229"/>
      <c r="AU92" s="229"/>
      <c r="AV92" s="229"/>
      <c r="AW92" s="229"/>
      <c r="AX92" s="229"/>
      <c r="AY92" s="229"/>
      <c r="AZ92" s="228"/>
      <c r="BA92" s="228"/>
      <c r="BB92" s="228"/>
      <c r="BC92" s="228"/>
    </row>
    <row r="93" spans="1:70" s="152" customFormat="1" ht="10.5" x14ac:dyDescent="0.25">
      <c r="A93" s="197"/>
      <c r="B93" s="29"/>
      <c r="C93" s="29"/>
      <c r="D93" s="2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175"/>
      <c r="AM93" s="59"/>
      <c r="AN93" s="175"/>
      <c r="AO93" s="59"/>
      <c r="AP93" s="331"/>
      <c r="AQ93" s="331"/>
      <c r="AR93" s="332"/>
      <c r="AS93" s="332"/>
      <c r="AT93" s="29"/>
      <c r="AU93" s="29"/>
      <c r="AV93" s="29"/>
      <c r="AW93" s="29"/>
      <c r="AX93" s="29"/>
      <c r="AY93" s="224" t="s">
        <v>457</v>
      </c>
      <c r="AZ93" s="5"/>
      <c r="BA93" s="5"/>
      <c r="BB93" s="5"/>
      <c r="BC93" s="5"/>
      <c r="BD93" s="5"/>
      <c r="BE93" s="5"/>
      <c r="BF93" s="5"/>
      <c r="BG93" s="5"/>
      <c r="BH93" s="5"/>
      <c r="BI93" s="5"/>
      <c r="BJ93" s="5"/>
      <c r="BK93" s="5"/>
      <c r="BL93" s="5"/>
      <c r="BM93" s="5"/>
      <c r="BN93" s="5"/>
      <c r="BO93" s="5"/>
      <c r="BP93" s="5"/>
      <c r="BQ93" s="5"/>
      <c r="BR93" s="192"/>
    </row>
    <row r="94" spans="1:70" s="152" customFormat="1" ht="10.5" x14ac:dyDescent="0.25">
      <c r="A94" s="197"/>
      <c r="B94" s="29"/>
      <c r="C94" s="29"/>
      <c r="D94" s="2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175"/>
      <c r="AM94" s="59"/>
      <c r="AN94" s="175"/>
      <c r="AO94" s="59"/>
      <c r="AP94" s="331"/>
      <c r="AQ94" s="331"/>
      <c r="AR94" s="332"/>
      <c r="AS94" s="332"/>
      <c r="AT94" s="29"/>
      <c r="AU94" s="29"/>
      <c r="AV94" s="29"/>
      <c r="AW94" s="29"/>
      <c r="AX94" s="5">
        <v>180</v>
      </c>
      <c r="AY94" s="5" t="s">
        <v>444</v>
      </c>
      <c r="AZ94" s="5"/>
      <c r="BA94" s="5"/>
      <c r="BB94" s="5"/>
      <c r="BC94" s="5"/>
      <c r="BD94" s="5"/>
      <c r="BE94" s="5"/>
      <c r="BF94" s="5"/>
      <c r="BG94" s="5"/>
      <c r="BH94" s="5"/>
      <c r="BI94" s="5"/>
      <c r="BJ94" s="5"/>
      <c r="BK94" s="5"/>
      <c r="BL94" s="5"/>
      <c r="BM94" s="5"/>
      <c r="BN94" s="5"/>
      <c r="BO94" s="5"/>
      <c r="BP94" s="5"/>
      <c r="BQ94" s="5"/>
      <c r="BR94" s="192"/>
    </row>
    <row r="95" spans="1:70" x14ac:dyDescent="0.2">
      <c r="AI95" s="54"/>
      <c r="AJ95" s="54"/>
      <c r="AK95" s="54"/>
      <c r="AL95" s="177"/>
      <c r="AM95" s="54"/>
      <c r="AN95" s="177"/>
      <c r="AO95" s="54"/>
      <c r="AP95" s="291"/>
      <c r="AQ95" s="291"/>
      <c r="AR95" s="291"/>
      <c r="AS95" s="271"/>
      <c r="AX95" s="10">
        <v>20</v>
      </c>
      <c r="AY95" s="10" t="s">
        <v>388</v>
      </c>
    </row>
    <row r="96" spans="1:70" ht="10.5" x14ac:dyDescent="0.25">
      <c r="AI96" s="54"/>
      <c r="AJ96" s="54"/>
      <c r="AK96" s="54"/>
      <c r="AL96" s="177"/>
      <c r="AM96" s="54"/>
      <c r="AN96" s="177"/>
      <c r="AO96" s="54"/>
      <c r="AP96" s="291"/>
      <c r="AQ96" s="291"/>
      <c r="AR96" s="333"/>
      <c r="AS96" s="334"/>
      <c r="AT96" s="228"/>
      <c r="AU96" s="228"/>
      <c r="AV96" s="228"/>
      <c r="AW96" s="228"/>
      <c r="AX96" s="228">
        <f>SUM(AX94:AX95)</f>
        <v>200</v>
      </c>
      <c r="AY96" s="229" t="s">
        <v>456</v>
      </c>
      <c r="AZ96" s="228"/>
      <c r="BA96" s="228"/>
      <c r="BB96" s="228"/>
      <c r="BC96" s="228"/>
    </row>
    <row r="97" spans="1:70" ht="10.5" x14ac:dyDescent="0.25">
      <c r="AI97" s="54"/>
      <c r="AJ97" s="54"/>
      <c r="AK97" s="54"/>
      <c r="AL97" s="177"/>
      <c r="AM97" s="54"/>
      <c r="AN97" s="177"/>
      <c r="AO97" s="54"/>
      <c r="AP97" s="291"/>
      <c r="AQ97" s="291"/>
      <c r="AR97" s="335"/>
      <c r="AS97" s="336"/>
      <c r="AT97" s="5"/>
      <c r="AU97" s="5"/>
      <c r="AV97" s="5"/>
      <c r="AW97" s="5"/>
      <c r="AX97" s="5"/>
      <c r="AY97" s="29"/>
      <c r="AZ97" s="5"/>
    </row>
    <row r="98" spans="1:70" ht="10.5" x14ac:dyDescent="0.25">
      <c r="AI98" s="54"/>
      <c r="AJ98" s="54"/>
      <c r="AK98" s="54"/>
      <c r="AL98" s="177"/>
      <c r="AM98" s="54"/>
      <c r="AN98" s="177"/>
      <c r="AO98" s="54"/>
      <c r="AP98" s="291"/>
      <c r="AQ98" s="291"/>
      <c r="AR98" s="335"/>
      <c r="AS98" s="336"/>
      <c r="AT98" s="5"/>
      <c r="AU98" s="5"/>
      <c r="AV98" s="5"/>
      <c r="AW98" s="5"/>
      <c r="AX98" s="5"/>
      <c r="AY98" s="197" t="s">
        <v>446</v>
      </c>
      <c r="AZ98" s="5"/>
    </row>
    <row r="99" spans="1:70" x14ac:dyDescent="0.2">
      <c r="AI99" s="54"/>
      <c r="AJ99" s="54"/>
      <c r="AK99" s="54"/>
      <c r="AL99" s="177"/>
      <c r="AM99" s="54"/>
      <c r="AN99" s="177"/>
      <c r="AO99" s="54"/>
      <c r="AP99" s="291"/>
      <c r="AQ99" s="291"/>
      <c r="AR99" s="335"/>
      <c r="AS99" s="336"/>
      <c r="AT99" s="5"/>
      <c r="AU99" s="5"/>
      <c r="AV99" s="5"/>
      <c r="AW99" s="5"/>
      <c r="AX99" s="5">
        <v>386.5</v>
      </c>
      <c r="AY99" s="5" t="s">
        <v>447</v>
      </c>
      <c r="AZ99" s="5"/>
    </row>
    <row r="100" spans="1:70" x14ac:dyDescent="0.2">
      <c r="AI100" s="54"/>
      <c r="AJ100" s="54"/>
      <c r="AK100" s="54"/>
      <c r="AL100" s="177"/>
      <c r="AM100" s="54"/>
      <c r="AN100" s="177"/>
      <c r="AO100" s="54"/>
      <c r="AP100" s="291"/>
      <c r="AQ100" s="291"/>
      <c r="AR100" s="335"/>
      <c r="AS100" s="336"/>
      <c r="AT100" s="5"/>
      <c r="AU100" s="5"/>
      <c r="AV100" s="5"/>
      <c r="AW100" s="5"/>
      <c r="AX100" s="5">
        <v>13.5</v>
      </c>
      <c r="AY100" s="5" t="s">
        <v>388</v>
      </c>
      <c r="AZ100" s="5"/>
    </row>
    <row r="101" spans="1:70" ht="10.5" x14ac:dyDescent="0.25">
      <c r="AI101" s="54"/>
      <c r="AJ101" s="54"/>
      <c r="AK101" s="54"/>
      <c r="AL101" s="177"/>
      <c r="AM101" s="54"/>
      <c r="AN101" s="177"/>
      <c r="AO101" s="54"/>
      <c r="AP101" s="291"/>
      <c r="AQ101" s="291"/>
      <c r="AR101" s="333"/>
      <c r="AS101" s="334"/>
      <c r="AT101" s="228"/>
      <c r="AU101" s="228"/>
      <c r="AV101" s="228"/>
      <c r="AW101" s="228"/>
      <c r="AX101" s="228">
        <f>SUM(AX99:AX100)</f>
        <v>400</v>
      </c>
      <c r="AY101" s="229" t="s">
        <v>448</v>
      </c>
      <c r="AZ101" s="228"/>
      <c r="BA101" s="228"/>
      <c r="BB101" s="228"/>
      <c r="BC101" s="228"/>
    </row>
    <row r="102" spans="1:70" x14ac:dyDescent="0.2">
      <c r="AI102" s="54"/>
      <c r="AJ102" s="54"/>
      <c r="AK102" s="54"/>
      <c r="AL102" s="177"/>
      <c r="AM102" s="54"/>
      <c r="AN102" s="177"/>
      <c r="AO102" s="54"/>
      <c r="AP102" s="291"/>
      <c r="AQ102" s="291"/>
      <c r="AR102" s="335"/>
      <c r="AS102" s="336"/>
      <c r="AT102" s="5"/>
      <c r="AU102" s="5"/>
      <c r="AV102" s="5"/>
      <c r="AW102" s="5"/>
      <c r="AX102" s="5"/>
      <c r="AY102" s="5"/>
      <c r="AZ102" s="5"/>
    </row>
    <row r="103" spans="1:70" ht="10.5" x14ac:dyDescent="0.25">
      <c r="A103" s="22" t="s">
        <v>8</v>
      </c>
      <c r="AI103" s="54"/>
      <c r="AJ103" s="54"/>
      <c r="AK103" s="54"/>
      <c r="AL103" s="177"/>
      <c r="AM103" s="54"/>
      <c r="AN103" s="177"/>
      <c r="AO103" s="54"/>
      <c r="AP103" s="54"/>
      <c r="AQ103" s="54"/>
      <c r="AR103" s="267"/>
      <c r="AS103" s="267"/>
      <c r="AY103" s="23" t="s">
        <v>8</v>
      </c>
      <c r="BG103" s="10" t="s">
        <v>252</v>
      </c>
      <c r="BH103" s="10" t="s">
        <v>279</v>
      </c>
      <c r="BI103" s="10" t="s">
        <v>57</v>
      </c>
      <c r="BJ103" s="10" t="s">
        <v>382</v>
      </c>
      <c r="BK103" s="10" t="s">
        <v>100</v>
      </c>
      <c r="BL103" s="10" t="s">
        <v>204</v>
      </c>
    </row>
    <row r="104" spans="1:70" x14ac:dyDescent="0.2">
      <c r="B104" s="10" t="s">
        <v>9</v>
      </c>
      <c r="E104" s="54">
        <v>393.5</v>
      </c>
      <c r="F104" s="54">
        <v>485.3</v>
      </c>
      <c r="G104" s="54">
        <v>559.20000000000005</v>
      </c>
      <c r="H104" s="54">
        <v>552</v>
      </c>
      <c r="I104" s="54">
        <v>268.2</v>
      </c>
      <c r="J104" s="54">
        <v>201.6</v>
      </c>
      <c r="K104" s="54">
        <v>180.8</v>
      </c>
      <c r="L104" s="54">
        <v>171.6</v>
      </c>
      <c r="M104" s="54">
        <v>143.5</v>
      </c>
      <c r="N104" s="54">
        <v>123.1</v>
      </c>
      <c r="O104" s="54">
        <v>96</v>
      </c>
      <c r="P104" s="54">
        <v>91.5</v>
      </c>
      <c r="Q104" s="54">
        <v>93.3</v>
      </c>
      <c r="R104" s="54">
        <v>129.5</v>
      </c>
      <c r="S104" s="54">
        <f>174.3-S105-S106</f>
        <v>114.00000000000001</v>
      </c>
      <c r="T104" s="54">
        <f>186.2-T105-T106</f>
        <v>113.79999999999998</v>
      </c>
      <c r="U104" s="55">
        <f>242.3-U105-U106</f>
        <v>157.30000000000001</v>
      </c>
      <c r="V104" s="55">
        <f>267.9-V105-V106</f>
        <v>171.2</v>
      </c>
      <c r="W104" s="54">
        <f>191-W105-W106-2</f>
        <v>104.4</v>
      </c>
      <c r="X104" s="55">
        <f>2.2+59.2+21.9+0.66</f>
        <v>83.960000000000008</v>
      </c>
      <c r="Y104" s="54">
        <f>66.97+16.3+2.95+1.38</f>
        <v>87.6</v>
      </c>
      <c r="Z104" s="54">
        <f>73.44+16.8+6.3+3.6+14.5</f>
        <v>114.63999999999999</v>
      </c>
      <c r="AA104" s="56">
        <f>82.03</f>
        <v>82.03</v>
      </c>
      <c r="AB104" s="54">
        <f>91.7</f>
        <v>91.7</v>
      </c>
      <c r="AC104" s="54">
        <f>87.1</f>
        <v>87.1</v>
      </c>
      <c r="AD104" s="55">
        <v>82.3</v>
      </c>
      <c r="AE104" s="54">
        <v>80.7</v>
      </c>
      <c r="AF104" s="54">
        <v>84.3</v>
      </c>
      <c r="AG104" s="54">
        <v>81.8</v>
      </c>
      <c r="AH104" s="54">
        <v>157</v>
      </c>
      <c r="AI104" s="54">
        <v>166.3</v>
      </c>
      <c r="AJ104" s="54">
        <v>172.4</v>
      </c>
      <c r="AK104" s="54">
        <v>116</v>
      </c>
      <c r="AL104" s="177">
        <v>243.4</v>
      </c>
      <c r="AM104" s="54">
        <v>259.60000000000002</v>
      </c>
      <c r="AN104" s="177">
        <v>284.7</v>
      </c>
      <c r="AO104" s="54">
        <v>269</v>
      </c>
      <c r="AP104" s="54">
        <v>257.10000000000002</v>
      </c>
      <c r="AQ104" s="54">
        <v>230.8</v>
      </c>
      <c r="AR104" s="267">
        <v>241.6</v>
      </c>
      <c r="AS104" s="267">
        <v>207.6</v>
      </c>
      <c r="AT104" s="54">
        <v>241.6</v>
      </c>
      <c r="AU104" s="54">
        <v>246.5</v>
      </c>
      <c r="AV104" s="10">
        <v>280</v>
      </c>
      <c r="AW104" s="10">
        <v>280</v>
      </c>
      <c r="AX104" s="10">
        <v>386.6</v>
      </c>
      <c r="AY104" s="10" t="s">
        <v>9</v>
      </c>
      <c r="BF104" s="132"/>
      <c r="BG104" s="133"/>
      <c r="BH104" s="10" t="s">
        <v>281</v>
      </c>
      <c r="BI104" s="10" t="s">
        <v>5</v>
      </c>
      <c r="BJ104" s="10" t="s">
        <v>46</v>
      </c>
      <c r="BM104" s="10" t="s">
        <v>237</v>
      </c>
      <c r="BN104" s="10" t="s">
        <v>42</v>
      </c>
      <c r="BO104" s="10" t="s">
        <v>336</v>
      </c>
      <c r="BP104" s="10" t="s">
        <v>345</v>
      </c>
      <c r="BQ104" s="10" t="s">
        <v>345</v>
      </c>
      <c r="BR104" s="19" t="s">
        <v>345</v>
      </c>
    </row>
    <row r="105" spans="1:70" x14ac:dyDescent="0.2">
      <c r="B105" s="10" t="s">
        <v>330</v>
      </c>
      <c r="S105" s="54">
        <v>39</v>
      </c>
      <c r="T105" s="54">
        <v>48.4</v>
      </c>
      <c r="U105" s="55">
        <v>55.8</v>
      </c>
      <c r="V105" s="55">
        <v>52.2</v>
      </c>
      <c r="W105" s="54">
        <v>53.2</v>
      </c>
      <c r="X105" s="55">
        <v>54.3</v>
      </c>
      <c r="Y105" s="54">
        <v>96.75</v>
      </c>
      <c r="Z105" s="54">
        <v>99.3</v>
      </c>
      <c r="AA105" s="56">
        <v>69.87</v>
      </c>
      <c r="AB105" s="54">
        <v>85.4</v>
      </c>
      <c r="AC105" s="54">
        <v>87.7</v>
      </c>
      <c r="AD105" s="55">
        <v>85.3</v>
      </c>
      <c r="AE105" s="54">
        <v>84.6</v>
      </c>
      <c r="AF105" s="54">
        <v>87.5</v>
      </c>
      <c r="AG105" s="54">
        <v>89.8</v>
      </c>
      <c r="AH105" s="54">
        <v>196.3</v>
      </c>
      <c r="AI105" s="54">
        <v>195.6</v>
      </c>
      <c r="AJ105" s="54">
        <v>214.2</v>
      </c>
      <c r="AK105" s="54">
        <v>777.1</v>
      </c>
      <c r="AL105" s="177">
        <v>216.2</v>
      </c>
      <c r="AM105" s="54">
        <v>180</v>
      </c>
      <c r="AN105" s="177">
        <v>195</v>
      </c>
      <c r="AO105" s="54">
        <v>185.2</v>
      </c>
      <c r="AP105" s="54">
        <v>232.3</v>
      </c>
      <c r="AQ105" s="269">
        <v>175.9</v>
      </c>
      <c r="AR105" s="271">
        <v>225</v>
      </c>
      <c r="AS105" s="271">
        <v>205</v>
      </c>
      <c r="AT105" s="54">
        <v>221.5</v>
      </c>
      <c r="AU105" s="54">
        <v>226</v>
      </c>
      <c r="AV105" s="10">
        <v>259.5</v>
      </c>
      <c r="AW105" s="10">
        <v>255</v>
      </c>
      <c r="AX105" s="10">
        <v>340</v>
      </c>
      <c r="AY105" s="10" t="s">
        <v>392</v>
      </c>
      <c r="BF105" s="132"/>
      <c r="BG105" s="133"/>
      <c r="BN105" s="10" t="s">
        <v>104</v>
      </c>
      <c r="BO105" s="10" t="s">
        <v>315</v>
      </c>
      <c r="BP105" s="10" t="s">
        <v>345</v>
      </c>
      <c r="BQ105" s="10" t="s">
        <v>345</v>
      </c>
      <c r="BR105" s="19" t="s">
        <v>345</v>
      </c>
    </row>
    <row r="106" spans="1:70" x14ac:dyDescent="0.2">
      <c r="B106" s="10" t="s">
        <v>10</v>
      </c>
      <c r="S106" s="54">
        <v>21.3</v>
      </c>
      <c r="T106" s="54">
        <v>24</v>
      </c>
      <c r="U106" s="55">
        <v>29.2</v>
      </c>
      <c r="V106" s="55">
        <v>44.5</v>
      </c>
      <c r="W106" s="54">
        <v>31.4</v>
      </c>
      <c r="X106" s="55">
        <v>28.6</v>
      </c>
      <c r="Y106" s="54">
        <v>32.4</v>
      </c>
      <c r="Z106" s="54">
        <v>34.4</v>
      </c>
      <c r="AA106" s="56">
        <v>32.090000000000003</v>
      </c>
      <c r="AB106" s="54">
        <v>39.1</v>
      </c>
      <c r="AC106" s="54">
        <v>38.200000000000003</v>
      </c>
      <c r="AD106" s="55">
        <v>41.6</v>
      </c>
      <c r="AE106" s="54">
        <v>39.799999999999997</v>
      </c>
      <c r="AF106" s="54">
        <v>40.6</v>
      </c>
      <c r="AG106" s="54">
        <v>38.299999999999997</v>
      </c>
      <c r="AH106" s="54">
        <v>48.7</v>
      </c>
      <c r="AI106" s="54">
        <v>49</v>
      </c>
      <c r="AJ106" s="54">
        <v>54.4</v>
      </c>
      <c r="AK106" s="54">
        <v>106.9</v>
      </c>
      <c r="AL106" s="177">
        <v>79</v>
      </c>
      <c r="AM106" s="54">
        <v>78.8</v>
      </c>
      <c r="AN106" s="177">
        <v>91.8</v>
      </c>
      <c r="AO106" s="54">
        <v>86.1</v>
      </c>
      <c r="AP106" s="54">
        <v>88.1</v>
      </c>
      <c r="AQ106" s="54">
        <v>105.9</v>
      </c>
      <c r="AR106" s="267">
        <v>95.4</v>
      </c>
      <c r="AS106" s="267">
        <v>90</v>
      </c>
      <c r="AT106" s="54">
        <v>92</v>
      </c>
      <c r="AU106" s="54">
        <v>92</v>
      </c>
      <c r="AV106" s="10">
        <v>104</v>
      </c>
      <c r="AW106" s="10">
        <v>110</v>
      </c>
      <c r="AX106" s="10">
        <v>205</v>
      </c>
      <c r="AY106" s="10" t="s">
        <v>10</v>
      </c>
      <c r="BF106" s="132"/>
      <c r="BG106" s="133"/>
      <c r="BN106" s="10" t="s">
        <v>105</v>
      </c>
      <c r="BO106" s="10" t="s">
        <v>358</v>
      </c>
      <c r="BP106" s="10" t="s">
        <v>345</v>
      </c>
      <c r="BQ106" s="10" t="s">
        <v>345</v>
      </c>
      <c r="BR106" s="19" t="s">
        <v>345</v>
      </c>
    </row>
    <row r="107" spans="1:70" x14ac:dyDescent="0.2">
      <c r="B107" s="10" t="s">
        <v>11</v>
      </c>
      <c r="E107" s="54">
        <v>107.9</v>
      </c>
      <c r="F107" s="54">
        <v>146.19999999999999</v>
      </c>
      <c r="G107" s="54">
        <v>149.19999999999999</v>
      </c>
      <c r="H107" s="54">
        <v>156</v>
      </c>
      <c r="I107" s="54">
        <v>69.900000000000006</v>
      </c>
      <c r="J107" s="54">
        <v>57.6</v>
      </c>
      <c r="K107" s="54">
        <v>30.3</v>
      </c>
      <c r="L107" s="54">
        <v>29.7</v>
      </c>
      <c r="M107" s="54">
        <v>26.5</v>
      </c>
      <c r="N107" s="54">
        <v>20.7</v>
      </c>
      <c r="O107" s="54">
        <v>20.7</v>
      </c>
      <c r="P107" s="54">
        <v>19.3</v>
      </c>
      <c r="Q107" s="54">
        <v>17.2</v>
      </c>
      <c r="R107" s="54">
        <v>29.9</v>
      </c>
      <c r="S107" s="54">
        <v>26.9</v>
      </c>
      <c r="T107" s="54">
        <v>23.3</v>
      </c>
      <c r="U107" s="55">
        <v>23</v>
      </c>
      <c r="V107" s="55">
        <v>41.4</v>
      </c>
      <c r="W107" s="54">
        <v>29.4</v>
      </c>
      <c r="X107" s="55">
        <v>29.6</v>
      </c>
      <c r="Y107" s="54">
        <v>28.7</v>
      </c>
      <c r="Z107" s="54">
        <v>28.2</v>
      </c>
      <c r="AA107" s="56">
        <v>23.33</v>
      </c>
      <c r="AB107" s="54">
        <v>26.6</v>
      </c>
      <c r="AC107" s="54">
        <v>27</v>
      </c>
      <c r="AD107" s="55">
        <v>28.4</v>
      </c>
      <c r="AE107" s="54">
        <v>24.6</v>
      </c>
      <c r="AF107" s="54">
        <v>25.3</v>
      </c>
      <c r="AG107" s="54">
        <v>22.8</v>
      </c>
      <c r="AH107" s="54">
        <v>5</v>
      </c>
      <c r="AI107" s="54">
        <v>19.3</v>
      </c>
      <c r="AJ107" s="54">
        <v>43.3</v>
      </c>
      <c r="AK107" s="54">
        <v>393.1</v>
      </c>
      <c r="AL107" s="177">
        <v>43</v>
      </c>
      <c r="AM107" s="54">
        <v>37</v>
      </c>
      <c r="AN107" s="177">
        <v>37</v>
      </c>
      <c r="AO107" s="54">
        <v>35</v>
      </c>
      <c r="AP107" s="54">
        <v>45.8</v>
      </c>
      <c r="AQ107" s="74">
        <v>54.3</v>
      </c>
      <c r="AR107" s="268">
        <v>71</v>
      </c>
      <c r="AS107" s="268">
        <v>69.5</v>
      </c>
      <c r="AT107" s="54">
        <v>80.900000000000006</v>
      </c>
      <c r="AU107" s="54">
        <v>84</v>
      </c>
      <c r="AV107" s="10">
        <v>110</v>
      </c>
      <c r="AW107" s="10">
        <v>106</v>
      </c>
      <c r="AX107" s="10">
        <v>163.80000000000001</v>
      </c>
      <c r="AY107" s="10" t="s">
        <v>11</v>
      </c>
      <c r="BF107" s="132"/>
      <c r="BG107" s="133"/>
      <c r="BN107" s="10" t="s">
        <v>45</v>
      </c>
      <c r="BO107" s="10" t="s">
        <v>359</v>
      </c>
      <c r="BP107" s="10" t="s">
        <v>345</v>
      </c>
      <c r="BQ107" s="10" t="s">
        <v>345</v>
      </c>
      <c r="BR107" s="19" t="s">
        <v>345</v>
      </c>
    </row>
    <row r="108" spans="1:70" x14ac:dyDescent="0.2">
      <c r="B108" s="10" t="s">
        <v>12</v>
      </c>
      <c r="E108" s="54">
        <v>10.4</v>
      </c>
      <c r="F108" s="54">
        <v>39.200000000000003</v>
      </c>
      <c r="G108" s="54">
        <v>20.9</v>
      </c>
      <c r="H108" s="54">
        <v>3.2</v>
      </c>
      <c r="I108" s="54">
        <v>3</v>
      </c>
      <c r="J108" s="54">
        <v>2</v>
      </c>
      <c r="K108" s="54">
        <v>0.75</v>
      </c>
      <c r="L108" s="54">
        <v>0.4</v>
      </c>
      <c r="M108" s="54">
        <v>0.5</v>
      </c>
      <c r="N108" s="54">
        <v>0.45</v>
      </c>
      <c r="O108" s="54">
        <v>0</v>
      </c>
      <c r="P108" s="54">
        <v>0</v>
      </c>
      <c r="Q108" s="54">
        <v>0</v>
      </c>
      <c r="R108" s="54">
        <v>1</v>
      </c>
      <c r="S108" s="54">
        <v>1</v>
      </c>
      <c r="T108" s="54">
        <v>1</v>
      </c>
      <c r="U108" s="55">
        <v>1</v>
      </c>
      <c r="V108" s="55">
        <v>4.8</v>
      </c>
      <c r="W108" s="54">
        <v>3.5</v>
      </c>
      <c r="X108" s="55">
        <v>1</v>
      </c>
      <c r="Y108" s="54">
        <v>0.7</v>
      </c>
      <c r="Z108" s="54">
        <v>3.21</v>
      </c>
      <c r="AA108" s="56">
        <v>4.8600000000000003</v>
      </c>
      <c r="AB108" s="54">
        <v>4.9000000000000004</v>
      </c>
      <c r="AC108" s="54">
        <v>5</v>
      </c>
      <c r="AD108" s="55">
        <v>5</v>
      </c>
      <c r="AE108" s="54">
        <v>4.7</v>
      </c>
      <c r="AF108" s="54">
        <v>4.9000000000000004</v>
      </c>
      <c r="AG108" s="54">
        <v>0.5</v>
      </c>
      <c r="AH108" s="54">
        <v>0</v>
      </c>
      <c r="AI108" s="54">
        <v>9.6999999999999993</v>
      </c>
      <c r="AJ108" s="54">
        <v>39.1</v>
      </c>
      <c r="AK108" s="54">
        <v>31.7</v>
      </c>
      <c r="AL108" s="54">
        <v>48.7</v>
      </c>
      <c r="AM108" s="54">
        <v>29.2</v>
      </c>
      <c r="AN108" s="177">
        <v>58.1</v>
      </c>
      <c r="AO108" s="54">
        <v>54.7</v>
      </c>
      <c r="AP108" s="54">
        <v>58.6</v>
      </c>
      <c r="AQ108" s="74">
        <v>60</v>
      </c>
      <c r="AR108" s="268">
        <v>70</v>
      </c>
      <c r="AS108" s="54">
        <v>84</v>
      </c>
      <c r="AT108" s="54">
        <v>105</v>
      </c>
      <c r="AU108" s="54">
        <v>105</v>
      </c>
      <c r="AV108" s="10">
        <v>148</v>
      </c>
      <c r="AW108" s="10">
        <v>150</v>
      </c>
      <c r="AX108" s="10">
        <v>197</v>
      </c>
      <c r="AY108" s="10" t="s">
        <v>378</v>
      </c>
      <c r="BF108" s="132"/>
      <c r="BG108" s="133"/>
      <c r="BN108" s="10" t="s">
        <v>107</v>
      </c>
      <c r="BO108" s="10" t="s">
        <v>360</v>
      </c>
      <c r="BP108" s="10" t="s">
        <v>345</v>
      </c>
      <c r="BQ108" s="10" t="s">
        <v>345</v>
      </c>
      <c r="BR108" s="19" t="s">
        <v>345</v>
      </c>
    </row>
    <row r="109" spans="1:70" x14ac:dyDescent="0.2">
      <c r="B109" s="10" t="s">
        <v>13</v>
      </c>
      <c r="E109" s="54">
        <v>41.6</v>
      </c>
      <c r="F109" s="54">
        <v>40.799999999999997</v>
      </c>
      <c r="G109" s="54">
        <v>37.1</v>
      </c>
      <c r="H109" s="54">
        <v>39.9</v>
      </c>
      <c r="I109" s="54">
        <v>21.3</v>
      </c>
      <c r="J109" s="54">
        <v>17.100000000000001</v>
      </c>
      <c r="K109" s="54">
        <v>18.399999999999999</v>
      </c>
      <c r="L109" s="54">
        <v>19.7</v>
      </c>
      <c r="M109" s="54">
        <v>11.4</v>
      </c>
      <c r="N109" s="54">
        <v>11.2</v>
      </c>
      <c r="O109" s="54">
        <v>15.1</v>
      </c>
      <c r="P109" s="54">
        <v>23.6</v>
      </c>
      <c r="Q109" s="54">
        <v>16.899999999999999</v>
      </c>
      <c r="R109" s="54">
        <v>28</v>
      </c>
      <c r="S109" s="54">
        <v>30.4</v>
      </c>
      <c r="T109" s="54">
        <v>32.1</v>
      </c>
      <c r="U109" s="55">
        <v>37</v>
      </c>
      <c r="V109" s="55">
        <v>37.5</v>
      </c>
      <c r="W109" s="54">
        <v>31.8</v>
      </c>
      <c r="X109" s="55">
        <v>31.4</v>
      </c>
      <c r="Y109" s="54">
        <v>43.3</v>
      </c>
      <c r="Z109" s="54">
        <v>40.9</v>
      </c>
      <c r="AA109" s="56">
        <v>37.340000000000003</v>
      </c>
      <c r="AB109" s="54">
        <v>51.7</v>
      </c>
      <c r="AI109" s="54"/>
      <c r="AJ109" s="54"/>
      <c r="AK109" s="54"/>
      <c r="AL109" s="54"/>
      <c r="AM109" s="54"/>
      <c r="AN109" s="177"/>
      <c r="AO109" s="54"/>
      <c r="AP109" s="54"/>
      <c r="AQ109" s="74"/>
      <c r="AR109" s="268"/>
      <c r="AS109" s="268"/>
      <c r="AT109" s="54"/>
      <c r="AU109" s="54"/>
      <c r="AY109" s="10" t="s">
        <v>13</v>
      </c>
      <c r="BF109" s="132"/>
      <c r="BG109" s="133"/>
    </row>
    <row r="110" spans="1:70" x14ac:dyDescent="0.2">
      <c r="B110" s="10" t="s">
        <v>327</v>
      </c>
      <c r="E110" s="54">
        <v>51.4</v>
      </c>
      <c r="F110" s="54">
        <v>58.4</v>
      </c>
      <c r="G110" s="54">
        <v>66.3</v>
      </c>
      <c r="H110" s="54">
        <v>71.8</v>
      </c>
      <c r="I110" s="54">
        <v>38.5</v>
      </c>
      <c r="J110" s="54">
        <v>25.7</v>
      </c>
      <c r="K110" s="54">
        <v>25.6</v>
      </c>
      <c r="L110" s="54">
        <v>18.600000000000001</v>
      </c>
      <c r="M110" s="54">
        <v>17.100000000000001</v>
      </c>
      <c r="N110" s="54">
        <v>16.55</v>
      </c>
      <c r="O110" s="54">
        <v>14.45</v>
      </c>
      <c r="P110" s="54">
        <v>13.2</v>
      </c>
      <c r="Q110" s="54">
        <v>11.7</v>
      </c>
      <c r="R110" s="54">
        <v>12.8</v>
      </c>
      <c r="S110" s="54">
        <v>7.2</v>
      </c>
      <c r="T110" s="54">
        <v>10.199999999999999</v>
      </c>
      <c r="U110" s="55">
        <v>7.2</v>
      </c>
      <c r="V110" s="55">
        <v>5.0999999999999996</v>
      </c>
      <c r="W110" s="54">
        <v>2</v>
      </c>
      <c r="AI110" s="54"/>
      <c r="AJ110" s="54"/>
      <c r="AK110" s="54"/>
      <c r="AL110" s="54"/>
      <c r="AM110" s="54"/>
      <c r="AN110" s="177"/>
      <c r="AO110" s="54"/>
      <c r="AP110" s="54"/>
      <c r="AQ110" s="269"/>
      <c r="AR110" s="271"/>
      <c r="AS110" s="271"/>
      <c r="AT110" s="54"/>
      <c r="AU110" s="54"/>
      <c r="AY110" s="10" t="s">
        <v>327</v>
      </c>
    </row>
    <row r="111" spans="1:70" x14ac:dyDescent="0.2">
      <c r="B111" s="10" t="s">
        <v>14</v>
      </c>
      <c r="E111" s="54">
        <v>0</v>
      </c>
      <c r="F111" s="54">
        <v>0</v>
      </c>
      <c r="G111" s="54">
        <v>0</v>
      </c>
      <c r="H111" s="54">
        <v>0</v>
      </c>
      <c r="I111" s="54">
        <v>0</v>
      </c>
      <c r="J111" s="54">
        <v>0</v>
      </c>
      <c r="K111" s="54">
        <v>0</v>
      </c>
      <c r="L111" s="54">
        <v>0</v>
      </c>
      <c r="M111" s="54">
        <v>0</v>
      </c>
      <c r="N111" s="54">
        <v>0</v>
      </c>
      <c r="O111" s="54">
        <v>0</v>
      </c>
      <c r="P111" s="54">
        <v>0</v>
      </c>
      <c r="Q111" s="54">
        <v>0</v>
      </c>
      <c r="R111" s="54">
        <v>0</v>
      </c>
      <c r="S111" s="54">
        <v>0</v>
      </c>
      <c r="T111" s="54">
        <v>0</v>
      </c>
      <c r="U111" s="55">
        <v>0</v>
      </c>
      <c r="V111" s="55">
        <v>0</v>
      </c>
      <c r="W111" s="54">
        <v>0</v>
      </c>
      <c r="X111" s="55">
        <v>4</v>
      </c>
      <c r="Y111" s="54">
        <v>3.9</v>
      </c>
      <c r="Z111" s="54">
        <v>4.8</v>
      </c>
      <c r="AA111" s="56">
        <v>3.9</v>
      </c>
      <c r="AB111" s="54">
        <v>6.6</v>
      </c>
      <c r="AC111" s="54">
        <v>0</v>
      </c>
      <c r="AI111" s="54"/>
      <c r="AJ111" s="54">
        <v>6</v>
      </c>
      <c r="AK111" s="54">
        <v>0</v>
      </c>
      <c r="AL111" s="54">
        <v>10</v>
      </c>
      <c r="AM111" s="54">
        <v>10</v>
      </c>
      <c r="AN111" s="177">
        <v>10</v>
      </c>
      <c r="AO111" s="54">
        <v>9.4</v>
      </c>
      <c r="AP111" s="54">
        <v>7</v>
      </c>
      <c r="AQ111" s="54">
        <v>0</v>
      </c>
      <c r="AR111" s="267">
        <v>0</v>
      </c>
      <c r="AS111" s="267">
        <v>0</v>
      </c>
      <c r="AT111" s="54">
        <v>0</v>
      </c>
      <c r="AU111" s="54">
        <v>0</v>
      </c>
      <c r="AV111" s="10">
        <v>0</v>
      </c>
      <c r="AW111" s="10">
        <v>0</v>
      </c>
      <c r="AX111" s="10">
        <v>0</v>
      </c>
      <c r="AY111" s="10" t="s">
        <v>413</v>
      </c>
      <c r="BK111" s="5"/>
      <c r="BL111" s="5"/>
      <c r="BM111" s="5"/>
      <c r="BN111" s="5"/>
      <c r="BO111" s="5"/>
    </row>
    <row r="112" spans="1:70" x14ac:dyDescent="0.2">
      <c r="B112" s="10" t="s">
        <v>53</v>
      </c>
      <c r="E112" s="54">
        <v>0</v>
      </c>
      <c r="F112" s="54">
        <v>0</v>
      </c>
      <c r="G112" s="54">
        <v>0</v>
      </c>
      <c r="H112" s="54">
        <v>0</v>
      </c>
      <c r="I112" s="54">
        <v>0</v>
      </c>
      <c r="J112" s="54">
        <v>0</v>
      </c>
      <c r="K112" s="54">
        <v>0</v>
      </c>
      <c r="L112" s="54">
        <v>15.7</v>
      </c>
      <c r="M112" s="54">
        <v>9.8000000000000007</v>
      </c>
      <c r="N112" s="54">
        <v>10</v>
      </c>
      <c r="O112" s="54">
        <v>6</v>
      </c>
      <c r="P112" s="54">
        <v>13</v>
      </c>
      <c r="Q112" s="54">
        <v>0</v>
      </c>
      <c r="R112" s="54">
        <v>0</v>
      </c>
      <c r="S112" s="55">
        <v>0</v>
      </c>
      <c r="T112" s="54">
        <v>0</v>
      </c>
      <c r="U112" s="55">
        <v>0</v>
      </c>
      <c r="V112" s="55">
        <v>8.3000000000000007</v>
      </c>
      <c r="W112" s="54">
        <v>0</v>
      </c>
      <c r="X112" s="55">
        <v>0</v>
      </c>
      <c r="Y112" s="54">
        <v>0</v>
      </c>
      <c r="Z112" s="54">
        <v>0</v>
      </c>
      <c r="AA112" s="56">
        <v>0</v>
      </c>
      <c r="AB112" s="54">
        <v>0</v>
      </c>
      <c r="AC112" s="54">
        <v>0</v>
      </c>
      <c r="AD112" s="55">
        <v>0</v>
      </c>
      <c r="AE112" s="54">
        <v>0</v>
      </c>
      <c r="AF112" s="54">
        <v>0</v>
      </c>
      <c r="AG112" s="54">
        <v>0</v>
      </c>
      <c r="AH112" s="54">
        <f>20+63</f>
        <v>83</v>
      </c>
      <c r="AI112" s="54">
        <f>76.2-6.9</f>
        <v>69.3</v>
      </c>
      <c r="AJ112" s="54">
        <f>76-22</f>
        <v>54</v>
      </c>
      <c r="AK112" s="54">
        <f>258.9-114.7-44</f>
        <v>100.19999999999999</v>
      </c>
      <c r="AL112" s="54">
        <v>0</v>
      </c>
      <c r="AM112" s="54">
        <v>51</v>
      </c>
      <c r="AN112" s="177">
        <v>26.3</v>
      </c>
      <c r="AO112" s="54">
        <v>24.9</v>
      </c>
      <c r="AP112" s="54">
        <v>46</v>
      </c>
      <c r="AQ112" s="74">
        <v>56</v>
      </c>
      <c r="AR112" s="268">
        <v>62</v>
      </c>
      <c r="AS112" s="268">
        <v>92</v>
      </c>
      <c r="AT112" s="54">
        <v>92</v>
      </c>
      <c r="AU112" s="54">
        <v>97</v>
      </c>
      <c r="AV112" s="10">
        <v>130</v>
      </c>
      <c r="AW112" s="10">
        <v>130</v>
      </c>
      <c r="AX112" s="10">
        <v>175</v>
      </c>
      <c r="AY112" s="10" t="s">
        <v>53</v>
      </c>
      <c r="BK112" s="5"/>
      <c r="BL112" s="5"/>
      <c r="BM112" s="5"/>
      <c r="BN112" s="5"/>
      <c r="BO112" s="5"/>
    </row>
    <row r="113" spans="1:70" x14ac:dyDescent="0.2">
      <c r="B113" s="10" t="s">
        <v>328</v>
      </c>
      <c r="AC113" s="54">
        <v>76.8</v>
      </c>
      <c r="AI113" s="54"/>
      <c r="AJ113" s="54"/>
      <c r="AK113" s="54"/>
      <c r="AL113" s="54"/>
      <c r="AM113" s="54"/>
      <c r="AN113" s="177"/>
      <c r="AO113" s="54"/>
      <c r="AP113" s="54"/>
      <c r="AQ113" s="74"/>
      <c r="AR113" s="268"/>
      <c r="AS113" s="268"/>
      <c r="AT113" s="54"/>
      <c r="AU113" s="54"/>
      <c r="AY113" s="10" t="s">
        <v>328</v>
      </c>
    </row>
    <row r="114" spans="1:70" x14ac:dyDescent="0.2">
      <c r="B114" s="10" t="s">
        <v>169</v>
      </c>
      <c r="Y114" s="55"/>
      <c r="AC114" s="54">
        <f>1.36 + 4.87</f>
        <v>6.23</v>
      </c>
      <c r="AD114" s="55">
        <f>7.6+5.3</f>
        <v>12.899999999999999</v>
      </c>
      <c r="AE114" s="55">
        <f>12.9+2</f>
        <v>14.9</v>
      </c>
      <c r="AF114" s="55">
        <f>11.4+2</f>
        <v>13.4</v>
      </c>
      <c r="AG114" s="55"/>
      <c r="AI114" s="54"/>
      <c r="AJ114" s="54"/>
      <c r="AK114" s="54"/>
      <c r="AL114" s="54"/>
      <c r="AM114" s="54"/>
      <c r="AN114" s="177"/>
      <c r="AO114" s="54"/>
      <c r="AP114" s="54"/>
      <c r="AQ114" s="74"/>
      <c r="AR114" s="54"/>
      <c r="AS114" s="268"/>
      <c r="AT114" s="54"/>
      <c r="AU114" s="54"/>
      <c r="AY114" s="10" t="s">
        <v>169</v>
      </c>
      <c r="AZ114" s="53"/>
      <c r="BA114" s="53"/>
      <c r="BB114" s="53"/>
      <c r="BC114" s="53"/>
      <c r="BD114" s="53"/>
      <c r="BE114" s="53"/>
      <c r="BH114" s="5"/>
      <c r="BI114" s="5"/>
      <c r="BJ114" s="5"/>
      <c r="BK114" s="5"/>
      <c r="BL114" s="5"/>
      <c r="BM114" s="5" t="s">
        <v>192</v>
      </c>
      <c r="BN114" s="5" t="s">
        <v>189</v>
      </c>
      <c r="BO114" s="5" t="s">
        <v>123</v>
      </c>
    </row>
    <row r="115" spans="1:70" x14ac:dyDescent="0.2">
      <c r="B115" s="10" t="s">
        <v>200</v>
      </c>
      <c r="E115" s="54">
        <v>0</v>
      </c>
      <c r="F115" s="54">
        <v>0</v>
      </c>
      <c r="G115" s="54">
        <v>0</v>
      </c>
      <c r="H115" s="54">
        <v>0</v>
      </c>
      <c r="I115" s="54">
        <v>0</v>
      </c>
      <c r="J115" s="54">
        <v>0</v>
      </c>
      <c r="K115" s="54">
        <v>0</v>
      </c>
      <c r="L115" s="54">
        <v>0</v>
      </c>
      <c r="M115" s="54">
        <v>0</v>
      </c>
      <c r="N115" s="54">
        <v>0</v>
      </c>
      <c r="O115" s="54">
        <v>0</v>
      </c>
      <c r="P115" s="54">
        <v>0</v>
      </c>
      <c r="Q115" s="54">
        <v>0</v>
      </c>
      <c r="R115" s="54">
        <v>0</v>
      </c>
      <c r="S115" s="54">
        <v>1.9</v>
      </c>
      <c r="T115" s="54">
        <v>2.9</v>
      </c>
      <c r="U115" s="55">
        <v>3.8</v>
      </c>
      <c r="V115" s="55">
        <v>4.8</v>
      </c>
      <c r="W115" s="54">
        <f>12.2+2</f>
        <v>14.2</v>
      </c>
      <c r="X115" s="55">
        <f>13.1+3.3</f>
        <v>16.399999999999999</v>
      </c>
      <c r="Y115" s="55">
        <f>15.7+4.8+3.2</f>
        <v>23.7</v>
      </c>
      <c r="Z115" s="54">
        <f>18.1+4+3.9+4</f>
        <v>30</v>
      </c>
      <c r="AA115" s="56">
        <f>17.7+4.67+1.5+4.9+1.1</f>
        <v>29.869999999999997</v>
      </c>
      <c r="AB115" s="54">
        <f>18.7+2+4.9+4+4+4</f>
        <v>37.6</v>
      </c>
      <c r="AC115" s="54">
        <f>18.7+5.7+1.4</f>
        <v>25.799999999999997</v>
      </c>
      <c r="AD115" s="55">
        <f>1.4+12.6+14.4</f>
        <v>28.4</v>
      </c>
      <c r="AE115" s="55">
        <f>16.5+8.5</f>
        <v>25</v>
      </c>
      <c r="AF115" s="55">
        <f>(98.2+16.8)*(AF104+AF105+AF106+AF107+AF108)/(AF104+AF105+AF106+AF107+AF108+AF82+AF43+AF45+AF46+AF47+AF49)</f>
        <v>36.307912545549193</v>
      </c>
      <c r="AG115" s="55">
        <f>(98.5+13.3)*(AG104+AG105+AG106+AG107+AG108)/(AG104+AG105+AG106+AG107+AG108+AG82+AG43+AG45+AG46+AG47+AG49)</f>
        <v>34.986258722490604</v>
      </c>
      <c r="AH115" s="64">
        <f>(99.3+11)*((AH104+AH105+AH106+AH107+AH108))/(AH43+AH45+AH47+AH49+AH104+AH105+AH106+AH107+AH108+AH46+AH82)</f>
        <v>46.645989193682453</v>
      </c>
      <c r="AI115" s="64">
        <f>(104.1+10.8)*((AI104+AI105+AI106+AI107+AI108))/(AI43+AI45+AI47+AI49+AI104+AI105+AI106+AI107+AI108+AI46+AI82)</f>
        <v>48.142213544147054</v>
      </c>
      <c r="AJ115" s="64">
        <f>(127.6+18.2)*((AJ104+AJ105+AJ106+AJ107+AJ108))/(AJ43+AJ46+AJ47+AJ49+AJ104+AJ105+AJ106+AJ107+AJ108+AJ45+AJ82)</f>
        <v>63.00505284015852</v>
      </c>
      <c r="AK115" s="64">
        <f>(80+21.9)*((AK104+AK105+AK106+AK107+AK108))/(AK43+AK46+AK47+AK49+AK104+AK105+AK106+AK107+AK108+AK45+AK82)</f>
        <v>68.838423972310466</v>
      </c>
      <c r="AL115" s="64">
        <f>(140+45)*((AL104+AL105+AL106+AL107+AL108))/(AL43+AL46+AL47+AL49+AL104+AL105+AL106+AL107+AL108+AL45+AL82)</f>
        <v>82.0125896750598</v>
      </c>
      <c r="AM115" s="64">
        <f>(170+32)*((AM104+AM105+AM106+AM107+AM108))/(AM43+AM46+AM47+AM49+AM104+AM105+AM106+AM107+AM108+AM45+AM82)</f>
        <v>91.776793347322609</v>
      </c>
      <c r="AN115" s="178">
        <f>(165+25)*((AN104+AN105+AN106+AN107+AN108))/(AN43+AN46+AN47+AN49+AN104+AN105+AN106+AN107+AN108+AN45+AN82)</f>
        <v>89.432283575766149</v>
      </c>
      <c r="AO115" s="64">
        <f>(160.5+23.6)*((AO104+AO105+AO106+AO107+AO108))/(AO43+AO46+AO47+AO49+AO104+AO105+AO106+AO107+AO108+AO45+AO82)</f>
        <v>86.047184509236601</v>
      </c>
      <c r="AP115" s="64">
        <f>(162+23.5)*((AP104+AP105+AP106+AP107+AP108))/(AP43+AP46+AP47+AP49+AP104+AP105+AP106+AP107+AP108+AP45+AP82)</f>
        <v>88.897638625342623</v>
      </c>
      <c r="AQ115" s="64">
        <f>(160.8+21)*((AQ104+AQ105+AQ106+AQ107+AQ108))/(AQ43+AQ46+AQ47+AQ49+AQ104+AQ105+AQ106+AQ107+AQ108+AQ45+AQ82)</f>
        <v>84.005616569617459</v>
      </c>
      <c r="AR115" s="64">
        <f>(155+21)*((AR104+AR105+AR106+AR107+AR108))/(AR43+AR46+AR47+AR49+AR104+AR105+AR106+AR107+AR108+AR45+AR82)</f>
        <v>80.134715025906729</v>
      </c>
      <c r="AS115" s="264">
        <f>(153.5+19)*((AS104+AS105+AS106+AS107+AS108))/(AS43+AS46+AS47+AS49+AS104+AS105+AS106+AS107+AS108+AS45+AS82)</f>
        <v>74.424442690866044</v>
      </c>
      <c r="AT115" s="64">
        <f>(162.5+15)*((AT104+AT105+AT106+AT107+AT108))/(AT43+AT46+AT47+AT49+AT104+AT105+AT106+AT107+AT108+AT45+AT82)</f>
        <v>76.505060493252657</v>
      </c>
      <c r="AU115" s="64">
        <f>(162.5+14)*((AU104+AU105+AU106+AU107+AU108))/(AU43+AU46+AU47+AU49+AU104+AU105+AU106+AU107+AU108+AU45+AU82)</f>
        <v>75.414091295718748</v>
      </c>
      <c r="AV115" s="64">
        <f>(165+14.5)*((AV104+AV105+AV106+AV107+AV108))/(AV43+AV46+AV47+AV49+AV104+AV105+AV106+AV107+AV108+AV45+AV82)</f>
        <v>76.060752056404226</v>
      </c>
      <c r="AW115" s="64">
        <f>(165+14.5)*((AW104+AW105+AW106+AW107+AW108))/(AW43+AW46+AW47+AW49+AW104+AW105+AW106+AW107+AW108+AW45+AW82)</f>
        <v>75.680627047262519</v>
      </c>
      <c r="AX115" s="64">
        <f>(250+43.6)*((AX104+AX105+AX106+AX107+AX108))/(AX43+AX46+AX47+AX49+AX104+AX105+AX106+AX107+AX108+AX45+AX82)</f>
        <v>125.75350964406445</v>
      </c>
      <c r="AY115" s="10" t="s">
        <v>200</v>
      </c>
      <c r="BD115" s="53"/>
      <c r="BG115" s="5" t="s">
        <v>253</v>
      </c>
      <c r="BH115" s="5" t="s">
        <v>280</v>
      </c>
      <c r="BI115" s="5" t="s">
        <v>6</v>
      </c>
      <c r="BJ115" s="25" t="s">
        <v>47</v>
      </c>
      <c r="BK115" s="5" t="s">
        <v>38</v>
      </c>
      <c r="BL115" s="5" t="s">
        <v>205</v>
      </c>
      <c r="BM115" s="5" t="s">
        <v>193</v>
      </c>
      <c r="BN115" s="5" t="s">
        <v>103</v>
      </c>
      <c r="BO115" s="5" t="s">
        <v>122</v>
      </c>
      <c r="BP115" s="10" t="s">
        <v>345</v>
      </c>
      <c r="BQ115" s="10" t="s">
        <v>345</v>
      </c>
      <c r="BR115" s="19" t="s">
        <v>345</v>
      </c>
    </row>
    <row r="116" spans="1:70" ht="10.5" x14ac:dyDescent="0.25">
      <c r="Y116" s="55"/>
      <c r="AE116" s="55"/>
      <c r="AF116" s="55"/>
      <c r="AG116" s="55"/>
      <c r="AH116" s="55">
        <v>9.5</v>
      </c>
      <c r="AI116" s="64">
        <v>0</v>
      </c>
      <c r="AJ116" s="64">
        <v>5</v>
      </c>
      <c r="AK116" s="64">
        <v>0</v>
      </c>
      <c r="AL116" s="64">
        <v>0</v>
      </c>
      <c r="AM116" s="64">
        <v>0</v>
      </c>
      <c r="AN116" s="178">
        <v>0</v>
      </c>
      <c r="AO116" s="64">
        <v>0</v>
      </c>
      <c r="AP116" s="64">
        <v>0</v>
      </c>
      <c r="AQ116" s="64">
        <v>0</v>
      </c>
      <c r="AR116" s="64">
        <v>0</v>
      </c>
      <c r="AS116" s="64">
        <v>0</v>
      </c>
      <c r="AT116" s="64">
        <v>0</v>
      </c>
      <c r="AU116" s="64"/>
      <c r="AV116" s="36"/>
      <c r="AW116" s="36"/>
      <c r="AX116" s="36"/>
      <c r="AY116" s="10" t="s">
        <v>210</v>
      </c>
      <c r="BB116" s="148"/>
      <c r="BC116" s="11"/>
      <c r="BG116" s="149"/>
      <c r="BH116" s="5"/>
      <c r="BI116" s="5"/>
      <c r="BJ116" s="25"/>
      <c r="BK116" s="5"/>
      <c r="BL116" s="5"/>
      <c r="BM116" s="5"/>
      <c r="BN116" s="5"/>
      <c r="BO116" s="5"/>
    </row>
    <row r="117" spans="1:70" ht="10.5" x14ac:dyDescent="0.25">
      <c r="Y117" s="55"/>
      <c r="AE117" s="55"/>
      <c r="AF117" s="55"/>
      <c r="AG117" s="55"/>
      <c r="AH117" s="55"/>
      <c r="AI117" s="64">
        <f>9+8.5+78.1+20.9+2+3</f>
        <v>121.5</v>
      </c>
      <c r="AJ117" s="54">
        <v>175.4</v>
      </c>
      <c r="AK117" s="54">
        <v>0</v>
      </c>
      <c r="AL117" s="55">
        <v>237.4</v>
      </c>
      <c r="AM117" s="54">
        <v>0</v>
      </c>
      <c r="AN117" s="177">
        <v>0</v>
      </c>
      <c r="AO117" s="54">
        <v>0</v>
      </c>
      <c r="AP117" s="54">
        <v>0</v>
      </c>
      <c r="AQ117" s="269">
        <v>0</v>
      </c>
      <c r="AR117" s="269">
        <v>0</v>
      </c>
      <c r="AS117" s="269">
        <v>0</v>
      </c>
      <c r="AT117" s="54">
        <v>0</v>
      </c>
      <c r="AU117" s="54"/>
      <c r="AY117" s="10" t="s">
        <v>255</v>
      </c>
      <c r="BB117" s="11"/>
      <c r="BH117" s="5"/>
      <c r="BI117" s="5"/>
      <c r="BJ117" s="25"/>
      <c r="BK117" s="5"/>
      <c r="BL117" s="5"/>
      <c r="BM117" s="5"/>
      <c r="BN117" s="5"/>
      <c r="BO117" s="5"/>
    </row>
    <row r="118" spans="1:70" x14ac:dyDescent="0.2">
      <c r="B118" s="10" t="s">
        <v>15</v>
      </c>
      <c r="E118" s="54">
        <v>0</v>
      </c>
      <c r="F118" s="54">
        <v>0</v>
      </c>
      <c r="G118" s="54">
        <v>0</v>
      </c>
      <c r="H118" s="54">
        <v>0</v>
      </c>
      <c r="I118" s="54">
        <v>0</v>
      </c>
      <c r="J118" s="54">
        <v>0</v>
      </c>
      <c r="K118" s="54">
        <v>0</v>
      </c>
      <c r="L118" s="54">
        <v>0</v>
      </c>
      <c r="M118" s="54">
        <v>0</v>
      </c>
      <c r="N118" s="54">
        <v>0</v>
      </c>
      <c r="O118" s="54">
        <v>0</v>
      </c>
      <c r="P118" s="54">
        <v>0</v>
      </c>
      <c r="Q118" s="54">
        <v>0</v>
      </c>
      <c r="R118" s="54">
        <v>0</v>
      </c>
      <c r="S118" s="54">
        <v>0</v>
      </c>
      <c r="T118" s="54">
        <v>0</v>
      </c>
      <c r="U118" s="55">
        <v>-5.7</v>
      </c>
      <c r="V118" s="55">
        <v>-9.3000000000000007</v>
      </c>
      <c r="W118" s="55">
        <v>-15.8</v>
      </c>
      <c r="X118" s="55">
        <v>-18.899999999999999</v>
      </c>
      <c r="Y118" s="55">
        <v>-24.4</v>
      </c>
      <c r="Z118" s="54">
        <v>-1</v>
      </c>
      <c r="AA118" s="54">
        <v>0</v>
      </c>
      <c r="AB118" s="54">
        <v>0</v>
      </c>
      <c r="AC118" s="54">
        <v>0</v>
      </c>
      <c r="AD118" s="55">
        <v>0</v>
      </c>
      <c r="AE118" s="54">
        <v>-13</v>
      </c>
      <c r="AF118" s="54">
        <v>0</v>
      </c>
      <c r="AG118" s="54">
        <v>0</v>
      </c>
      <c r="AI118" s="54"/>
      <c r="AJ118" s="54"/>
      <c r="AK118" s="54"/>
      <c r="AL118" s="54"/>
      <c r="AM118" s="54"/>
      <c r="AN118" s="177"/>
      <c r="AO118" s="55"/>
      <c r="AP118" s="54"/>
      <c r="AQ118" s="54"/>
      <c r="AR118" s="54"/>
      <c r="AS118" s="54"/>
      <c r="AT118" s="54"/>
      <c r="AU118" s="54"/>
      <c r="AV118" s="64">
        <f>(AV53)*((AV104+AV105+AV106+AV107+AV108))/(AV43+AV46+AV48+AV49+AV104+AV105+AV106+AV107+AV108+AV45+AV82)</f>
        <v>-14.531511469709089</v>
      </c>
      <c r="AW118" s="64">
        <f>(AW53)*((AW104+AW105+AW106+AW107+AW108))/(AW43+AW46+AW48+AW49+AW104+AW105+AW106+AW107+AW108+AW45+AW82)</f>
        <v>-0.45207940179423101</v>
      </c>
      <c r="AX118" s="64">
        <f>(AX53)*((AX104+AX105+AX106+AX107+AX108))/(AX43+AX46+AX48+AX49+AX104+AX105+AX106+AX107+AX108+AX45+AX82)</f>
        <v>0</v>
      </c>
      <c r="AY118" s="5" t="s">
        <v>393</v>
      </c>
      <c r="BG118" s="5" t="s">
        <v>321</v>
      </c>
      <c r="BH118" s="5" t="s">
        <v>323</v>
      </c>
      <c r="BI118" s="5" t="s">
        <v>322</v>
      </c>
      <c r="BJ118" s="5"/>
      <c r="BP118" s="10" t="s">
        <v>345</v>
      </c>
      <c r="BQ118" s="10" t="s">
        <v>345</v>
      </c>
      <c r="BR118" s="19" t="s">
        <v>345</v>
      </c>
    </row>
    <row r="119" spans="1:70" x14ac:dyDescent="0.2">
      <c r="AD119" s="54"/>
      <c r="AI119" s="54"/>
      <c r="AJ119" s="54"/>
      <c r="AK119" s="54"/>
      <c r="AL119" s="54"/>
      <c r="AM119" s="54"/>
      <c r="AN119" s="177"/>
      <c r="AO119" s="54"/>
      <c r="AP119" s="54"/>
      <c r="AQ119" s="269"/>
      <c r="AR119" s="269"/>
      <c r="AS119" s="269"/>
      <c r="AT119" s="54"/>
      <c r="AU119" s="54"/>
      <c r="AY119" s="137"/>
      <c r="BF119" s="10"/>
    </row>
    <row r="120" spans="1:70" s="1" customFormat="1" ht="10.5" x14ac:dyDescent="0.25">
      <c r="A120" s="79" t="s">
        <v>16</v>
      </c>
      <c r="B120" s="80"/>
      <c r="C120" s="80"/>
      <c r="D120" s="80"/>
      <c r="E120" s="81">
        <f t="shared" ref="E120:AI120" si="27">(SUM(E104:E118))</f>
        <v>604.79999999999995</v>
      </c>
      <c r="F120" s="81">
        <f t="shared" si="27"/>
        <v>769.9</v>
      </c>
      <c r="G120" s="81">
        <f t="shared" si="27"/>
        <v>832.7</v>
      </c>
      <c r="H120" s="81">
        <f t="shared" si="27"/>
        <v>822.9</v>
      </c>
      <c r="I120" s="81">
        <f t="shared" si="27"/>
        <v>400.90000000000003</v>
      </c>
      <c r="J120" s="81">
        <f t="shared" si="27"/>
        <v>304</v>
      </c>
      <c r="K120" s="81">
        <f t="shared" si="27"/>
        <v>255.85000000000002</v>
      </c>
      <c r="L120" s="81">
        <f t="shared" si="27"/>
        <v>255.69999999999996</v>
      </c>
      <c r="M120" s="81">
        <f t="shared" si="27"/>
        <v>208.8</v>
      </c>
      <c r="N120" s="81">
        <f t="shared" si="27"/>
        <v>181.99999999999997</v>
      </c>
      <c r="O120" s="81">
        <f t="shared" si="27"/>
        <v>152.25</v>
      </c>
      <c r="P120" s="81">
        <f t="shared" si="27"/>
        <v>160.6</v>
      </c>
      <c r="Q120" s="81">
        <f t="shared" si="27"/>
        <v>139.1</v>
      </c>
      <c r="R120" s="81">
        <f t="shared" si="27"/>
        <v>201.20000000000002</v>
      </c>
      <c r="S120" s="81">
        <f t="shared" si="27"/>
        <v>241.70000000000002</v>
      </c>
      <c r="T120" s="81">
        <f t="shared" si="27"/>
        <v>255.7</v>
      </c>
      <c r="U120" s="81">
        <f t="shared" si="27"/>
        <v>308.60000000000002</v>
      </c>
      <c r="V120" s="81">
        <f t="shared" si="27"/>
        <v>360.5</v>
      </c>
      <c r="W120" s="81">
        <f t="shared" si="27"/>
        <v>254.10000000000002</v>
      </c>
      <c r="X120" s="81">
        <f t="shared" si="27"/>
        <v>230.35999999999999</v>
      </c>
      <c r="Y120" s="81">
        <f t="shared" si="27"/>
        <v>292.64999999999998</v>
      </c>
      <c r="Z120" s="81">
        <f t="shared" si="27"/>
        <v>354.45</v>
      </c>
      <c r="AA120" s="82">
        <f t="shared" si="27"/>
        <v>283.29000000000002</v>
      </c>
      <c r="AB120" s="81">
        <f t="shared" si="27"/>
        <v>343.60000000000008</v>
      </c>
      <c r="AC120" s="81">
        <f t="shared" si="27"/>
        <v>353.83000000000004</v>
      </c>
      <c r="AD120" s="81">
        <f t="shared" si="27"/>
        <v>283.89999999999998</v>
      </c>
      <c r="AE120" s="81">
        <f t="shared" si="27"/>
        <v>261.3</v>
      </c>
      <c r="AF120" s="81">
        <f>(SUM(AF104:AF118))</f>
        <v>292.30791254554919</v>
      </c>
      <c r="AG120" s="81">
        <f t="shared" si="27"/>
        <v>268.18625872249061</v>
      </c>
      <c r="AH120" s="81">
        <f t="shared" si="27"/>
        <v>546.14598919368245</v>
      </c>
      <c r="AI120" s="81">
        <f t="shared" si="27"/>
        <v>678.84221354414706</v>
      </c>
      <c r="AJ120" s="81">
        <f t="shared" ref="AJ120:AV120" si="28">(SUM(AJ104:AJ118))</f>
        <v>826.80505284015851</v>
      </c>
      <c r="AK120" s="90">
        <f t="shared" si="28"/>
        <v>1593.8384239723105</v>
      </c>
      <c r="AL120" s="180">
        <f t="shared" si="28"/>
        <v>959.7125896750598</v>
      </c>
      <c r="AM120" s="90">
        <f t="shared" si="28"/>
        <v>737.37679334732263</v>
      </c>
      <c r="AN120" s="180">
        <f t="shared" si="28"/>
        <v>792.33228357576616</v>
      </c>
      <c r="AO120" s="90">
        <f t="shared" si="28"/>
        <v>750.34718450923651</v>
      </c>
      <c r="AP120" s="90">
        <f t="shared" si="28"/>
        <v>823.79763862534264</v>
      </c>
      <c r="AQ120" s="90">
        <f t="shared" si="28"/>
        <v>766.90561656961745</v>
      </c>
      <c r="AR120" s="90">
        <f t="shared" si="28"/>
        <v>845.13471502590676</v>
      </c>
      <c r="AS120" s="90">
        <f t="shared" si="28"/>
        <v>822.52444269086607</v>
      </c>
      <c r="AT120" s="90">
        <f t="shared" si="28"/>
        <v>909.5050604932527</v>
      </c>
      <c r="AU120" s="90">
        <f t="shared" si="28"/>
        <v>925.91409129571878</v>
      </c>
      <c r="AV120" s="90">
        <f t="shared" si="28"/>
        <v>1093.0292405866951</v>
      </c>
      <c r="AW120" s="90">
        <f>(SUM(AW104:AW118))</f>
        <v>1106.2285476454683</v>
      </c>
      <c r="AX120" s="90">
        <f>(SUM(AX104:AX118))</f>
        <v>1593.1535096440646</v>
      </c>
      <c r="AY120" s="80" t="s">
        <v>16</v>
      </c>
      <c r="AZ120" s="80"/>
      <c r="BA120" s="80"/>
      <c r="BB120" s="80"/>
      <c r="BC120" s="80"/>
      <c r="BD120" s="11"/>
      <c r="BE120" s="10"/>
      <c r="BF120" s="132"/>
      <c r="BG120" s="29"/>
      <c r="BH120" s="11"/>
      <c r="BI120" s="11"/>
      <c r="BJ120" s="11"/>
      <c r="BK120" s="11"/>
      <c r="BL120" s="11"/>
      <c r="BM120" s="11"/>
      <c r="BN120" s="11"/>
      <c r="BO120" s="11"/>
      <c r="BP120" s="11"/>
      <c r="BQ120" s="11"/>
      <c r="BR120" s="30"/>
    </row>
    <row r="121" spans="1:70" s="6" customFormat="1" x14ac:dyDescent="0.2">
      <c r="A121" s="31" t="s">
        <v>17</v>
      </c>
      <c r="B121" s="7"/>
      <c r="C121" s="7"/>
      <c r="D121" s="7"/>
      <c r="E121" s="60">
        <v>0</v>
      </c>
      <c r="F121" s="60">
        <v>0</v>
      </c>
      <c r="G121" s="60">
        <v>0</v>
      </c>
      <c r="H121" s="60">
        <v>0</v>
      </c>
      <c r="I121" s="60">
        <v>0</v>
      </c>
      <c r="J121" s="60">
        <v>0</v>
      </c>
      <c r="K121" s="60">
        <v>0</v>
      </c>
      <c r="L121" s="60">
        <v>0</v>
      </c>
      <c r="M121" s="60">
        <v>0</v>
      </c>
      <c r="N121" s="60">
        <v>0</v>
      </c>
      <c r="O121" s="60">
        <v>0</v>
      </c>
      <c r="P121" s="60">
        <v>0</v>
      </c>
      <c r="Q121" s="60">
        <v>0</v>
      </c>
      <c r="R121" s="60">
        <v>0</v>
      </c>
      <c r="S121" s="60">
        <v>0</v>
      </c>
      <c r="T121" s="60">
        <v>0</v>
      </c>
      <c r="U121" s="60">
        <v>0</v>
      </c>
      <c r="V121" s="60">
        <v>0</v>
      </c>
      <c r="W121" s="60">
        <v>0</v>
      </c>
      <c r="X121" s="60">
        <v>0</v>
      </c>
      <c r="Y121" s="60">
        <v>0</v>
      </c>
      <c r="Z121" s="60">
        <v>0</v>
      </c>
      <c r="AA121" s="60">
        <v>0</v>
      </c>
      <c r="AB121" s="60">
        <v>0</v>
      </c>
      <c r="AC121" s="60">
        <v>0</v>
      </c>
      <c r="AD121" s="60">
        <f>7.6+5.3</f>
        <v>12.899999999999999</v>
      </c>
      <c r="AE121" s="60">
        <v>0</v>
      </c>
      <c r="AF121" s="60">
        <v>0</v>
      </c>
      <c r="AG121" s="60"/>
      <c r="AH121" s="60"/>
      <c r="AI121" s="60"/>
      <c r="AJ121" s="60">
        <v>5</v>
      </c>
      <c r="AK121" s="60">
        <v>0</v>
      </c>
      <c r="AL121" s="173">
        <v>0</v>
      </c>
      <c r="AM121" s="60">
        <v>0</v>
      </c>
      <c r="AN121" s="173">
        <v>0</v>
      </c>
      <c r="AO121" s="60">
        <v>0</v>
      </c>
      <c r="AP121" s="60">
        <v>0</v>
      </c>
      <c r="AQ121" s="60">
        <v>0</v>
      </c>
      <c r="AR121" s="60">
        <v>0</v>
      </c>
      <c r="AS121" s="60">
        <v>0</v>
      </c>
      <c r="AT121" s="60">
        <v>2</v>
      </c>
      <c r="AU121" s="60">
        <v>3</v>
      </c>
      <c r="AV121" s="60">
        <v>0</v>
      </c>
      <c r="AW121" s="7">
        <v>0</v>
      </c>
      <c r="AX121" s="7">
        <v>1</v>
      </c>
      <c r="AY121" s="7" t="s">
        <v>213</v>
      </c>
      <c r="AZ121" s="7"/>
      <c r="BA121" s="7"/>
      <c r="BB121" s="7"/>
      <c r="BC121" s="7"/>
      <c r="BD121" s="7"/>
      <c r="BE121" s="7"/>
      <c r="BF121" s="7"/>
      <c r="BG121" s="7"/>
      <c r="BH121" s="7"/>
      <c r="BI121" s="7"/>
      <c r="BJ121" s="7"/>
      <c r="BK121" s="7"/>
      <c r="BL121" s="7"/>
      <c r="BM121" s="7"/>
      <c r="BN121" s="7" t="s">
        <v>301</v>
      </c>
      <c r="BO121" s="7" t="s">
        <v>317</v>
      </c>
      <c r="BP121" s="7"/>
      <c r="BQ121" s="7"/>
      <c r="BR121" s="38"/>
    </row>
    <row r="122" spans="1:70" s="8" customFormat="1" ht="10.5" x14ac:dyDescent="0.25">
      <c r="A122" s="39" t="s">
        <v>18</v>
      </c>
      <c r="B122" s="9"/>
      <c r="C122" s="9"/>
      <c r="D122" s="9"/>
      <c r="E122" s="61">
        <f t="shared" ref="E122:AJ122" si="29">E121+E120</f>
        <v>604.79999999999995</v>
      </c>
      <c r="F122" s="61">
        <f t="shared" si="29"/>
        <v>769.9</v>
      </c>
      <c r="G122" s="61">
        <f t="shared" si="29"/>
        <v>832.7</v>
      </c>
      <c r="H122" s="61">
        <f t="shared" si="29"/>
        <v>822.9</v>
      </c>
      <c r="I122" s="61">
        <f t="shared" si="29"/>
        <v>400.90000000000003</v>
      </c>
      <c r="J122" s="61">
        <f t="shared" si="29"/>
        <v>304</v>
      </c>
      <c r="K122" s="61">
        <f t="shared" si="29"/>
        <v>255.85000000000002</v>
      </c>
      <c r="L122" s="61">
        <f t="shared" si="29"/>
        <v>255.69999999999996</v>
      </c>
      <c r="M122" s="61">
        <f t="shared" si="29"/>
        <v>208.8</v>
      </c>
      <c r="N122" s="61">
        <f t="shared" si="29"/>
        <v>181.99999999999997</v>
      </c>
      <c r="O122" s="61">
        <f t="shared" si="29"/>
        <v>152.25</v>
      </c>
      <c r="P122" s="61">
        <f t="shared" si="29"/>
        <v>160.6</v>
      </c>
      <c r="Q122" s="61">
        <f t="shared" si="29"/>
        <v>139.1</v>
      </c>
      <c r="R122" s="61">
        <f t="shared" si="29"/>
        <v>201.20000000000002</v>
      </c>
      <c r="S122" s="61">
        <f t="shared" si="29"/>
        <v>241.70000000000002</v>
      </c>
      <c r="T122" s="61">
        <f t="shared" si="29"/>
        <v>255.7</v>
      </c>
      <c r="U122" s="61">
        <f t="shared" si="29"/>
        <v>308.60000000000002</v>
      </c>
      <c r="V122" s="61">
        <f t="shared" si="29"/>
        <v>360.5</v>
      </c>
      <c r="W122" s="61">
        <f t="shared" si="29"/>
        <v>254.10000000000002</v>
      </c>
      <c r="X122" s="61">
        <f t="shared" si="29"/>
        <v>230.35999999999999</v>
      </c>
      <c r="Y122" s="61">
        <f t="shared" si="29"/>
        <v>292.64999999999998</v>
      </c>
      <c r="Z122" s="61">
        <f t="shared" si="29"/>
        <v>354.45</v>
      </c>
      <c r="AA122" s="60">
        <f t="shared" si="29"/>
        <v>283.29000000000002</v>
      </c>
      <c r="AB122" s="61">
        <f t="shared" si="29"/>
        <v>343.60000000000008</v>
      </c>
      <c r="AC122" s="61">
        <f t="shared" si="29"/>
        <v>353.83000000000004</v>
      </c>
      <c r="AD122" s="61">
        <f>AD121+AD120</f>
        <v>296.79999999999995</v>
      </c>
      <c r="AE122" s="61">
        <f t="shared" si="29"/>
        <v>261.3</v>
      </c>
      <c r="AF122" s="113">
        <f t="shared" si="29"/>
        <v>292.30791254554919</v>
      </c>
      <c r="AG122" s="113">
        <f t="shared" si="29"/>
        <v>268.18625872249061</v>
      </c>
      <c r="AH122" s="113">
        <f t="shared" si="29"/>
        <v>546.14598919368245</v>
      </c>
      <c r="AI122" s="113">
        <f t="shared" si="29"/>
        <v>678.84221354414706</v>
      </c>
      <c r="AJ122" s="113">
        <f t="shared" si="29"/>
        <v>831.80505284015851</v>
      </c>
      <c r="AK122" s="113">
        <f t="shared" ref="AK122:AP122" si="30">AK121+AK120</f>
        <v>1593.8384239723105</v>
      </c>
      <c r="AL122" s="199">
        <f t="shared" si="30"/>
        <v>959.7125896750598</v>
      </c>
      <c r="AM122" s="113">
        <f t="shared" si="30"/>
        <v>737.37679334732263</v>
      </c>
      <c r="AN122" s="199">
        <f t="shared" si="30"/>
        <v>792.33228357576616</v>
      </c>
      <c r="AO122" s="113">
        <f t="shared" si="30"/>
        <v>750.34718450923651</v>
      </c>
      <c r="AP122" s="113">
        <f t="shared" si="30"/>
        <v>823.79763862534264</v>
      </c>
      <c r="AQ122" s="113">
        <f t="shared" ref="AQ122:AW122" si="31">AQ121+AQ120</f>
        <v>766.90561656961745</v>
      </c>
      <c r="AR122" s="113">
        <f t="shared" si="31"/>
        <v>845.13471502590676</v>
      </c>
      <c r="AS122" s="113">
        <f t="shared" si="31"/>
        <v>822.52444269086607</v>
      </c>
      <c r="AT122" s="113">
        <f t="shared" si="31"/>
        <v>911.5050604932527</v>
      </c>
      <c r="AU122" s="113">
        <f t="shared" si="31"/>
        <v>928.91409129571878</v>
      </c>
      <c r="AV122" s="113">
        <f t="shared" si="31"/>
        <v>1093.0292405866951</v>
      </c>
      <c r="AW122" s="113">
        <f t="shared" si="31"/>
        <v>1106.2285476454683</v>
      </c>
      <c r="AX122" s="113">
        <f t="shared" ref="AX122" si="32">AX121+AX120</f>
        <v>1594.1535096440646</v>
      </c>
      <c r="AY122" s="9" t="s">
        <v>18</v>
      </c>
      <c r="AZ122" s="9"/>
      <c r="BA122" s="9"/>
      <c r="BB122" s="9"/>
      <c r="BC122" s="9"/>
      <c r="BD122" s="9"/>
      <c r="BE122" s="9"/>
      <c r="BF122" s="9"/>
      <c r="BG122" s="9"/>
      <c r="BH122" s="9"/>
      <c r="BI122" s="9"/>
      <c r="BJ122" s="9"/>
      <c r="BK122" s="9"/>
      <c r="BL122" s="9"/>
      <c r="BM122" s="9"/>
      <c r="BN122" s="9"/>
      <c r="BO122" s="9"/>
      <c r="BP122" s="9"/>
      <c r="BQ122" s="9"/>
      <c r="BR122" s="33"/>
    </row>
    <row r="123" spans="1:70" x14ac:dyDescent="0.2">
      <c r="E123" s="124"/>
      <c r="F123" s="124"/>
      <c r="G123" s="124"/>
      <c r="H123" s="124"/>
      <c r="I123" s="124"/>
      <c r="J123" s="124"/>
      <c r="K123" s="124"/>
      <c r="L123" s="124"/>
      <c r="M123" s="124"/>
      <c r="N123" s="124"/>
      <c r="O123" s="124"/>
      <c r="P123" s="124"/>
      <c r="Q123" s="124"/>
      <c r="R123" s="124"/>
      <c r="S123" s="124"/>
      <c r="T123" s="124"/>
      <c r="U123" s="119"/>
      <c r="V123" s="119"/>
      <c r="W123" s="124"/>
      <c r="X123" s="119"/>
      <c r="Y123" s="124"/>
      <c r="Z123" s="124"/>
      <c r="AA123" s="119"/>
      <c r="AB123" s="124"/>
      <c r="AC123" s="124"/>
      <c r="AD123" s="119"/>
      <c r="AE123" s="124"/>
      <c r="AF123" s="124"/>
      <c r="AG123" s="124"/>
      <c r="AH123" s="124"/>
      <c r="AI123" s="124"/>
      <c r="AJ123" s="124"/>
      <c r="AL123" s="124"/>
      <c r="AM123" s="124"/>
      <c r="AN123" s="124"/>
      <c r="AO123" s="54"/>
      <c r="AP123" s="242"/>
      <c r="AQ123" s="280"/>
      <c r="AR123" s="280"/>
      <c r="AS123" s="280"/>
      <c r="AT123" s="248"/>
      <c r="AU123" s="248"/>
      <c r="AV123" s="248"/>
      <c r="AW123" s="248"/>
      <c r="AX123" s="248"/>
    </row>
    <row r="124" spans="1:70" ht="10.5" x14ac:dyDescent="0.25">
      <c r="A124" s="22" t="s">
        <v>116</v>
      </c>
      <c r="E124" s="125"/>
      <c r="F124" s="125"/>
      <c r="G124" s="125"/>
      <c r="H124" s="125"/>
      <c r="I124" s="125"/>
      <c r="J124" s="125"/>
      <c r="K124" s="125"/>
      <c r="L124" s="125"/>
      <c r="M124" s="125"/>
      <c r="N124" s="125"/>
      <c r="O124" s="125"/>
      <c r="P124" s="125"/>
      <c r="Q124" s="125"/>
      <c r="R124" s="125"/>
      <c r="S124" s="125"/>
      <c r="T124" s="125"/>
      <c r="U124" s="126"/>
      <c r="V124" s="126"/>
      <c r="W124" s="125"/>
      <c r="X124" s="126"/>
      <c r="Y124" s="125"/>
      <c r="Z124" s="125"/>
      <c r="AA124" s="126"/>
      <c r="AB124" s="125"/>
      <c r="AC124" s="125"/>
      <c r="AD124" s="126"/>
      <c r="AE124" s="125"/>
      <c r="AF124" s="125"/>
      <c r="AG124" s="125"/>
      <c r="AH124" s="10"/>
      <c r="AL124" s="125"/>
      <c r="AM124" s="125"/>
      <c r="AN124" s="125"/>
      <c r="AO124" s="54"/>
      <c r="AP124" s="54"/>
      <c r="AQ124" s="54"/>
      <c r="AR124" s="54"/>
      <c r="AS124" s="87"/>
      <c r="AY124" s="23" t="s">
        <v>116</v>
      </c>
    </row>
    <row r="125" spans="1:70" x14ac:dyDescent="0.2">
      <c r="B125" s="10" t="s">
        <v>19</v>
      </c>
      <c r="E125" s="74"/>
      <c r="F125" s="74"/>
      <c r="G125" s="74"/>
      <c r="H125" s="74"/>
      <c r="I125" s="74"/>
      <c r="J125" s="74"/>
      <c r="K125" s="74"/>
      <c r="L125" s="74"/>
      <c r="M125" s="74"/>
      <c r="N125" s="74"/>
      <c r="O125" s="74"/>
      <c r="P125" s="74"/>
      <c r="Q125" s="74"/>
      <c r="R125" s="74"/>
      <c r="S125" s="74"/>
      <c r="T125" s="74"/>
      <c r="U125" s="75"/>
      <c r="V125" s="75"/>
      <c r="W125" s="74"/>
      <c r="X125" s="75"/>
      <c r="Y125" s="74"/>
      <c r="Z125" s="74"/>
      <c r="AA125" s="76"/>
      <c r="AB125" s="74"/>
      <c r="AC125" s="74"/>
      <c r="AD125" s="75">
        <v>80.400000000000006</v>
      </c>
      <c r="AE125" s="74">
        <v>71.5</v>
      </c>
      <c r="AF125" s="74">
        <v>89.5</v>
      </c>
      <c r="AG125" s="74">
        <v>132.6</v>
      </c>
      <c r="AH125" s="70">
        <f>96.5-23.5</f>
        <v>73</v>
      </c>
      <c r="AI125" s="70">
        <f>82.8-24.8</f>
        <v>58</v>
      </c>
      <c r="AJ125" s="70">
        <v>83.1</v>
      </c>
      <c r="AK125" s="70">
        <v>0</v>
      </c>
      <c r="AL125" s="202">
        <v>121.4</v>
      </c>
      <c r="AM125" s="203">
        <v>102</v>
      </c>
      <c r="AN125" s="179">
        <f>24.7+23.2+19.3+29</f>
        <v>96.2</v>
      </c>
      <c r="AO125" s="70">
        <f>23.4+20+29.1+18.4</f>
        <v>90.9</v>
      </c>
      <c r="AP125" s="70">
        <f>105.6-15.2</f>
        <v>90.399999999999991</v>
      </c>
      <c r="AQ125" s="266">
        <f>144.2-27.6-11.6-6-6</f>
        <v>93</v>
      </c>
      <c r="AR125" s="266">
        <f>206-28-20.5-7.5-9</f>
        <v>141</v>
      </c>
      <c r="AS125" s="70">
        <f>230-28.5-9-31-7.5</f>
        <v>154</v>
      </c>
      <c r="AT125" s="70">
        <f>261-41-29-7.9-14.9</f>
        <v>168.2</v>
      </c>
      <c r="AU125" s="70">
        <f>156+(89.5+19)-AU126-AU129-AU130</f>
        <v>194.5</v>
      </c>
      <c r="AV125" s="53">
        <f>190+(95+48)-AV126-AV129-AV130</f>
        <v>252</v>
      </c>
      <c r="AW125" s="53">
        <f>211.7+(96+48)-AW126-AW129-AW130</f>
        <v>250.7</v>
      </c>
      <c r="AX125" s="53">
        <f>327+(0+0)-AX126-AX129-AX130</f>
        <v>178</v>
      </c>
      <c r="AY125" s="10" t="s">
        <v>427</v>
      </c>
      <c r="BN125" s="10" t="s">
        <v>272</v>
      </c>
      <c r="BO125" s="10" t="s">
        <v>361</v>
      </c>
      <c r="BP125" s="10" t="s">
        <v>346</v>
      </c>
    </row>
    <row r="126" spans="1:70" x14ac:dyDescent="0.2">
      <c r="E126" s="74"/>
      <c r="F126" s="74"/>
      <c r="G126" s="74"/>
      <c r="H126" s="74"/>
      <c r="I126" s="74"/>
      <c r="J126" s="74"/>
      <c r="K126" s="74"/>
      <c r="L126" s="74"/>
      <c r="M126" s="74"/>
      <c r="N126" s="74"/>
      <c r="O126" s="74"/>
      <c r="P126" s="74"/>
      <c r="Q126" s="74"/>
      <c r="R126" s="74"/>
      <c r="S126" s="74"/>
      <c r="T126" s="74"/>
      <c r="U126" s="75"/>
      <c r="V126" s="75"/>
      <c r="W126" s="74"/>
      <c r="X126" s="75"/>
      <c r="Y126" s="74"/>
      <c r="Z126" s="74"/>
      <c r="AA126" s="76"/>
      <c r="AB126" s="74"/>
      <c r="AC126" s="74"/>
      <c r="AD126" s="75"/>
      <c r="AE126" s="74"/>
      <c r="AF126" s="74"/>
      <c r="AG126" s="74"/>
      <c r="AH126" s="70"/>
      <c r="AI126" s="70"/>
      <c r="AJ126" s="70"/>
      <c r="AK126" s="70"/>
      <c r="AL126" s="202"/>
      <c r="AM126" s="203"/>
      <c r="AN126" s="179"/>
      <c r="AO126" s="70"/>
      <c r="AP126" s="70">
        <v>15.2</v>
      </c>
      <c r="AQ126" s="265">
        <v>11.6</v>
      </c>
      <c r="AR126" s="265">
        <v>20.5</v>
      </c>
      <c r="AS126" s="70">
        <v>31</v>
      </c>
      <c r="AT126" s="70">
        <v>41</v>
      </c>
      <c r="AU126" s="70">
        <v>46</v>
      </c>
      <c r="AV126" s="53">
        <v>56</v>
      </c>
      <c r="AW126" s="53">
        <v>80</v>
      </c>
      <c r="AX126" s="53">
        <v>119</v>
      </c>
      <c r="AY126" s="10" t="s">
        <v>409</v>
      </c>
      <c r="BD126" s="5"/>
    </row>
    <row r="127" spans="1:70" x14ac:dyDescent="0.2">
      <c r="B127" s="10" t="s">
        <v>126</v>
      </c>
      <c r="AH127" s="70"/>
      <c r="AI127" s="70"/>
      <c r="AJ127" s="70">
        <v>0</v>
      </c>
      <c r="AK127" s="70">
        <v>700</v>
      </c>
      <c r="AL127" s="179">
        <v>0</v>
      </c>
      <c r="AM127" s="70">
        <v>0</v>
      </c>
      <c r="AN127" s="179"/>
      <c r="AO127" s="70"/>
      <c r="AP127" s="70"/>
      <c r="AQ127" s="70"/>
      <c r="AR127" s="70"/>
      <c r="AS127" s="70"/>
      <c r="AT127" s="70"/>
      <c r="AU127" s="70"/>
      <c r="AV127" s="53"/>
      <c r="AW127" s="53"/>
      <c r="AX127" s="53"/>
      <c r="AY127" s="10" t="s">
        <v>126</v>
      </c>
    </row>
    <row r="128" spans="1:70" x14ac:dyDescent="0.2">
      <c r="B128" s="10" t="s">
        <v>257</v>
      </c>
      <c r="AH128" s="70"/>
      <c r="AI128" s="70">
        <v>24.3</v>
      </c>
      <c r="AJ128" s="70">
        <v>19.600000000000001</v>
      </c>
      <c r="AK128" s="70">
        <v>0</v>
      </c>
      <c r="AL128" s="179">
        <v>13.1</v>
      </c>
      <c r="AM128" s="70">
        <v>0</v>
      </c>
      <c r="AN128" s="179"/>
      <c r="AO128" s="70"/>
      <c r="AP128" s="70"/>
      <c r="AQ128" s="203"/>
      <c r="AR128" s="203"/>
      <c r="AS128" s="70"/>
      <c r="AT128" s="70"/>
      <c r="AU128" s="70"/>
      <c r="AV128" s="53"/>
      <c r="AW128" s="53"/>
      <c r="AX128" s="53"/>
      <c r="AY128" s="10" t="s">
        <v>257</v>
      </c>
    </row>
    <row r="129" spans="1:70" x14ac:dyDescent="0.2">
      <c r="AH129" s="70"/>
      <c r="AI129" s="70"/>
      <c r="AJ129" s="70"/>
      <c r="AK129" s="70"/>
      <c r="AL129" s="179">
        <f>6.4+6.2</f>
        <v>12.600000000000001</v>
      </c>
      <c r="AM129" s="70">
        <f>6+6.1</f>
        <v>12.1</v>
      </c>
      <c r="AN129" s="179">
        <f>7+6</f>
        <v>13</v>
      </c>
      <c r="AO129" s="70">
        <f>6.6+6.2</f>
        <v>12.8</v>
      </c>
      <c r="AP129" s="70">
        <f>6+8</f>
        <v>14</v>
      </c>
      <c r="AQ129" s="203">
        <f>6+6</f>
        <v>12</v>
      </c>
      <c r="AR129" s="203">
        <f>7.5+9</f>
        <v>16.5</v>
      </c>
      <c r="AS129" s="70">
        <f>9+7.5</f>
        <v>16.5</v>
      </c>
      <c r="AT129" s="70">
        <f>7.9+14.9</f>
        <v>22.8</v>
      </c>
      <c r="AU129" s="70">
        <f>7</f>
        <v>7</v>
      </c>
      <c r="AV129" s="53">
        <v>7</v>
      </c>
      <c r="AW129" s="53">
        <v>7</v>
      </c>
      <c r="AX129" s="53">
        <v>10</v>
      </c>
      <c r="AY129" s="10" t="s">
        <v>395</v>
      </c>
    </row>
    <row r="130" spans="1:70" x14ac:dyDescent="0.2">
      <c r="B130" s="10" t="s">
        <v>20</v>
      </c>
      <c r="AD130" s="55">
        <v>3.1</v>
      </c>
      <c r="AE130" s="54">
        <v>9.6</v>
      </c>
      <c r="AF130" s="54">
        <v>8.1</v>
      </c>
      <c r="AG130" s="54">
        <v>13.3</v>
      </c>
      <c r="AH130" s="70">
        <v>17.399999999999999</v>
      </c>
      <c r="AI130" s="70">
        <v>17.600000000000001</v>
      </c>
      <c r="AJ130" s="70">
        <v>21.2</v>
      </c>
      <c r="AK130" s="70">
        <v>22.5</v>
      </c>
      <c r="AL130" s="179">
        <v>21.4</v>
      </c>
      <c r="AM130" s="70">
        <v>27.6</v>
      </c>
      <c r="AN130" s="179">
        <v>27</v>
      </c>
      <c r="AO130" s="70">
        <v>25.6</v>
      </c>
      <c r="AP130" s="70">
        <v>27.6</v>
      </c>
      <c r="AQ130" s="70">
        <v>27.6</v>
      </c>
      <c r="AR130" s="70">
        <v>28</v>
      </c>
      <c r="AS130" s="70">
        <v>28.5</v>
      </c>
      <c r="AT130" s="70">
        <v>29</v>
      </c>
      <c r="AU130" s="70">
        <v>17</v>
      </c>
      <c r="AV130" s="53">
        <v>18</v>
      </c>
      <c r="AW130" s="53">
        <v>18</v>
      </c>
      <c r="AX130" s="53">
        <v>20</v>
      </c>
      <c r="AY130" s="10" t="s">
        <v>20</v>
      </c>
      <c r="BN130" s="10" t="s">
        <v>276</v>
      </c>
      <c r="BO130" s="10" t="s">
        <v>342</v>
      </c>
      <c r="BP130" s="10" t="s">
        <v>346</v>
      </c>
    </row>
    <row r="131" spans="1:70" x14ac:dyDescent="0.2">
      <c r="AH131" s="70"/>
      <c r="AI131" s="70"/>
      <c r="AJ131" s="70">
        <v>-0.8</v>
      </c>
      <c r="AK131" s="70">
        <v>0</v>
      </c>
      <c r="AL131" s="179">
        <v>0</v>
      </c>
      <c r="AM131" s="70">
        <v>-3.6</v>
      </c>
      <c r="AN131" s="179">
        <v>0</v>
      </c>
      <c r="AO131" s="70">
        <v>0</v>
      </c>
      <c r="AP131" s="70">
        <v>0</v>
      </c>
      <c r="AQ131" s="266">
        <v>-0.3</v>
      </c>
      <c r="AR131" s="266">
        <v>0</v>
      </c>
      <c r="AS131" s="70">
        <v>-0.4</v>
      </c>
      <c r="AT131" s="70">
        <v>0</v>
      </c>
      <c r="AU131" s="70">
        <v>0</v>
      </c>
      <c r="AV131" s="53">
        <v>0</v>
      </c>
      <c r="AW131" s="53">
        <v>0</v>
      </c>
      <c r="AX131" s="53">
        <v>0</v>
      </c>
      <c r="AY131" s="10" t="s">
        <v>216</v>
      </c>
    </row>
    <row r="132" spans="1:70" ht="10.5" x14ac:dyDescent="0.25">
      <c r="A132" s="79" t="s">
        <v>142</v>
      </c>
      <c r="B132" s="80"/>
      <c r="C132" s="80"/>
      <c r="D132" s="80"/>
      <c r="E132" s="81"/>
      <c r="F132" s="81"/>
      <c r="G132" s="81"/>
      <c r="H132" s="81"/>
      <c r="I132" s="81"/>
      <c r="J132" s="81"/>
      <c r="K132" s="81"/>
      <c r="L132" s="81"/>
      <c r="M132" s="81"/>
      <c r="N132" s="81"/>
      <c r="O132" s="81"/>
      <c r="P132" s="81"/>
      <c r="Q132" s="81"/>
      <c r="R132" s="81"/>
      <c r="S132" s="81"/>
      <c r="T132" s="81"/>
      <c r="U132" s="81"/>
      <c r="V132" s="81"/>
      <c r="W132" s="81"/>
      <c r="X132" s="82"/>
      <c r="Y132" s="81"/>
      <c r="Z132" s="81"/>
      <c r="AA132" s="82"/>
      <c r="AB132" s="81"/>
      <c r="AC132" s="81"/>
      <c r="AD132" s="81">
        <f t="shared" ref="AD132:AI132" si="33">SUM(AD125:AD130)</f>
        <v>83.5</v>
      </c>
      <c r="AE132" s="81">
        <f t="shared" si="33"/>
        <v>81.099999999999994</v>
      </c>
      <c r="AF132" s="81">
        <f t="shared" si="33"/>
        <v>97.6</v>
      </c>
      <c r="AG132" s="81">
        <f t="shared" si="33"/>
        <v>145.9</v>
      </c>
      <c r="AH132" s="81">
        <f t="shared" si="33"/>
        <v>90.4</v>
      </c>
      <c r="AI132" s="81">
        <f t="shared" si="33"/>
        <v>99.9</v>
      </c>
      <c r="AJ132" s="90">
        <f t="shared" ref="AJ132:AO132" si="34">SUM(AJ125:AJ131)</f>
        <v>123.1</v>
      </c>
      <c r="AK132" s="90">
        <f t="shared" si="34"/>
        <v>722.5</v>
      </c>
      <c r="AL132" s="180">
        <f t="shared" si="34"/>
        <v>168.5</v>
      </c>
      <c r="AM132" s="90">
        <f t="shared" si="34"/>
        <v>138.1</v>
      </c>
      <c r="AN132" s="180">
        <f t="shared" si="34"/>
        <v>136.19999999999999</v>
      </c>
      <c r="AO132" s="90">
        <f t="shared" si="34"/>
        <v>129.30000000000001</v>
      </c>
      <c r="AP132" s="90">
        <f t="shared" ref="AP132:AW132" si="35">SUM(AP125:AP131)</f>
        <v>147.19999999999999</v>
      </c>
      <c r="AQ132" s="90">
        <f t="shared" si="35"/>
        <v>143.89999999999998</v>
      </c>
      <c r="AR132" s="90">
        <f t="shared" si="35"/>
        <v>206</v>
      </c>
      <c r="AS132" s="90">
        <f t="shared" si="35"/>
        <v>229.6</v>
      </c>
      <c r="AT132" s="90">
        <f t="shared" si="35"/>
        <v>261</v>
      </c>
      <c r="AU132" s="90">
        <f t="shared" si="35"/>
        <v>264.5</v>
      </c>
      <c r="AV132" s="90">
        <f t="shared" si="35"/>
        <v>333</v>
      </c>
      <c r="AW132" s="90">
        <f t="shared" si="35"/>
        <v>355.7</v>
      </c>
      <c r="AX132" s="90">
        <f t="shared" ref="AX132" si="36">SUM(AX125:AX131)</f>
        <v>327</v>
      </c>
      <c r="AY132" s="80" t="s">
        <v>143</v>
      </c>
      <c r="AZ132" s="84"/>
      <c r="BA132" s="84"/>
      <c r="BB132" s="84"/>
      <c r="BC132" s="84"/>
      <c r="BF132" s="29"/>
      <c r="BG132" s="29"/>
      <c r="BH132" s="11"/>
      <c r="BI132" s="11"/>
      <c r="BJ132" s="11"/>
      <c r="BK132" s="11"/>
      <c r="BL132" s="11"/>
      <c r="BM132" s="11"/>
      <c r="BN132" s="11"/>
      <c r="BO132" s="11"/>
    </row>
    <row r="133" spans="1:70" ht="10.5" x14ac:dyDescent="0.25">
      <c r="A133" s="92"/>
      <c r="B133" s="107" t="s">
        <v>125</v>
      </c>
      <c r="C133" s="108"/>
      <c r="D133" s="108"/>
      <c r="E133" s="109"/>
      <c r="F133" s="109"/>
      <c r="G133" s="109"/>
      <c r="H133" s="109"/>
      <c r="I133" s="109"/>
      <c r="J133" s="109"/>
      <c r="K133" s="109"/>
      <c r="L133" s="109"/>
      <c r="M133" s="109"/>
      <c r="N133" s="109"/>
      <c r="O133" s="109"/>
      <c r="P133" s="109"/>
      <c r="Q133" s="109"/>
      <c r="R133" s="109"/>
      <c r="S133" s="109"/>
      <c r="T133" s="109"/>
      <c r="U133" s="109"/>
      <c r="V133" s="109"/>
      <c r="W133" s="109"/>
      <c r="X133" s="100"/>
      <c r="Y133" s="109"/>
      <c r="Z133" s="109"/>
      <c r="AA133" s="100"/>
      <c r="AB133" s="109"/>
      <c r="AC133" s="109"/>
      <c r="AD133" s="109"/>
      <c r="AE133" s="109"/>
      <c r="AF133" s="109"/>
      <c r="AG133" s="109"/>
      <c r="AH133" s="109"/>
      <c r="AI133" s="109"/>
      <c r="AJ133" s="109">
        <v>0</v>
      </c>
      <c r="AK133" s="100">
        <v>3375.7</v>
      </c>
      <c r="AL133" s="181">
        <v>0</v>
      </c>
      <c r="AM133" s="100">
        <v>0</v>
      </c>
      <c r="AN133" s="181">
        <v>0</v>
      </c>
      <c r="AO133" s="100">
        <v>0</v>
      </c>
      <c r="AP133" s="100">
        <v>0</v>
      </c>
      <c r="AQ133" s="281">
        <v>0</v>
      </c>
      <c r="AR133" s="281">
        <v>0</v>
      </c>
      <c r="AS133" s="100">
        <v>0</v>
      </c>
      <c r="AT133" s="100">
        <v>0</v>
      </c>
      <c r="AU133" s="100">
        <v>0</v>
      </c>
      <c r="AV133" s="100">
        <v>0</v>
      </c>
      <c r="AW133" s="100">
        <v>0</v>
      </c>
      <c r="AX133" s="100">
        <v>0</v>
      </c>
      <c r="AY133" s="107" t="s">
        <v>247</v>
      </c>
      <c r="AZ133" s="107"/>
      <c r="BA133" s="107"/>
      <c r="BB133" s="107"/>
      <c r="BC133" s="97" t="s">
        <v>172</v>
      </c>
      <c r="BF133" s="29"/>
      <c r="BG133" s="29"/>
      <c r="BH133" s="11"/>
      <c r="BI133" s="11"/>
      <c r="BJ133" s="11"/>
      <c r="BK133" s="11"/>
      <c r="BL133" s="11"/>
      <c r="BM133" s="11"/>
      <c r="BN133" s="11"/>
      <c r="BO133" s="11"/>
    </row>
    <row r="134" spans="1:70" ht="10.5" x14ac:dyDescent="0.25">
      <c r="A134" s="92"/>
      <c r="B134" s="107"/>
      <c r="C134" s="108"/>
      <c r="D134" s="108"/>
      <c r="E134" s="109"/>
      <c r="F134" s="109"/>
      <c r="G134" s="109"/>
      <c r="H134" s="109"/>
      <c r="I134" s="109"/>
      <c r="J134" s="109"/>
      <c r="K134" s="109"/>
      <c r="L134" s="109"/>
      <c r="M134" s="109"/>
      <c r="N134" s="109"/>
      <c r="O134" s="109"/>
      <c r="P134" s="109"/>
      <c r="Q134" s="109"/>
      <c r="R134" s="109"/>
      <c r="S134" s="109"/>
      <c r="T134" s="109"/>
      <c r="U134" s="109"/>
      <c r="V134" s="109"/>
      <c r="W134" s="109"/>
      <c r="X134" s="100"/>
      <c r="Y134" s="109"/>
      <c r="Z134" s="109"/>
      <c r="AA134" s="100"/>
      <c r="AB134" s="109"/>
      <c r="AC134" s="109"/>
      <c r="AD134" s="109"/>
      <c r="AE134" s="109"/>
      <c r="AF134" s="109"/>
      <c r="AG134" s="109"/>
      <c r="AH134" s="109"/>
      <c r="AI134" s="109"/>
      <c r="AJ134" s="109">
        <v>0</v>
      </c>
      <c r="AK134" s="100">
        <f>100+10+80+50+55+102.5</f>
        <v>397.5</v>
      </c>
      <c r="AL134" s="181">
        <v>0</v>
      </c>
      <c r="AM134" s="100">
        <v>0</v>
      </c>
      <c r="AN134" s="181">
        <v>0</v>
      </c>
      <c r="AO134" s="100">
        <v>0</v>
      </c>
      <c r="AP134" s="100">
        <v>0</v>
      </c>
      <c r="AQ134" s="100">
        <v>0</v>
      </c>
      <c r="AR134" s="100">
        <v>0</v>
      </c>
      <c r="AS134" s="100">
        <v>0</v>
      </c>
      <c r="AT134" s="100">
        <v>0</v>
      </c>
      <c r="AU134" s="100">
        <v>0</v>
      </c>
      <c r="AV134" s="100">
        <v>0</v>
      </c>
      <c r="AW134" s="100">
        <v>0</v>
      </c>
      <c r="AX134" s="100">
        <v>0</v>
      </c>
      <c r="AY134" s="233" t="s">
        <v>390</v>
      </c>
      <c r="AZ134" s="107"/>
      <c r="BA134" s="107"/>
      <c r="BB134" s="107"/>
      <c r="BC134" s="97"/>
      <c r="BF134" s="29"/>
      <c r="BG134" s="29"/>
      <c r="BH134" s="11"/>
      <c r="BI134" s="11"/>
      <c r="BJ134" s="11"/>
      <c r="BK134" s="11"/>
      <c r="BL134" s="11"/>
      <c r="BM134" s="11"/>
      <c r="BN134" s="11"/>
      <c r="BO134" s="11"/>
    </row>
    <row r="135" spans="1:70" ht="10.5" x14ac:dyDescent="0.25">
      <c r="A135" s="92"/>
      <c r="B135" s="107"/>
      <c r="C135" s="108"/>
      <c r="D135" s="108"/>
      <c r="E135" s="109"/>
      <c r="F135" s="109"/>
      <c r="G135" s="109"/>
      <c r="H135" s="109"/>
      <c r="I135" s="109"/>
      <c r="J135" s="109"/>
      <c r="K135" s="109"/>
      <c r="L135" s="109"/>
      <c r="M135" s="109"/>
      <c r="N135" s="109"/>
      <c r="O135" s="109"/>
      <c r="P135" s="109"/>
      <c r="Q135" s="109"/>
      <c r="R135" s="109"/>
      <c r="S135" s="109"/>
      <c r="T135" s="109"/>
      <c r="U135" s="109"/>
      <c r="V135" s="109"/>
      <c r="W135" s="109"/>
      <c r="X135" s="100"/>
      <c r="Y135" s="109"/>
      <c r="Z135" s="109"/>
      <c r="AA135" s="100"/>
      <c r="AB135" s="109"/>
      <c r="AC135" s="109"/>
      <c r="AD135" s="109"/>
      <c r="AE135" s="109"/>
      <c r="AF135" s="109"/>
      <c r="AG135" s="109"/>
      <c r="AH135" s="109"/>
      <c r="AI135" s="109"/>
      <c r="AJ135" s="109"/>
      <c r="AK135" s="100"/>
      <c r="AL135" s="181"/>
      <c r="AM135" s="100"/>
      <c r="AN135" s="181"/>
      <c r="AO135" s="100"/>
      <c r="AP135" s="100">
        <v>0</v>
      </c>
      <c r="AQ135" s="282">
        <v>0</v>
      </c>
      <c r="AR135" s="282">
        <v>0</v>
      </c>
      <c r="AS135" s="100">
        <v>0</v>
      </c>
      <c r="AT135" s="100">
        <v>0</v>
      </c>
      <c r="AU135" s="100">
        <v>0</v>
      </c>
      <c r="AV135" s="100">
        <v>0</v>
      </c>
      <c r="AW135" s="100">
        <v>0</v>
      </c>
      <c r="AX135" s="100">
        <v>0</v>
      </c>
      <c r="AY135" s="107" t="s">
        <v>410</v>
      </c>
      <c r="AZ135" s="107"/>
      <c r="BA135" s="107"/>
      <c r="BB135" s="107"/>
      <c r="BC135" s="97"/>
      <c r="BD135" s="260"/>
      <c r="BF135" s="29"/>
      <c r="BG135" s="29"/>
      <c r="BH135" s="11"/>
      <c r="BI135" s="11"/>
      <c r="BJ135" s="11"/>
      <c r="BK135" s="11"/>
      <c r="BL135" s="11"/>
      <c r="BM135" s="11"/>
      <c r="BN135" s="11"/>
      <c r="BO135" s="11"/>
    </row>
    <row r="136" spans="1:70" x14ac:dyDescent="0.2">
      <c r="B136" s="10" t="s">
        <v>169</v>
      </c>
      <c r="AI136" s="54"/>
      <c r="AJ136" s="54"/>
      <c r="AK136" s="54"/>
      <c r="AL136" s="177"/>
      <c r="AM136" s="54"/>
      <c r="AN136" s="177"/>
      <c r="AO136" s="54"/>
      <c r="AP136" s="54"/>
      <c r="AQ136" s="269"/>
      <c r="AR136" s="74"/>
      <c r="AS136" s="74"/>
    </row>
    <row r="137" spans="1:70" ht="10.5" x14ac:dyDescent="0.25">
      <c r="A137" s="39" t="s">
        <v>141</v>
      </c>
      <c r="B137" s="7"/>
      <c r="C137" s="7"/>
      <c r="D137" s="7"/>
      <c r="E137" s="134">
        <f t="shared" ref="E137:AH137" si="37">E132+E133+E136</f>
        <v>0</v>
      </c>
      <c r="F137" s="134">
        <f t="shared" si="37"/>
        <v>0</v>
      </c>
      <c r="G137" s="134">
        <f t="shared" si="37"/>
        <v>0</v>
      </c>
      <c r="H137" s="134">
        <f t="shared" si="37"/>
        <v>0</v>
      </c>
      <c r="I137" s="134">
        <f t="shared" si="37"/>
        <v>0</v>
      </c>
      <c r="J137" s="134">
        <f t="shared" si="37"/>
        <v>0</v>
      </c>
      <c r="K137" s="134">
        <f t="shared" si="37"/>
        <v>0</v>
      </c>
      <c r="L137" s="134">
        <f t="shared" si="37"/>
        <v>0</v>
      </c>
      <c r="M137" s="134">
        <f t="shared" si="37"/>
        <v>0</v>
      </c>
      <c r="N137" s="134">
        <f t="shared" si="37"/>
        <v>0</v>
      </c>
      <c r="O137" s="134">
        <f t="shared" si="37"/>
        <v>0</v>
      </c>
      <c r="P137" s="134">
        <f t="shared" si="37"/>
        <v>0</v>
      </c>
      <c r="Q137" s="134">
        <f t="shared" si="37"/>
        <v>0</v>
      </c>
      <c r="R137" s="134">
        <f t="shared" si="37"/>
        <v>0</v>
      </c>
      <c r="S137" s="134">
        <f t="shared" si="37"/>
        <v>0</v>
      </c>
      <c r="T137" s="134">
        <f t="shared" si="37"/>
        <v>0</v>
      </c>
      <c r="U137" s="134">
        <f t="shared" si="37"/>
        <v>0</v>
      </c>
      <c r="V137" s="134">
        <f t="shared" si="37"/>
        <v>0</v>
      </c>
      <c r="W137" s="134">
        <f t="shared" si="37"/>
        <v>0</v>
      </c>
      <c r="X137" s="134">
        <f t="shared" si="37"/>
        <v>0</v>
      </c>
      <c r="Y137" s="134">
        <f t="shared" si="37"/>
        <v>0</v>
      </c>
      <c r="Z137" s="134">
        <f t="shared" si="37"/>
        <v>0</v>
      </c>
      <c r="AA137" s="134">
        <f t="shared" si="37"/>
        <v>0</v>
      </c>
      <c r="AB137" s="134">
        <f t="shared" si="37"/>
        <v>0</v>
      </c>
      <c r="AC137" s="134">
        <f t="shared" si="37"/>
        <v>0</v>
      </c>
      <c r="AD137" s="134">
        <f t="shared" si="37"/>
        <v>83.5</v>
      </c>
      <c r="AE137" s="134">
        <f t="shared" si="37"/>
        <v>81.099999999999994</v>
      </c>
      <c r="AF137" s="134">
        <f t="shared" si="37"/>
        <v>97.6</v>
      </c>
      <c r="AG137" s="134">
        <f t="shared" si="37"/>
        <v>145.9</v>
      </c>
      <c r="AH137" s="134">
        <f t="shared" si="37"/>
        <v>90.4</v>
      </c>
      <c r="AI137" s="134">
        <f t="shared" ref="AI137:AO137" si="38">AI132+AI133+AI136</f>
        <v>99.9</v>
      </c>
      <c r="AJ137" s="134">
        <f>AJ132+AJ133+AJ136</f>
        <v>123.1</v>
      </c>
      <c r="AK137" s="134">
        <f t="shared" si="38"/>
        <v>4098.2</v>
      </c>
      <c r="AL137" s="182">
        <f t="shared" si="38"/>
        <v>168.5</v>
      </c>
      <c r="AM137" s="134">
        <f t="shared" si="38"/>
        <v>138.1</v>
      </c>
      <c r="AN137" s="182">
        <f t="shared" si="38"/>
        <v>136.19999999999999</v>
      </c>
      <c r="AO137" s="134">
        <f t="shared" si="38"/>
        <v>129.30000000000001</v>
      </c>
      <c r="AP137" s="134">
        <f t="shared" ref="AP137:AX137" si="39">AP132+AP133+AP136</f>
        <v>147.19999999999999</v>
      </c>
      <c r="AQ137" s="134">
        <f t="shared" si="39"/>
        <v>143.89999999999998</v>
      </c>
      <c r="AR137" s="279">
        <f t="shared" si="39"/>
        <v>206</v>
      </c>
      <c r="AS137" s="134">
        <f t="shared" si="39"/>
        <v>229.6</v>
      </c>
      <c r="AT137" s="134">
        <f t="shared" si="39"/>
        <v>261</v>
      </c>
      <c r="AU137" s="134">
        <f t="shared" si="39"/>
        <v>264.5</v>
      </c>
      <c r="AV137" s="134">
        <f t="shared" si="39"/>
        <v>333</v>
      </c>
      <c r="AW137" s="134">
        <f t="shared" si="39"/>
        <v>355.7</v>
      </c>
      <c r="AX137" s="134">
        <f t="shared" si="39"/>
        <v>327</v>
      </c>
      <c r="AY137" s="9" t="s">
        <v>141</v>
      </c>
      <c r="AZ137" s="7"/>
      <c r="BA137" s="7"/>
      <c r="BB137" s="7"/>
      <c r="BC137" s="7"/>
    </row>
    <row r="138" spans="1:70" x14ac:dyDescent="0.2">
      <c r="D138" s="5"/>
      <c r="E138" s="119"/>
      <c r="F138" s="119"/>
      <c r="G138" s="119"/>
      <c r="H138" s="119"/>
      <c r="I138" s="119"/>
      <c r="J138" s="119"/>
      <c r="K138" s="119"/>
      <c r="L138" s="119"/>
      <c r="M138" s="119"/>
      <c r="N138" s="119"/>
      <c r="O138" s="119"/>
      <c r="P138" s="119"/>
      <c r="Q138" s="119"/>
      <c r="R138" s="119"/>
      <c r="S138" s="119"/>
      <c r="T138" s="119"/>
      <c r="U138" s="119"/>
      <c r="V138" s="119"/>
      <c r="W138" s="5"/>
      <c r="X138" s="5"/>
      <c r="Y138" s="5"/>
      <c r="Z138" s="5"/>
      <c r="AA138" s="5"/>
      <c r="AB138" s="5"/>
      <c r="AC138" s="5"/>
      <c r="AD138" s="5"/>
      <c r="AE138" s="5"/>
      <c r="AF138" s="5"/>
      <c r="AG138" s="5"/>
      <c r="AH138" s="5"/>
      <c r="AI138" s="5"/>
      <c r="AJ138" s="5"/>
      <c r="AK138" s="205"/>
      <c r="AL138" s="124"/>
      <c r="AM138" s="124"/>
      <c r="AN138" s="124"/>
      <c r="AO138" s="54"/>
      <c r="AP138" s="54"/>
    </row>
    <row r="139" spans="1:70" ht="10.5" x14ac:dyDescent="0.25">
      <c r="A139" s="22" t="s">
        <v>21</v>
      </c>
      <c r="D139" s="5"/>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5"/>
      <c r="AJ139" s="5"/>
      <c r="AK139" s="126"/>
      <c r="AL139" s="125"/>
      <c r="AM139" s="125"/>
      <c r="AN139" s="125"/>
      <c r="AO139" s="54"/>
      <c r="AP139" s="54"/>
      <c r="AY139" s="23" t="s">
        <v>21</v>
      </c>
      <c r="BG139" s="10" t="s">
        <v>227</v>
      </c>
      <c r="BH139" s="10" t="s">
        <v>279</v>
      </c>
      <c r="BI139" s="10" t="s">
        <v>364</v>
      </c>
      <c r="BJ139" s="10" t="s">
        <v>48</v>
      </c>
      <c r="BK139" s="10" t="s">
        <v>375</v>
      </c>
      <c r="BL139" s="10" t="s">
        <v>206</v>
      </c>
      <c r="BM139" s="10" t="s">
        <v>156</v>
      </c>
    </row>
    <row r="140" spans="1:70" x14ac:dyDescent="0.2">
      <c r="B140" s="10" t="s">
        <v>22</v>
      </c>
      <c r="E140" s="54">
        <v>28.1</v>
      </c>
      <c r="F140" s="54">
        <v>10.3</v>
      </c>
      <c r="G140" s="54">
        <v>0</v>
      </c>
      <c r="H140" s="54">
        <v>0</v>
      </c>
      <c r="I140" s="54">
        <v>0</v>
      </c>
      <c r="J140" s="54">
        <v>0</v>
      </c>
      <c r="K140" s="54">
        <v>0</v>
      </c>
      <c r="L140" s="54">
        <v>0</v>
      </c>
      <c r="M140" s="54">
        <v>47.6</v>
      </c>
      <c r="N140" s="54">
        <v>33.6</v>
      </c>
      <c r="O140" s="54">
        <v>31.6</v>
      </c>
      <c r="P140" s="54">
        <v>26.5</v>
      </c>
      <c r="Q140" s="54">
        <v>24.1</v>
      </c>
      <c r="R140" s="54">
        <v>44.3</v>
      </c>
      <c r="S140" s="54">
        <v>61.9</v>
      </c>
      <c r="T140" s="54">
        <v>57.8</v>
      </c>
      <c r="U140" s="55">
        <v>55.2</v>
      </c>
      <c r="V140" s="55">
        <v>62.8</v>
      </c>
      <c r="W140" s="54">
        <v>39.1</v>
      </c>
      <c r="X140" s="55">
        <v>37</v>
      </c>
      <c r="AI140" s="54"/>
      <c r="AJ140" s="54"/>
      <c r="AK140" s="74"/>
      <c r="AL140" s="204"/>
      <c r="AM140" s="74"/>
      <c r="AN140" s="183">
        <v>67</v>
      </c>
      <c r="AO140" s="127">
        <v>62.7</v>
      </c>
      <c r="AP140" s="127">
        <v>110</v>
      </c>
      <c r="AQ140" s="183">
        <v>54.5</v>
      </c>
      <c r="AR140" s="127">
        <v>62.5</v>
      </c>
      <c r="AS140" s="183">
        <v>95</v>
      </c>
      <c r="AT140" s="127">
        <v>0</v>
      </c>
      <c r="AU140" s="127">
        <v>0</v>
      </c>
      <c r="AV140" s="250">
        <v>0</v>
      </c>
      <c r="AW140" s="250">
        <v>0</v>
      </c>
      <c r="AX140" s="250">
        <v>0</v>
      </c>
      <c r="AY140" s="10" t="s">
        <v>438</v>
      </c>
    </row>
    <row r="141" spans="1:70" x14ac:dyDescent="0.2">
      <c r="B141" s="10" t="s">
        <v>23</v>
      </c>
      <c r="E141" s="54">
        <v>0</v>
      </c>
      <c r="F141" s="54">
        <v>0</v>
      </c>
      <c r="G141" s="54">
        <v>0</v>
      </c>
      <c r="H141" s="54">
        <v>0</v>
      </c>
      <c r="I141" s="54">
        <v>0</v>
      </c>
      <c r="J141" s="54">
        <v>0</v>
      </c>
      <c r="K141" s="54">
        <v>0</v>
      </c>
      <c r="L141" s="54">
        <v>0</v>
      </c>
      <c r="M141" s="54">
        <v>126.8</v>
      </c>
      <c r="N141" s="54">
        <v>75.099999999999994</v>
      </c>
      <c r="O141" s="54">
        <v>91.5</v>
      </c>
      <c r="P141" s="54">
        <v>78.5</v>
      </c>
      <c r="Q141" s="54">
        <v>58</v>
      </c>
      <c r="R141" s="54">
        <v>63.3</v>
      </c>
      <c r="S141" s="54">
        <v>60</v>
      </c>
      <c r="T141" s="54">
        <v>60</v>
      </c>
      <c r="U141" s="55">
        <v>40</v>
      </c>
      <c r="V141" s="55">
        <v>19.399999999999999</v>
      </c>
      <c r="AI141" s="54"/>
      <c r="AJ141" s="54"/>
      <c r="AK141" s="54"/>
      <c r="AL141" s="177"/>
      <c r="AM141" s="54"/>
      <c r="AN141" s="177"/>
      <c r="AO141" s="54"/>
      <c r="AP141" s="54"/>
      <c r="AQ141" s="177"/>
      <c r="AR141" s="54"/>
      <c r="AS141" s="177"/>
      <c r="AT141" s="54"/>
      <c r="AU141" s="54"/>
      <c r="AY141" s="10" t="s">
        <v>23</v>
      </c>
    </row>
    <row r="142" spans="1:70" x14ac:dyDescent="0.2">
      <c r="B142" s="10" t="s">
        <v>24</v>
      </c>
      <c r="E142" s="54">
        <v>0</v>
      </c>
      <c r="F142" s="54">
        <v>0</v>
      </c>
      <c r="G142" s="54">
        <v>0</v>
      </c>
      <c r="H142" s="54">
        <v>0</v>
      </c>
      <c r="I142" s="54">
        <v>0</v>
      </c>
      <c r="J142" s="54">
        <v>0</v>
      </c>
      <c r="K142" s="54">
        <v>0</v>
      </c>
      <c r="L142" s="54">
        <v>0</v>
      </c>
      <c r="M142" s="54">
        <v>131.19999999999999</v>
      </c>
      <c r="N142" s="54">
        <v>126.9</v>
      </c>
      <c r="O142" s="54">
        <v>117</v>
      </c>
      <c r="P142" s="54">
        <v>124.7</v>
      </c>
      <c r="Q142" s="54">
        <v>168.8</v>
      </c>
      <c r="R142" s="54">
        <v>91.1</v>
      </c>
      <c r="S142" s="54">
        <v>96.6</v>
      </c>
      <c r="T142" s="54">
        <v>92.7</v>
      </c>
      <c r="U142" s="55">
        <v>6.5</v>
      </c>
      <c r="V142" s="55">
        <v>7</v>
      </c>
      <c r="AI142" s="54"/>
      <c r="AJ142" s="54"/>
      <c r="AK142" s="54"/>
      <c r="AL142" s="177"/>
      <c r="AM142" s="54"/>
      <c r="AN142" s="177"/>
      <c r="AO142" s="54"/>
      <c r="AP142" s="54"/>
      <c r="AR142" s="269"/>
      <c r="AS142" s="309"/>
      <c r="AT142" s="54"/>
      <c r="AU142" s="54"/>
      <c r="AY142" s="10" t="s">
        <v>24</v>
      </c>
    </row>
    <row r="143" spans="1:70" x14ac:dyDescent="0.2">
      <c r="B143" s="10" t="s">
        <v>25</v>
      </c>
      <c r="E143" s="54">
        <v>0</v>
      </c>
      <c r="F143" s="54">
        <v>0</v>
      </c>
      <c r="G143" s="54">
        <v>0</v>
      </c>
      <c r="H143" s="54">
        <v>0</v>
      </c>
      <c r="I143" s="54">
        <v>0</v>
      </c>
      <c r="J143" s="54">
        <v>0</v>
      </c>
      <c r="K143" s="54">
        <v>0</v>
      </c>
      <c r="L143" s="54">
        <v>0</v>
      </c>
      <c r="M143" s="54">
        <v>0</v>
      </c>
      <c r="N143" s="54">
        <v>0</v>
      </c>
      <c r="O143" s="54">
        <v>0</v>
      </c>
      <c r="P143" s="54">
        <v>0</v>
      </c>
      <c r="Q143" s="54">
        <v>0</v>
      </c>
      <c r="R143" s="54">
        <v>0</v>
      </c>
      <c r="S143" s="54">
        <v>0</v>
      </c>
      <c r="T143" s="54">
        <v>0</v>
      </c>
      <c r="U143" s="55">
        <v>0</v>
      </c>
      <c r="V143" s="55">
        <v>0</v>
      </c>
      <c r="W143" s="54">
        <v>3.5</v>
      </c>
      <c r="X143" s="55">
        <v>4</v>
      </c>
      <c r="Y143" s="54">
        <v>7</v>
      </c>
      <c r="Z143" s="54">
        <v>11</v>
      </c>
      <c r="AA143" s="56">
        <v>12</v>
      </c>
      <c r="AB143" s="54">
        <v>11.97</v>
      </c>
      <c r="AC143" s="54">
        <v>17.5</v>
      </c>
      <c r="AD143" s="55">
        <v>18</v>
      </c>
      <c r="AE143" s="54">
        <v>23</v>
      </c>
      <c r="AF143" s="54">
        <v>23.8</v>
      </c>
      <c r="AG143" s="54">
        <v>26.7</v>
      </c>
      <c r="AH143" s="54">
        <v>16.5</v>
      </c>
      <c r="AI143" s="54">
        <v>0</v>
      </c>
      <c r="AJ143" s="54">
        <v>5</v>
      </c>
      <c r="AK143" s="54">
        <v>0</v>
      </c>
      <c r="AL143" s="177">
        <v>5</v>
      </c>
      <c r="AM143" s="54">
        <v>0</v>
      </c>
      <c r="AN143" s="177">
        <v>5</v>
      </c>
      <c r="AO143" s="54">
        <v>5</v>
      </c>
      <c r="AP143" s="54">
        <v>5.5</v>
      </c>
      <c r="AQ143" s="177">
        <v>5</v>
      </c>
      <c r="AR143" s="54">
        <v>5</v>
      </c>
      <c r="AS143" s="177">
        <v>5</v>
      </c>
      <c r="AT143" s="54">
        <v>5</v>
      </c>
      <c r="AU143" s="54">
        <v>5</v>
      </c>
      <c r="AV143" s="10">
        <v>5</v>
      </c>
      <c r="AW143" s="10">
        <v>5</v>
      </c>
      <c r="AX143" s="10">
        <v>6</v>
      </c>
      <c r="AY143" s="10" t="s">
        <v>396</v>
      </c>
      <c r="BN143" s="10" t="s">
        <v>277</v>
      </c>
      <c r="BO143" s="10" t="s">
        <v>343</v>
      </c>
      <c r="BP143" s="10" t="s">
        <v>346</v>
      </c>
      <c r="BQ143" s="10" t="s">
        <v>346</v>
      </c>
      <c r="BR143" s="19" t="s">
        <v>346</v>
      </c>
    </row>
    <row r="144" spans="1:70" x14ac:dyDescent="0.2">
      <c r="B144" s="10" t="s">
        <v>26</v>
      </c>
      <c r="E144" s="54">
        <v>105.9</v>
      </c>
      <c r="F144" s="54">
        <v>70.900000000000006</v>
      </c>
      <c r="G144" s="54">
        <v>60.3</v>
      </c>
      <c r="H144" s="54">
        <v>82.9</v>
      </c>
      <c r="I144" s="54">
        <v>105.3</v>
      </c>
      <c r="J144" s="54">
        <v>78.5</v>
      </c>
      <c r="K144" s="54">
        <v>90.1</v>
      </c>
      <c r="L144" s="54">
        <v>87.1</v>
      </c>
      <c r="M144" s="54">
        <v>0</v>
      </c>
      <c r="N144" s="54">
        <v>0</v>
      </c>
      <c r="O144" s="54">
        <v>0</v>
      </c>
      <c r="P144" s="54">
        <v>0</v>
      </c>
      <c r="Q144" s="54">
        <v>0</v>
      </c>
      <c r="R144" s="54">
        <v>0</v>
      </c>
      <c r="S144" s="54">
        <v>4.9000000000000004</v>
      </c>
      <c r="T144" s="54">
        <v>0</v>
      </c>
      <c r="U144" s="55">
        <v>0</v>
      </c>
      <c r="V144" s="55">
        <v>0</v>
      </c>
      <c r="AI144" s="54"/>
      <c r="AJ144" s="54"/>
      <c r="AK144" s="54"/>
      <c r="AL144" s="177"/>
      <c r="AM144" s="54"/>
      <c r="AN144" s="177"/>
      <c r="AO144" s="54"/>
      <c r="AP144" s="54"/>
      <c r="AR144" s="269"/>
      <c r="AS144" s="309"/>
      <c r="AT144" s="54"/>
      <c r="AU144" s="54"/>
      <c r="AY144" s="10" t="s">
        <v>26</v>
      </c>
    </row>
    <row r="145" spans="1:70" x14ac:dyDescent="0.2">
      <c r="B145" s="10" t="s">
        <v>27</v>
      </c>
      <c r="E145" s="54">
        <v>735.2</v>
      </c>
      <c r="F145" s="54">
        <v>733.1</v>
      </c>
      <c r="G145" s="54">
        <v>747.7</v>
      </c>
      <c r="H145" s="54">
        <v>610.79999999999995</v>
      </c>
      <c r="I145" s="54">
        <v>675.7</v>
      </c>
      <c r="J145" s="54">
        <v>552</v>
      </c>
      <c r="K145" s="54">
        <v>467.1</v>
      </c>
      <c r="L145" s="54">
        <v>289.3</v>
      </c>
      <c r="M145" s="54">
        <v>18.7</v>
      </c>
      <c r="N145" s="54">
        <v>13.6</v>
      </c>
      <c r="O145" s="54">
        <v>0</v>
      </c>
      <c r="P145" s="54">
        <v>8.5</v>
      </c>
      <c r="Q145" s="54">
        <v>57.6</v>
      </c>
      <c r="R145" s="54">
        <v>96.8</v>
      </c>
      <c r="S145" s="54">
        <v>67</v>
      </c>
      <c r="T145" s="54">
        <v>0</v>
      </c>
      <c r="U145" s="55">
        <v>0</v>
      </c>
      <c r="V145" s="55">
        <v>0</v>
      </c>
      <c r="AI145" s="54"/>
      <c r="AJ145" s="54"/>
      <c r="AK145" s="54"/>
      <c r="AL145" s="177"/>
      <c r="AM145" s="54"/>
      <c r="AN145" s="177"/>
      <c r="AO145" s="54"/>
      <c r="AP145" s="54"/>
      <c r="AQ145" s="177"/>
      <c r="AR145" s="54"/>
      <c r="AS145" s="177"/>
      <c r="AT145" s="54"/>
      <c r="AU145" s="54"/>
      <c r="AV145" s="262"/>
      <c r="AW145" s="262"/>
      <c r="AX145" s="262"/>
      <c r="AY145" s="262" t="s">
        <v>27</v>
      </c>
    </row>
    <row r="146" spans="1:70" x14ac:dyDescent="0.2">
      <c r="B146" s="10" t="s">
        <v>75</v>
      </c>
      <c r="E146" s="54">
        <v>0</v>
      </c>
      <c r="F146" s="54">
        <v>0</v>
      </c>
      <c r="G146" s="54">
        <v>0</v>
      </c>
      <c r="H146" s="54">
        <v>0</v>
      </c>
      <c r="I146" s="54">
        <v>0</v>
      </c>
      <c r="J146" s="54">
        <v>0</v>
      </c>
      <c r="K146" s="54">
        <v>2.75</v>
      </c>
      <c r="L146" s="54">
        <v>25.9</v>
      </c>
      <c r="M146" s="54">
        <v>16</v>
      </c>
      <c r="N146" s="54">
        <v>6.5</v>
      </c>
      <c r="O146" s="54">
        <v>5</v>
      </c>
      <c r="P146" s="54">
        <v>2.5</v>
      </c>
      <c r="Q146" s="54">
        <v>1</v>
      </c>
      <c r="R146" s="54">
        <v>0.7</v>
      </c>
      <c r="S146" s="54">
        <v>5.0999999999999996</v>
      </c>
      <c r="T146" s="54">
        <v>4.8</v>
      </c>
      <c r="U146" s="55">
        <v>0</v>
      </c>
      <c r="V146" s="55">
        <v>0</v>
      </c>
      <c r="AI146" s="54"/>
      <c r="AJ146" s="54"/>
      <c r="AK146" s="54"/>
      <c r="AL146" s="177"/>
      <c r="AM146" s="54"/>
      <c r="AN146" s="177"/>
      <c r="AO146" s="54"/>
      <c r="AP146" s="54"/>
      <c r="AQ146" s="204">
        <f>47.7+18+4.5</f>
        <v>70.2</v>
      </c>
      <c r="AR146" s="74"/>
      <c r="AS146" s="204"/>
      <c r="AT146" s="54"/>
      <c r="AU146" s="54"/>
      <c r="AV146" s="268"/>
      <c r="AW146" s="268"/>
      <c r="AX146" s="268"/>
      <c r="AY146" s="268" t="s">
        <v>419</v>
      </c>
    </row>
    <row r="147" spans="1:70" x14ac:dyDescent="0.2">
      <c r="B147" s="10" t="s">
        <v>76</v>
      </c>
      <c r="Z147" s="54">
        <v>0</v>
      </c>
      <c r="AA147" s="56">
        <v>8.1999999999999993</v>
      </c>
      <c r="AI147" s="54"/>
      <c r="AJ147" s="54"/>
      <c r="AK147" s="54"/>
      <c r="AL147" s="177"/>
      <c r="AM147" s="54"/>
      <c r="AN147" s="177"/>
      <c r="AO147" s="54"/>
      <c r="AP147" s="54"/>
      <c r="AQ147" s="204"/>
      <c r="AR147" s="74"/>
      <c r="AS147" s="204"/>
      <c r="AT147" s="54"/>
      <c r="AU147" s="54"/>
      <c r="AY147" s="10" t="s">
        <v>76</v>
      </c>
    </row>
    <row r="148" spans="1:70" x14ac:dyDescent="0.2">
      <c r="B148" s="10" t="s">
        <v>77</v>
      </c>
      <c r="E148" s="54">
        <v>0</v>
      </c>
      <c r="F148" s="54">
        <v>0</v>
      </c>
      <c r="G148" s="54">
        <v>0</v>
      </c>
      <c r="H148" s="54">
        <v>0</v>
      </c>
      <c r="I148" s="54">
        <v>0</v>
      </c>
      <c r="J148" s="54">
        <v>0</v>
      </c>
      <c r="K148" s="54">
        <v>0</v>
      </c>
      <c r="L148" s="54">
        <v>0</v>
      </c>
      <c r="M148" s="54">
        <v>0</v>
      </c>
      <c r="N148" s="54">
        <v>0</v>
      </c>
      <c r="O148" s="54">
        <v>0</v>
      </c>
      <c r="P148" s="54">
        <v>0</v>
      </c>
      <c r="Q148" s="54">
        <v>0</v>
      </c>
      <c r="R148" s="54">
        <v>0</v>
      </c>
      <c r="S148" s="54">
        <v>0</v>
      </c>
      <c r="T148" s="54">
        <v>0.1</v>
      </c>
      <c r="U148" s="55">
        <v>0.6</v>
      </c>
      <c r="V148" s="55">
        <v>0.6</v>
      </c>
      <c r="AI148" s="54"/>
      <c r="AJ148" s="54"/>
      <c r="AK148" s="54"/>
      <c r="AL148" s="177"/>
      <c r="AM148" s="54"/>
      <c r="AN148" s="177"/>
      <c r="AO148" s="54"/>
      <c r="AP148" s="54"/>
      <c r="AR148" s="269"/>
      <c r="AS148" s="309"/>
      <c r="AT148" s="54"/>
      <c r="AU148" s="54"/>
      <c r="AY148" s="10" t="s">
        <v>77</v>
      </c>
    </row>
    <row r="149" spans="1:70" ht="10.5" x14ac:dyDescent="0.25">
      <c r="B149" s="10" t="s">
        <v>175</v>
      </c>
      <c r="E149" s="54">
        <v>0</v>
      </c>
      <c r="F149" s="54">
        <v>0</v>
      </c>
      <c r="G149" s="54">
        <v>0</v>
      </c>
      <c r="H149" s="54">
        <v>0</v>
      </c>
      <c r="I149" s="54">
        <v>0</v>
      </c>
      <c r="J149" s="54">
        <v>0</v>
      </c>
      <c r="K149" s="54">
        <v>0</v>
      </c>
      <c r="L149" s="54">
        <v>0</v>
      </c>
      <c r="M149" s="54">
        <v>8.3000000000000007</v>
      </c>
      <c r="N149" s="54">
        <v>7.6</v>
      </c>
      <c r="O149" s="54">
        <v>8.5</v>
      </c>
      <c r="P149" s="54">
        <v>0</v>
      </c>
      <c r="Q149" s="54">
        <v>31.3</v>
      </c>
      <c r="R149" s="54">
        <v>34.6</v>
      </c>
      <c r="S149" s="54">
        <v>48.8</v>
      </c>
      <c r="T149" s="54">
        <v>49.05</v>
      </c>
      <c r="U149" s="55">
        <v>22.4</v>
      </c>
      <c r="V149" s="55">
        <f>12.48+12.88</f>
        <v>25.36</v>
      </c>
      <c r="W149" s="54">
        <f>8+5</f>
        <v>13</v>
      </c>
      <c r="X149" s="55">
        <v>14.1</v>
      </c>
      <c r="Y149" s="54">
        <v>21</v>
      </c>
      <c r="Z149" s="54">
        <v>24.7</v>
      </c>
      <c r="AA149" s="56">
        <v>24.7</v>
      </c>
      <c r="AB149" s="54">
        <v>21.96</v>
      </c>
      <c r="AC149" s="54">
        <v>22.5</v>
      </c>
      <c r="AD149" s="55">
        <f>23.97</f>
        <v>23.97</v>
      </c>
      <c r="AE149" s="54">
        <f>59.97</f>
        <v>59.97</v>
      </c>
      <c r="AF149" s="54">
        <v>60.7</v>
      </c>
      <c r="AG149" s="54">
        <v>60.5</v>
      </c>
      <c r="AH149" s="54">
        <v>62.6</v>
      </c>
      <c r="AI149" s="54">
        <v>80.900000000000006</v>
      </c>
      <c r="AJ149" s="54">
        <v>73</v>
      </c>
      <c r="AK149" s="54">
        <v>0</v>
      </c>
      <c r="AL149" s="177">
        <v>73</v>
      </c>
      <c r="AM149" s="54">
        <v>86.3</v>
      </c>
      <c r="AN149" s="177">
        <v>91</v>
      </c>
      <c r="AO149" s="54">
        <v>85.1</v>
      </c>
      <c r="AP149" s="54">
        <v>90</v>
      </c>
      <c r="AQ149" s="177">
        <v>80</v>
      </c>
      <c r="AR149" s="54">
        <v>80</v>
      </c>
      <c r="AS149" s="177">
        <v>80</v>
      </c>
      <c r="AT149" s="54">
        <v>80</v>
      </c>
      <c r="AU149" s="54">
        <v>80</v>
      </c>
      <c r="AV149" s="10">
        <v>80</v>
      </c>
      <c r="AW149" s="10">
        <v>75.099999999999994</v>
      </c>
      <c r="AX149" s="10">
        <v>85</v>
      </c>
      <c r="AY149" s="10" t="s">
        <v>175</v>
      </c>
      <c r="BC149" s="24"/>
      <c r="BG149" s="5" t="s">
        <v>254</v>
      </c>
      <c r="BM149" s="10" t="s">
        <v>196</v>
      </c>
      <c r="BN149" s="10" t="s">
        <v>278</v>
      </c>
      <c r="BO149" s="10" t="s">
        <v>350</v>
      </c>
      <c r="BP149" s="10" t="s">
        <v>284</v>
      </c>
      <c r="BQ149" s="10" t="s">
        <v>284</v>
      </c>
      <c r="BR149" s="19" t="s">
        <v>284</v>
      </c>
    </row>
    <row r="150" spans="1:70" ht="10.5" x14ac:dyDescent="0.25">
      <c r="B150" s="10" t="s">
        <v>178</v>
      </c>
      <c r="V150" s="55">
        <v>20.6</v>
      </c>
      <c r="X150" s="55">
        <v>19.5</v>
      </c>
      <c r="AH150" s="58"/>
      <c r="AI150" s="58"/>
      <c r="AJ150" s="58"/>
      <c r="AK150" s="58"/>
      <c r="AL150" s="174"/>
      <c r="AM150" s="58"/>
      <c r="AN150" s="174"/>
      <c r="AO150" s="58"/>
      <c r="AP150" s="58"/>
      <c r="AQ150" s="11"/>
      <c r="AR150" s="283"/>
      <c r="AS150" s="310"/>
      <c r="AT150" s="58"/>
      <c r="AU150" s="58"/>
      <c r="AV150" s="11"/>
      <c r="AW150" s="11"/>
      <c r="AX150" s="11"/>
      <c r="AY150" s="10" t="s">
        <v>178</v>
      </c>
      <c r="BC150" s="11"/>
    </row>
    <row r="151" spans="1:70" x14ac:dyDescent="0.2">
      <c r="B151" s="10" t="s">
        <v>78</v>
      </c>
      <c r="Y151" s="54">
        <v>0</v>
      </c>
      <c r="Z151" s="54">
        <v>18.5</v>
      </c>
      <c r="AA151" s="56">
        <v>21.8</v>
      </c>
      <c r="AB151" s="54">
        <v>33.9</v>
      </c>
      <c r="AC151" s="54">
        <v>31</v>
      </c>
      <c r="AD151" s="55">
        <v>17.399999999999999</v>
      </c>
      <c r="AE151" s="54">
        <v>6.4</v>
      </c>
      <c r="AF151" s="54">
        <v>2.2999999999999998</v>
      </c>
      <c r="AG151" s="54">
        <v>0</v>
      </c>
      <c r="AI151" s="54"/>
      <c r="AJ151" s="54"/>
      <c r="AK151" s="54"/>
      <c r="AL151" s="177"/>
      <c r="AM151" s="54"/>
      <c r="AN151" s="177"/>
      <c r="AO151" s="54"/>
      <c r="AP151" s="54"/>
      <c r="AQ151" s="177"/>
      <c r="AR151" s="54"/>
      <c r="AS151" s="177"/>
      <c r="AT151" s="54"/>
      <c r="AU151" s="54"/>
      <c r="AY151" s="10" t="s">
        <v>78</v>
      </c>
      <c r="BN151" s="10" t="s">
        <v>355</v>
      </c>
      <c r="BO151" s="10" t="s">
        <v>351</v>
      </c>
      <c r="BP151" s="10" t="s">
        <v>284</v>
      </c>
      <c r="BQ151" s="10" t="s">
        <v>284</v>
      </c>
      <c r="BR151" s="19" t="s">
        <v>284</v>
      </c>
    </row>
    <row r="152" spans="1:70" x14ac:dyDescent="0.2">
      <c r="B152" s="10" t="s">
        <v>79</v>
      </c>
      <c r="Y152" s="54">
        <v>0</v>
      </c>
      <c r="AA152" s="56">
        <v>4.8</v>
      </c>
      <c r="AB152" s="54">
        <v>4.9000000000000004</v>
      </c>
      <c r="AC152" s="54">
        <v>6.3</v>
      </c>
      <c r="AD152" s="55">
        <v>4.8</v>
      </c>
      <c r="AE152" s="54">
        <v>2.8</v>
      </c>
      <c r="AF152" s="54">
        <v>2.5</v>
      </c>
      <c r="AG152" s="54">
        <v>0</v>
      </c>
      <c r="AH152" s="54">
        <v>0</v>
      </c>
      <c r="AI152" s="54"/>
      <c r="AJ152" s="54"/>
      <c r="AK152" s="54"/>
      <c r="AL152" s="177"/>
      <c r="AM152" s="54"/>
      <c r="AN152" s="177"/>
      <c r="AO152" s="54"/>
      <c r="AP152" s="54"/>
      <c r="AQ152" s="10">
        <v>17.399999999999999</v>
      </c>
      <c r="AR152" s="269"/>
      <c r="AS152" s="309"/>
      <c r="AT152" s="54"/>
      <c r="AU152" s="54"/>
      <c r="AY152" s="10" t="s">
        <v>418</v>
      </c>
      <c r="BN152" s="10" t="s">
        <v>353</v>
      </c>
      <c r="BO152" s="10" t="s">
        <v>352</v>
      </c>
      <c r="BP152" s="10" t="s">
        <v>284</v>
      </c>
      <c r="BQ152" s="10" t="s">
        <v>284</v>
      </c>
      <c r="BR152" s="19" t="s">
        <v>284</v>
      </c>
    </row>
    <row r="153" spans="1:70" x14ac:dyDescent="0.2">
      <c r="B153" s="10" t="str">
        <f>AY153</f>
        <v>Materials Protection Accounting and Control Technology</v>
      </c>
      <c r="AI153" s="54"/>
      <c r="AJ153" s="54"/>
      <c r="AK153" s="54"/>
      <c r="AL153" s="177"/>
      <c r="AM153" s="54"/>
      <c r="AN153" s="177"/>
      <c r="AO153" s="54"/>
      <c r="AP153" s="54"/>
      <c r="AQ153" s="177">
        <v>7.1</v>
      </c>
      <c r="AR153" s="54"/>
      <c r="AS153" s="177"/>
      <c r="AT153" s="54"/>
      <c r="AU153" s="54"/>
      <c r="AY153" s="5" t="s">
        <v>421</v>
      </c>
      <c r="AZ153" s="5"/>
    </row>
    <row r="154" spans="1:70" x14ac:dyDescent="0.2">
      <c r="B154" s="10" t="s">
        <v>170</v>
      </c>
      <c r="AA154" s="56">
        <v>0</v>
      </c>
      <c r="AB154" s="54">
        <v>7.48</v>
      </c>
      <c r="AC154" s="54">
        <v>11.9</v>
      </c>
      <c r="AD154" s="55">
        <v>31.58</v>
      </c>
      <c r="AE154" s="54">
        <v>19.399999999999999</v>
      </c>
      <c r="AF154" s="54">
        <v>49.6</v>
      </c>
      <c r="AG154" s="54">
        <v>65.3</v>
      </c>
      <c r="AH154" s="54">
        <v>80.3</v>
      </c>
      <c r="AI154" s="54">
        <v>133.80000000000001</v>
      </c>
      <c r="AJ154" s="54">
        <v>177.5</v>
      </c>
      <c r="AK154" s="54">
        <v>0</v>
      </c>
      <c r="AL154" s="179">
        <v>102</v>
      </c>
      <c r="AM154" s="70"/>
      <c r="AN154" s="179"/>
      <c r="AO154" s="70"/>
      <c r="AP154" s="70"/>
      <c r="AQ154" s="202"/>
      <c r="AR154" s="203"/>
      <c r="AS154" s="202"/>
      <c r="AT154" s="70"/>
      <c r="AU154" s="70"/>
      <c r="AV154" s="53"/>
      <c r="AW154" s="53"/>
      <c r="AX154" s="53"/>
      <c r="AY154" s="10" t="s">
        <v>43</v>
      </c>
      <c r="BN154" s="10" t="s">
        <v>354</v>
      </c>
      <c r="BO154" s="10" t="s">
        <v>333</v>
      </c>
      <c r="BP154" s="10" t="s">
        <v>284</v>
      </c>
      <c r="BQ154" s="10" t="s">
        <v>284</v>
      </c>
      <c r="BR154" s="19" t="s">
        <v>284</v>
      </c>
    </row>
    <row r="155" spans="1:70" x14ac:dyDescent="0.2">
      <c r="B155" s="10" t="s">
        <v>80</v>
      </c>
      <c r="AD155" s="55">
        <v>16.940000000000001</v>
      </c>
      <c r="AE155" s="54">
        <v>27</v>
      </c>
      <c r="AF155" s="54">
        <v>38.799999999999997</v>
      </c>
      <c r="AG155" s="54">
        <v>53.3</v>
      </c>
      <c r="AH155" s="54">
        <v>35.200000000000003</v>
      </c>
      <c r="AI155" s="54">
        <v>113.7</v>
      </c>
      <c r="AJ155" s="70">
        <v>178.6</v>
      </c>
      <c r="AK155" s="54">
        <v>0</v>
      </c>
      <c r="AL155" s="179">
        <v>212.9</v>
      </c>
      <c r="AM155" s="70">
        <v>0</v>
      </c>
      <c r="AN155" s="179">
        <v>0</v>
      </c>
      <c r="AO155" s="70">
        <v>0</v>
      </c>
      <c r="AP155" s="70">
        <v>0</v>
      </c>
      <c r="AQ155" s="263">
        <v>0</v>
      </c>
      <c r="AR155" s="70">
        <v>0</v>
      </c>
      <c r="AS155" s="179">
        <v>0</v>
      </c>
      <c r="AT155" s="70">
        <v>0</v>
      </c>
      <c r="AU155" s="70">
        <v>0</v>
      </c>
      <c r="AV155" s="53">
        <v>0</v>
      </c>
      <c r="AW155" s="53">
        <v>0</v>
      </c>
      <c r="AX155" s="53">
        <v>0</v>
      </c>
      <c r="AY155" s="10" t="s">
        <v>127</v>
      </c>
      <c r="BN155" s="10" t="s">
        <v>267</v>
      </c>
      <c r="BO155" s="10" t="s">
        <v>334</v>
      </c>
      <c r="BP155" s="10" t="s">
        <v>284</v>
      </c>
      <c r="BQ155" s="10" t="s">
        <v>284</v>
      </c>
      <c r="BR155" s="19" t="s">
        <v>284</v>
      </c>
    </row>
    <row r="156" spans="1:70" x14ac:dyDescent="0.2">
      <c r="B156" s="10" t="s">
        <v>81</v>
      </c>
      <c r="AD156" s="55">
        <v>2</v>
      </c>
      <c r="AE156" s="54">
        <v>6.2</v>
      </c>
      <c r="AF156" s="54">
        <v>8.6999999999999993</v>
      </c>
      <c r="AG156" s="54">
        <v>24.8</v>
      </c>
      <c r="AH156" s="54">
        <v>18.899999999999999</v>
      </c>
      <c r="AI156" s="54">
        <v>9.6999999999999993</v>
      </c>
      <c r="AJ156" s="54">
        <v>7.3</v>
      </c>
      <c r="AK156" s="54">
        <v>0</v>
      </c>
      <c r="AL156" s="179">
        <v>0</v>
      </c>
      <c r="AM156" s="70">
        <v>0</v>
      </c>
      <c r="AN156" s="179">
        <v>0</v>
      </c>
      <c r="AO156" s="70"/>
      <c r="AP156" s="203"/>
      <c r="AQ156" s="53"/>
      <c r="AR156" s="266"/>
      <c r="AS156" s="311"/>
      <c r="AT156" s="70"/>
      <c r="AU156" s="70"/>
      <c r="AV156" s="53"/>
      <c r="AW156" s="53"/>
      <c r="AX156" s="53"/>
      <c r="AY156" s="10" t="s">
        <v>81</v>
      </c>
      <c r="BN156" s="10" t="s">
        <v>239</v>
      </c>
      <c r="BO156" s="10" t="s">
        <v>335</v>
      </c>
      <c r="BP156" s="10" t="s">
        <v>284</v>
      </c>
      <c r="BQ156" s="10" t="s">
        <v>284</v>
      </c>
      <c r="BR156" s="19" t="s">
        <v>284</v>
      </c>
    </row>
    <row r="157" spans="1:70" s="4" customFormat="1" x14ac:dyDescent="0.2">
      <c r="A157" s="40"/>
      <c r="B157" s="15" t="s">
        <v>307</v>
      </c>
      <c r="C157" s="15"/>
      <c r="D157" s="15"/>
      <c r="E157" s="63"/>
      <c r="F157" s="63"/>
      <c r="G157" s="63"/>
      <c r="H157" s="63"/>
      <c r="I157" s="63"/>
      <c r="J157" s="63"/>
      <c r="K157" s="63"/>
      <c r="L157" s="63"/>
      <c r="M157" s="63"/>
      <c r="N157" s="63"/>
      <c r="O157" s="63"/>
      <c r="P157" s="63"/>
      <c r="Q157" s="63"/>
      <c r="R157" s="63"/>
      <c r="S157" s="63"/>
      <c r="T157" s="63"/>
      <c r="U157" s="57"/>
      <c r="V157" s="57"/>
      <c r="W157" s="63"/>
      <c r="X157" s="57"/>
      <c r="Y157" s="63"/>
      <c r="Z157" s="63"/>
      <c r="AA157" s="62"/>
      <c r="AB157" s="63"/>
      <c r="AC157" s="63">
        <v>77.2</v>
      </c>
      <c r="AD157" s="57">
        <v>57.3</v>
      </c>
      <c r="AE157" s="63">
        <v>66.7</v>
      </c>
      <c r="AF157" s="63">
        <v>66.400000000000006</v>
      </c>
      <c r="AG157" s="63">
        <v>78.400000000000006</v>
      </c>
      <c r="AH157" s="63">
        <v>166.1</v>
      </c>
      <c r="AI157" s="127">
        <v>178</v>
      </c>
      <c r="AJ157" s="127"/>
      <c r="AK157" s="63">
        <v>0</v>
      </c>
      <c r="AL157" s="183">
        <v>0</v>
      </c>
      <c r="AM157" s="127"/>
      <c r="AN157" s="183"/>
      <c r="AO157" s="127"/>
      <c r="AP157" s="127"/>
      <c r="AQ157" s="183">
        <f>58.1+5.3</f>
        <v>63.4</v>
      </c>
      <c r="AR157" s="127"/>
      <c r="AS157" s="183"/>
      <c r="AT157" s="127"/>
      <c r="AU157" s="127"/>
      <c r="AV157" s="250"/>
      <c r="AW157" s="250"/>
      <c r="AX157" s="250"/>
      <c r="AY157" s="25" t="s">
        <v>420</v>
      </c>
      <c r="AZ157" s="15"/>
      <c r="BA157" s="15"/>
      <c r="BB157" s="15"/>
      <c r="BC157" s="15"/>
      <c r="BD157" s="15"/>
      <c r="BE157" s="15"/>
      <c r="BF157" s="5"/>
      <c r="BG157" s="5"/>
      <c r="BH157" s="10"/>
      <c r="BI157" s="10"/>
      <c r="BJ157" s="10"/>
      <c r="BK157" s="10"/>
      <c r="BL157" s="10"/>
      <c r="BM157" s="10"/>
      <c r="BN157" s="10" t="s">
        <v>306</v>
      </c>
      <c r="BO157" s="10" t="s">
        <v>316</v>
      </c>
      <c r="BP157" s="10" t="s">
        <v>284</v>
      </c>
      <c r="BQ157" s="10" t="s">
        <v>284</v>
      </c>
      <c r="BR157" s="19" t="s">
        <v>284</v>
      </c>
    </row>
    <row r="158" spans="1:70" s="4" customFormat="1" x14ac:dyDescent="0.2">
      <c r="A158" s="40"/>
      <c r="B158" s="25" t="s">
        <v>128</v>
      </c>
      <c r="C158" s="15"/>
      <c r="D158" s="15"/>
      <c r="E158" s="63"/>
      <c r="F158" s="63"/>
      <c r="G158" s="63"/>
      <c r="H158" s="63"/>
      <c r="I158" s="63"/>
      <c r="J158" s="63"/>
      <c r="K158" s="63"/>
      <c r="L158" s="63"/>
      <c r="M158" s="63"/>
      <c r="N158" s="63"/>
      <c r="O158" s="63"/>
      <c r="P158" s="63"/>
      <c r="Q158" s="63"/>
      <c r="R158" s="63"/>
      <c r="S158" s="63"/>
      <c r="T158" s="63"/>
      <c r="U158" s="57"/>
      <c r="V158" s="57"/>
      <c r="W158" s="63"/>
      <c r="X158" s="57"/>
      <c r="Y158" s="63"/>
      <c r="Z158" s="63"/>
      <c r="AA158" s="62"/>
      <c r="AB158" s="63"/>
      <c r="AC158" s="63"/>
      <c r="AD158" s="57"/>
      <c r="AE158" s="63"/>
      <c r="AF158" s="63"/>
      <c r="AG158" s="63"/>
      <c r="AH158" s="63"/>
      <c r="AI158" s="127"/>
      <c r="AJ158" s="127">
        <v>142.69999999999999</v>
      </c>
      <c r="AK158" s="63">
        <v>0</v>
      </c>
      <c r="AL158" s="183">
        <v>132</v>
      </c>
      <c r="AM158" s="127">
        <v>182.4</v>
      </c>
      <c r="AN158" s="183">
        <v>181</v>
      </c>
      <c r="AO158" s="127">
        <v>169.9</v>
      </c>
      <c r="AP158" s="127">
        <v>186.2</v>
      </c>
      <c r="AQ158" s="250">
        <v>33.200000000000003</v>
      </c>
      <c r="AR158" s="284">
        <v>203.8</v>
      </c>
      <c r="AS158" s="312">
        <v>207.5</v>
      </c>
      <c r="AT158" s="127">
        <v>260.10000000000002</v>
      </c>
      <c r="AU158" s="127">
        <v>264</v>
      </c>
      <c r="AV158" s="250">
        <v>305.10000000000002</v>
      </c>
      <c r="AW158" s="250">
        <v>309.3</v>
      </c>
      <c r="AX158" s="250">
        <v>368.5</v>
      </c>
      <c r="AY158" s="25" t="s">
        <v>217</v>
      </c>
      <c r="AZ158" s="15"/>
      <c r="BA158" s="15"/>
      <c r="BB158" s="15"/>
      <c r="BC158" s="15"/>
      <c r="BD158" s="15"/>
      <c r="BE158" s="15"/>
      <c r="BF158" s="5"/>
      <c r="BG158" s="5"/>
      <c r="BH158" s="10"/>
      <c r="BI158" s="10"/>
      <c r="BJ158" s="10"/>
      <c r="BK158" s="10"/>
      <c r="BL158" s="10"/>
      <c r="BM158" s="10"/>
      <c r="BN158" s="10"/>
      <c r="BO158" s="10"/>
      <c r="BP158" s="10"/>
      <c r="BQ158" s="10"/>
      <c r="BR158" s="19"/>
    </row>
    <row r="159" spans="1:70" s="4" customFormat="1" x14ac:dyDescent="0.2">
      <c r="A159" s="40"/>
      <c r="B159" s="25"/>
      <c r="C159" s="15"/>
      <c r="D159" s="15"/>
      <c r="E159" s="63"/>
      <c r="F159" s="63"/>
      <c r="G159" s="63"/>
      <c r="H159" s="63"/>
      <c r="I159" s="63"/>
      <c r="J159" s="63"/>
      <c r="K159" s="63"/>
      <c r="L159" s="63"/>
      <c r="M159" s="63"/>
      <c r="N159" s="63"/>
      <c r="O159" s="63"/>
      <c r="P159" s="63"/>
      <c r="Q159" s="63"/>
      <c r="R159" s="63"/>
      <c r="S159" s="63"/>
      <c r="T159" s="63"/>
      <c r="U159" s="57"/>
      <c r="V159" s="57"/>
      <c r="W159" s="63"/>
      <c r="X159" s="57"/>
      <c r="Y159" s="63"/>
      <c r="Z159" s="63"/>
      <c r="AA159" s="62"/>
      <c r="AB159" s="63"/>
      <c r="AC159" s="63"/>
      <c r="AD159" s="57"/>
      <c r="AE159" s="63"/>
      <c r="AF159" s="63"/>
      <c r="AG159" s="63"/>
      <c r="AH159" s="63"/>
      <c r="AI159" s="127"/>
      <c r="AJ159" s="127"/>
      <c r="AK159" s="63"/>
      <c r="AL159" s="183"/>
      <c r="AM159" s="127">
        <v>50.9</v>
      </c>
      <c r="AN159" s="183">
        <v>71.3</v>
      </c>
      <c r="AO159" s="127">
        <v>67.900000000000006</v>
      </c>
      <c r="AP159" s="127">
        <v>71.099999999999994</v>
      </c>
      <c r="AQ159" s="250">
        <f>97.7+4.8</f>
        <v>102.5</v>
      </c>
      <c r="AR159" s="284">
        <f>111.6+5</f>
        <v>116.6</v>
      </c>
      <c r="AS159" s="312">
        <f>115.1+5</f>
        <v>120.1</v>
      </c>
      <c r="AT159" s="127">
        <f>159+5</f>
        <v>164</v>
      </c>
      <c r="AU159" s="127">
        <f>152.6+5</f>
        <v>157.6</v>
      </c>
      <c r="AV159" s="250">
        <f>113.5+5</f>
        <v>118.5</v>
      </c>
      <c r="AW159" s="250">
        <f>123+5</f>
        <v>128</v>
      </c>
      <c r="AX159" s="250">
        <f>124+0</f>
        <v>124</v>
      </c>
      <c r="AY159" s="25" t="s">
        <v>411</v>
      </c>
      <c r="AZ159" s="15"/>
      <c r="BA159" s="15"/>
      <c r="BB159" s="15"/>
      <c r="BC159" s="15"/>
      <c r="BD159" s="15"/>
      <c r="BE159" s="15"/>
      <c r="BF159" s="5"/>
      <c r="BG159" s="5"/>
      <c r="BH159" s="10"/>
      <c r="BI159" s="10"/>
      <c r="BJ159" s="10"/>
      <c r="BK159" s="10"/>
      <c r="BL159" s="10"/>
      <c r="BM159" s="10"/>
      <c r="BN159" s="10"/>
      <c r="BO159" s="10"/>
      <c r="BP159" s="10"/>
      <c r="BQ159" s="10"/>
      <c r="BR159" s="19"/>
    </row>
    <row r="160" spans="1:70" s="4" customFormat="1" x14ac:dyDescent="0.2">
      <c r="A160" s="40"/>
      <c r="B160" s="25"/>
      <c r="C160" s="15"/>
      <c r="D160" s="15"/>
      <c r="E160" s="63"/>
      <c r="F160" s="63"/>
      <c r="G160" s="63"/>
      <c r="H160" s="63"/>
      <c r="I160" s="63"/>
      <c r="J160" s="63"/>
      <c r="K160" s="63"/>
      <c r="L160" s="63"/>
      <c r="M160" s="63"/>
      <c r="N160" s="63"/>
      <c r="O160" s="63"/>
      <c r="P160" s="63"/>
      <c r="Q160" s="63"/>
      <c r="R160" s="63"/>
      <c r="S160" s="63"/>
      <c r="T160" s="63"/>
      <c r="U160" s="57"/>
      <c r="V160" s="57"/>
      <c r="W160" s="63"/>
      <c r="X160" s="57"/>
      <c r="Y160" s="63"/>
      <c r="Z160" s="63"/>
      <c r="AA160" s="62"/>
      <c r="AB160" s="63"/>
      <c r="AC160" s="63"/>
      <c r="AD160" s="57"/>
      <c r="AE160" s="63"/>
      <c r="AF160" s="63"/>
      <c r="AG160" s="63"/>
      <c r="AH160" s="63"/>
      <c r="AI160" s="127"/>
      <c r="AJ160" s="127"/>
      <c r="AK160" s="63"/>
      <c r="AL160" s="183"/>
      <c r="AM160" s="127">
        <v>164.7</v>
      </c>
      <c r="AN160" s="183">
        <v>110.7</v>
      </c>
      <c r="AO160" s="127">
        <v>104.8</v>
      </c>
      <c r="AP160" s="127">
        <v>112.8</v>
      </c>
      <c r="AQ160" s="183">
        <v>128.6</v>
      </c>
      <c r="AR160" s="127">
        <v>141.69999999999999</v>
      </c>
      <c r="AS160" s="183">
        <v>132</v>
      </c>
      <c r="AT160" s="127">
        <v>237</v>
      </c>
      <c r="AU160" s="127">
        <v>323.5</v>
      </c>
      <c r="AV160" s="250">
        <v>267</v>
      </c>
      <c r="AW160" s="250">
        <v>208</v>
      </c>
      <c r="AX160" s="250">
        <v>240</v>
      </c>
      <c r="AY160" s="25" t="s">
        <v>439</v>
      </c>
      <c r="AZ160" s="15"/>
      <c r="BA160" s="15"/>
      <c r="BB160" s="15"/>
      <c r="BC160" s="15"/>
      <c r="BD160" s="15"/>
      <c r="BE160" s="15"/>
      <c r="BF160" s="5"/>
      <c r="BG160" s="5"/>
      <c r="BH160" s="10"/>
      <c r="BI160" s="10"/>
      <c r="BJ160" s="10"/>
      <c r="BK160" s="10"/>
      <c r="BL160" s="10"/>
      <c r="BM160" s="10"/>
      <c r="BN160" s="10"/>
      <c r="BO160" s="10"/>
      <c r="BP160" s="10"/>
      <c r="BQ160" s="10"/>
      <c r="BR160" s="19"/>
    </row>
    <row r="161" spans="1:85" s="4" customFormat="1" x14ac:dyDescent="0.2">
      <c r="A161" s="40"/>
      <c r="B161" s="25"/>
      <c r="C161" s="15"/>
      <c r="D161" s="15"/>
      <c r="E161" s="63"/>
      <c r="F161" s="63"/>
      <c r="G161" s="63"/>
      <c r="H161" s="63"/>
      <c r="I161" s="63"/>
      <c r="J161" s="63"/>
      <c r="K161" s="63"/>
      <c r="L161" s="63"/>
      <c r="M161" s="63"/>
      <c r="N161" s="63"/>
      <c r="O161" s="63"/>
      <c r="P161" s="63"/>
      <c r="Q161" s="63"/>
      <c r="R161" s="63"/>
      <c r="S161" s="63"/>
      <c r="T161" s="63"/>
      <c r="U161" s="57"/>
      <c r="V161" s="57"/>
      <c r="W161" s="63"/>
      <c r="X161" s="57"/>
      <c r="Y161" s="63"/>
      <c r="Z161" s="63"/>
      <c r="AA161" s="62"/>
      <c r="AB161" s="63"/>
      <c r="AC161" s="63"/>
      <c r="AD161" s="57"/>
      <c r="AE161" s="63"/>
      <c r="AF161" s="63"/>
      <c r="AG161" s="63"/>
      <c r="AH161" s="63"/>
      <c r="AI161" s="127"/>
      <c r="AJ161" s="127"/>
      <c r="AK161" s="63"/>
      <c r="AL161" s="183"/>
      <c r="AM161" s="127"/>
      <c r="AN161" s="183"/>
      <c r="AO161" s="127"/>
      <c r="AP161" s="127"/>
      <c r="AQ161" s="183"/>
      <c r="AR161" s="127"/>
      <c r="AS161" s="183"/>
      <c r="AT161" s="127"/>
      <c r="AU161" s="127"/>
      <c r="AV161" s="250">
        <v>230</v>
      </c>
      <c r="AW161" s="250">
        <v>250</v>
      </c>
      <c r="AX161" s="250">
        <v>370.4</v>
      </c>
      <c r="AY161" s="25" t="s">
        <v>440</v>
      </c>
      <c r="AZ161" s="15"/>
      <c r="BA161" s="15"/>
      <c r="BB161" s="15"/>
      <c r="BC161" s="15"/>
      <c r="BD161" s="15"/>
      <c r="BE161" s="15"/>
      <c r="BF161" s="5"/>
      <c r="BG161" s="5"/>
      <c r="BH161" s="10"/>
      <c r="BI161" s="10"/>
      <c r="BJ161" s="10"/>
      <c r="BK161" s="10"/>
      <c r="BL161" s="10"/>
      <c r="BM161" s="10"/>
      <c r="BN161" s="10"/>
      <c r="BO161" s="10"/>
      <c r="BP161" s="10"/>
      <c r="BQ161" s="10"/>
      <c r="BR161" s="19"/>
    </row>
    <row r="162" spans="1:85" s="4" customFormat="1" x14ac:dyDescent="0.2">
      <c r="A162" s="40"/>
      <c r="B162" s="25"/>
      <c r="C162" s="15"/>
      <c r="D162" s="15"/>
      <c r="E162" s="63"/>
      <c r="F162" s="63"/>
      <c r="G162" s="63"/>
      <c r="H162" s="63"/>
      <c r="I162" s="63"/>
      <c r="J162" s="63"/>
      <c r="K162" s="63"/>
      <c r="L162" s="63"/>
      <c r="M162" s="63"/>
      <c r="N162" s="63"/>
      <c r="O162" s="63"/>
      <c r="P162" s="63"/>
      <c r="Q162" s="63"/>
      <c r="R162" s="63"/>
      <c r="S162" s="63"/>
      <c r="T162" s="63"/>
      <c r="U162" s="57"/>
      <c r="V162" s="57"/>
      <c r="W162" s="63"/>
      <c r="X162" s="57"/>
      <c r="Y162" s="63"/>
      <c r="Z162" s="63"/>
      <c r="AA162" s="62"/>
      <c r="AB162" s="63"/>
      <c r="AC162" s="63"/>
      <c r="AD162" s="57"/>
      <c r="AE162" s="63"/>
      <c r="AF162" s="63"/>
      <c r="AG162" s="63"/>
      <c r="AH162" s="63"/>
      <c r="AI162" s="127"/>
      <c r="AJ162" s="127"/>
      <c r="AK162" s="63"/>
      <c r="AL162" s="183">
        <v>0</v>
      </c>
      <c r="AM162" s="127">
        <v>3</v>
      </c>
      <c r="AN162" s="183">
        <v>3</v>
      </c>
      <c r="AO162" s="127">
        <v>3</v>
      </c>
      <c r="AP162" s="127">
        <v>2.5</v>
      </c>
      <c r="AQ162" s="183">
        <v>3</v>
      </c>
      <c r="AR162" s="127">
        <v>3</v>
      </c>
      <c r="AS162" s="183">
        <v>3</v>
      </c>
      <c r="AT162" s="127">
        <v>3</v>
      </c>
      <c r="AU162" s="127">
        <v>3</v>
      </c>
      <c r="AV162" s="250">
        <v>0</v>
      </c>
      <c r="AW162" s="250">
        <v>0</v>
      </c>
      <c r="AX162" s="250">
        <v>5</v>
      </c>
      <c r="AY162" s="25" t="s">
        <v>218</v>
      </c>
      <c r="AZ162" s="15"/>
      <c r="BA162" s="15"/>
      <c r="BB162" s="15"/>
      <c r="BC162" s="15"/>
      <c r="BD162" s="15"/>
      <c r="BE162" s="15"/>
      <c r="BF162" s="5"/>
      <c r="BG162" s="5"/>
      <c r="BH162" s="10"/>
      <c r="BI162" s="10"/>
      <c r="BJ162" s="10"/>
      <c r="BK162" s="10"/>
      <c r="BL162" s="10"/>
      <c r="BM162" s="10"/>
      <c r="BN162" s="10"/>
      <c r="BO162" s="10"/>
      <c r="BP162" s="10"/>
      <c r="BQ162" s="10"/>
      <c r="BR162" s="19"/>
    </row>
    <row r="163" spans="1:85" s="4" customFormat="1" x14ac:dyDescent="0.2">
      <c r="A163" s="40"/>
      <c r="B163" s="25" t="s">
        <v>255</v>
      </c>
      <c r="C163" s="15"/>
      <c r="D163" s="15"/>
      <c r="E163" s="63"/>
      <c r="F163" s="63"/>
      <c r="G163" s="63"/>
      <c r="H163" s="63"/>
      <c r="I163" s="63"/>
      <c r="J163" s="63"/>
      <c r="K163" s="63"/>
      <c r="L163" s="63"/>
      <c r="M163" s="63"/>
      <c r="N163" s="63"/>
      <c r="O163" s="63"/>
      <c r="P163" s="63"/>
      <c r="Q163" s="63"/>
      <c r="R163" s="63"/>
      <c r="S163" s="63"/>
      <c r="T163" s="63"/>
      <c r="U163" s="57"/>
      <c r="V163" s="57"/>
      <c r="W163" s="63"/>
      <c r="X163" s="57"/>
      <c r="Y163" s="63"/>
      <c r="Z163" s="63"/>
      <c r="AA163" s="62"/>
      <c r="AB163" s="63"/>
      <c r="AC163" s="63"/>
      <c r="AD163" s="57"/>
      <c r="AE163" s="63"/>
      <c r="AF163" s="63"/>
      <c r="AG163" s="63"/>
      <c r="AH163" s="63"/>
      <c r="AI163" s="63"/>
      <c r="AJ163" s="63">
        <v>2.9</v>
      </c>
      <c r="AK163" s="63"/>
      <c r="AL163" s="184">
        <v>2.5</v>
      </c>
      <c r="AM163" s="63"/>
      <c r="AN163" s="184"/>
      <c r="AO163" s="63"/>
      <c r="AP163" s="63"/>
      <c r="AQ163" s="15"/>
      <c r="AR163" s="285"/>
      <c r="AS163" s="313"/>
      <c r="AT163" s="63"/>
      <c r="AU163" s="63"/>
      <c r="AV163" s="15"/>
      <c r="AW163" s="15"/>
      <c r="AX163" s="15"/>
      <c r="AY163" s="25" t="s">
        <v>255</v>
      </c>
      <c r="AZ163" s="15"/>
      <c r="BA163" s="15"/>
      <c r="BB163" s="15"/>
      <c r="BC163" s="15"/>
      <c r="BD163" s="15"/>
      <c r="BE163" s="15"/>
      <c r="BF163" s="5"/>
      <c r="BG163" s="5"/>
      <c r="BH163" s="10"/>
      <c r="BI163" s="10"/>
      <c r="BJ163" s="10"/>
      <c r="BK163" s="10"/>
      <c r="BL163" s="10"/>
      <c r="BM163" s="10"/>
      <c r="BN163" s="10"/>
      <c r="BO163" s="10"/>
      <c r="BP163" s="10"/>
      <c r="BQ163" s="10"/>
      <c r="BR163" s="19"/>
    </row>
    <row r="164" spans="1:85" ht="10.5" x14ac:dyDescent="0.25">
      <c r="B164" s="10" t="s">
        <v>177</v>
      </c>
      <c r="E164" s="54">
        <v>0</v>
      </c>
      <c r="F164" s="54">
        <v>0</v>
      </c>
      <c r="G164" s="54">
        <v>0</v>
      </c>
      <c r="H164" s="54">
        <v>0</v>
      </c>
      <c r="I164" s="54">
        <v>0</v>
      </c>
      <c r="J164" s="54">
        <v>0</v>
      </c>
      <c r="K164" s="54">
        <v>0</v>
      </c>
      <c r="L164" s="54">
        <v>0</v>
      </c>
      <c r="M164" s="54">
        <v>0</v>
      </c>
      <c r="N164" s="54">
        <v>0</v>
      </c>
      <c r="O164" s="54">
        <v>0</v>
      </c>
      <c r="P164" s="54">
        <v>0</v>
      </c>
      <c r="Q164" s="54">
        <v>0</v>
      </c>
      <c r="R164" s="54">
        <v>0</v>
      </c>
      <c r="S164" s="54">
        <v>0</v>
      </c>
      <c r="T164" s="54">
        <v>0</v>
      </c>
      <c r="U164" s="55">
        <f>U166*((SUM(U140:U157)-U149+U165)/362)</f>
        <v>-8.6924900282684288</v>
      </c>
      <c r="V164" s="55">
        <f>V166*((SUM(V140:V157)-V149+V165)/178)</f>
        <v>-2.9935031743707015</v>
      </c>
      <c r="W164" s="55">
        <f>W166*((SUM(W140:W157)-W149+W165)/229)</f>
        <v>-0.98246000872073735</v>
      </c>
      <c r="X164" s="55">
        <f>X166*((SUM(X140:X157)-X149+X165)/229)</f>
        <v>-0.86745487963320977</v>
      </c>
      <c r="Y164" s="55">
        <f>Y166*((SUM(Y140:Y157)-Y149+Y165)/238.3)</f>
        <v>-5.8027034105657523E-2</v>
      </c>
      <c r="Z164" s="55">
        <f>Z166*((SUM(Z140:Z157)-Z149+Z165)/284.6)</f>
        <v>-0.6195763530474403</v>
      </c>
      <c r="AA164" s="55">
        <f>AA166*((SUM(AA140:AA157)-AA149+AA165)/285.5)</f>
        <v>-0.28496754702629423</v>
      </c>
      <c r="AB164" s="55">
        <f>AB166*((SUM(AB140:AB157)-AB149+AB165)/244.2)</f>
        <v>-0.12999223257208517</v>
      </c>
      <c r="AC164" s="55">
        <f>AC166*((SUM(AC140:AC157)-AC149+AC165)/367)</f>
        <v>0</v>
      </c>
      <c r="AD164" s="135">
        <f t="shared" ref="AD164:AR164" si="40">AD166*((SUM(AD140:AD163)-AD149+AD165)/658)</f>
        <v>-0.19551969501828864</v>
      </c>
      <c r="AE164" s="55">
        <f t="shared" si="40"/>
        <v>0</v>
      </c>
      <c r="AF164" s="55">
        <f t="shared" si="40"/>
        <v>0</v>
      </c>
      <c r="AG164" s="55">
        <f t="shared" si="40"/>
        <v>0</v>
      </c>
      <c r="AH164" s="55">
        <f t="shared" si="40"/>
        <v>0</v>
      </c>
      <c r="AI164" s="55">
        <f t="shared" si="40"/>
        <v>0</v>
      </c>
      <c r="AJ164" s="135">
        <f t="shared" si="40"/>
        <v>-4.3000906781201511</v>
      </c>
      <c r="AK164" s="55">
        <f t="shared" si="40"/>
        <v>0</v>
      </c>
      <c r="AL164" s="234">
        <f t="shared" si="40"/>
        <v>2.1303342953916609</v>
      </c>
      <c r="AM164" s="234">
        <f t="shared" si="40"/>
        <v>-3.3249859575912026</v>
      </c>
      <c r="AN164" s="234">
        <f t="shared" si="40"/>
        <v>6.0490453566264355</v>
      </c>
      <c r="AO164" s="234">
        <f t="shared" si="40"/>
        <v>0</v>
      </c>
      <c r="AP164" s="234">
        <f t="shared" si="40"/>
        <v>-4.1270614938082852</v>
      </c>
      <c r="AQ164" s="234">
        <f t="shared" si="40"/>
        <v>-64.183318808280944</v>
      </c>
      <c r="AR164" s="135">
        <f t="shared" si="40"/>
        <v>0</v>
      </c>
      <c r="AS164" s="234">
        <v>-10</v>
      </c>
      <c r="AT164" s="135">
        <v>-9.9</v>
      </c>
      <c r="AU164" s="135">
        <v>0</v>
      </c>
      <c r="AV164" s="321">
        <v>0</v>
      </c>
      <c r="AW164" s="321">
        <v>0</v>
      </c>
      <c r="AX164" s="321">
        <v>0</v>
      </c>
      <c r="AY164" s="10" t="s">
        <v>406</v>
      </c>
      <c r="BB164" s="24"/>
      <c r="BG164" s="10" t="s">
        <v>228</v>
      </c>
      <c r="BH164" s="5"/>
      <c r="BI164" s="5"/>
      <c r="BJ164" s="5" t="s">
        <v>138</v>
      </c>
      <c r="BK164" s="5" t="s">
        <v>39</v>
      </c>
      <c r="BL164" s="5"/>
      <c r="BN164" s="10" t="s">
        <v>240</v>
      </c>
      <c r="BO164" s="5" t="s">
        <v>130</v>
      </c>
    </row>
    <row r="165" spans="1:85" ht="10.5" x14ac:dyDescent="0.25">
      <c r="B165" s="10" t="s">
        <v>308</v>
      </c>
      <c r="T165" s="54">
        <f>((SUM(T$140:T$157)-T$149)/341.9)*T$149</f>
        <v>30.901930389002626</v>
      </c>
      <c r="U165" s="55">
        <f>((SUM(U$140:U$157)-U$149)/227.3)*U$149</f>
        <v>10.081478222613283</v>
      </c>
      <c r="V165" s="55">
        <f>(((SUM(V$140:V$157)-V$149)/205)*12.88)+(((SUM(V$140:V$157)-V$149)/366)*12.48)</f>
        <v>10.700810235905637</v>
      </c>
      <c r="W165" s="55">
        <f>(((SUM(W$140:W$157)-W$149)/116.6)*5)+(((SUM(W$140:W$157)-W$149)/229)*8)</f>
        <v>3.3149677544997642</v>
      </c>
      <c r="X165" s="55">
        <f>((SUM(X$140:X$157)-X$149)/238.3)*X$149</f>
        <v>3.5797314309693657</v>
      </c>
      <c r="Y165" s="54">
        <f>((SUM(Y$140:Y$157)-Y$149)/215.5)*Y$149</f>
        <v>0.6821345707656612</v>
      </c>
      <c r="Z165" s="70">
        <f>((SUM(Z$140:Z$157)-Z$149)/284.6)*Z$149</f>
        <v>2.5602600140548137</v>
      </c>
      <c r="AA165" s="70">
        <f>((SUM(AA$140:AA$157)-AA$149)/285.5)*AA$149</f>
        <v>4.0488966725043785</v>
      </c>
      <c r="AB165" s="70">
        <f>((SUM(AB$140:AB$157)-AB$149)/244.2)*AB$149</f>
        <v>5.2382063882063896</v>
      </c>
      <c r="AC165" s="70">
        <f>((SUM(AC$140:AC$157)-AC$149)/269)*AC$149</f>
        <v>12.036245353159853</v>
      </c>
      <c r="AD165" s="70">
        <f>((SUM(AD$140:AD$157)-AD$149)/277.3)*AD$149</f>
        <v>12.794949152542372</v>
      </c>
      <c r="AE165" s="70">
        <f>((SUM(AE$140:AE$157)-AE$149)/406.5)*AE$149</f>
        <v>22.350442804428042</v>
      </c>
      <c r="AF165" s="70">
        <f>((SUM(AF150:AF157)+AF143)/521.9)*AF149</f>
        <v>22.342345276872969</v>
      </c>
      <c r="AG165" s="70">
        <f>((SUM(AG150:AG157)+AG143)/566.6)*AG149</f>
        <v>26.534151076597244</v>
      </c>
      <c r="AH165" s="70">
        <f>((SUM(AH150:AH157)+AH143)/(628.5-AH149))*AH149</f>
        <v>35.066619544089065</v>
      </c>
      <c r="AI165" s="70">
        <f>((SUM(AI150:AI157)+AI143)/(960.9-AI149))*AI149</f>
        <v>40.00872727272727</v>
      </c>
      <c r="AJ165" s="70">
        <f>((SUM(AJ150:AJ158)+AJ143)/(792-AJ149))*AJ149</f>
        <v>51.891933240611962</v>
      </c>
      <c r="AK165" s="70">
        <f>((SUM(AK150:AK158)+AK143)/792)*AK149</f>
        <v>0</v>
      </c>
      <c r="AL165" s="179">
        <f>((SUM(AL150:AL158)+AL143)/(786.6-AL149))*AL149</f>
        <v>46.228559417040351</v>
      </c>
      <c r="AM165" s="70">
        <f>((SUM(AM150:AM162)+AM143)/(717.8-AM149))*AM149</f>
        <v>54.800158353127479</v>
      </c>
      <c r="AN165" s="179">
        <f>((SUM(AN150:AN162)+AN143+AN140)/(760.5-AN149))*AN149</f>
        <v>59.533980582524272</v>
      </c>
      <c r="AO165" s="70">
        <f>((SUM(AO150:AO162)+AO143+AO140)/(708.4-AO149))*AO149</f>
        <v>56.428413284132844</v>
      </c>
      <c r="AP165" s="70">
        <f>((SUM(AP150:AP162)+AP143+AP140)/(888.4-AP149))*AP149</f>
        <v>55.021292585170336</v>
      </c>
      <c r="AQ165" s="179">
        <f>((SUM(AQ150:AQ162)+AQ143+AQ140)/(863.4-AQ149))*AQ149</f>
        <v>42.348736277763599</v>
      </c>
      <c r="AR165" s="70">
        <f>((SUM(AR150:AR162)+AR143+AR140)/(986.2-AR149))*AR149</f>
        <v>47.018318252041482</v>
      </c>
      <c r="AS165" s="179">
        <f>((SUM(AS150:AS162)+AS143+AS140)/(1026.6-AS149))*AS149</f>
        <v>47.547010352841752</v>
      </c>
      <c r="AT165" s="70">
        <f>((SUM(AT150:AT162)+AT143+AT140)/(1205.1-AT149))*AT149</f>
        <v>47.576215447515786</v>
      </c>
      <c r="AU165" s="70">
        <f>((SUM(AU150:AU162)+AU143+AU140)/(1326.1-AU149))*AU149</f>
        <v>48.349249658935882</v>
      </c>
      <c r="AV165" s="70">
        <f>((SUM(AV150:AV162)+AV143+AV140)/(824-AV149))*AV149</f>
        <v>99.526881720430111</v>
      </c>
      <c r="AW165" s="70">
        <f>((SUM(AW150:AW162)+AW143+AW140)/(824-AW149))*AW149</f>
        <v>90.282454266257162</v>
      </c>
      <c r="AX165" s="70">
        <f>((SUM(AX150:AX162)+AX143+AX140)/(824-AX149))*AX149</f>
        <v>128.12110960757781</v>
      </c>
      <c r="AY165" s="10" t="s">
        <v>308</v>
      </c>
      <c r="BB165" s="24"/>
      <c r="BG165" s="5" t="s">
        <v>229</v>
      </c>
      <c r="BP165" s="10" t="s">
        <v>284</v>
      </c>
      <c r="BQ165" s="10" t="s">
        <v>284</v>
      </c>
      <c r="BR165" s="19" t="s">
        <v>284</v>
      </c>
    </row>
    <row r="166" spans="1:85" ht="10.5" x14ac:dyDescent="0.25">
      <c r="B166" s="10" t="s">
        <v>176</v>
      </c>
      <c r="U166" s="55">
        <v>-28</v>
      </c>
      <c r="V166" s="55">
        <v>-4.4000000000000004</v>
      </c>
      <c r="W166" s="55">
        <v>-4.9000000000000004</v>
      </c>
      <c r="X166" s="55">
        <v>-3.1</v>
      </c>
      <c r="Y166" s="55">
        <v>-1.8</v>
      </c>
      <c r="Z166" s="54">
        <v>-5.5</v>
      </c>
      <c r="AA166" s="56">
        <v>-1.6</v>
      </c>
      <c r="AB166" s="54">
        <v>-0.5</v>
      </c>
      <c r="AC166" s="54">
        <v>0</v>
      </c>
      <c r="AD166" s="54">
        <v>-0.8</v>
      </c>
      <c r="AE166" s="54">
        <v>0</v>
      </c>
      <c r="AF166" s="54">
        <v>0</v>
      </c>
      <c r="AG166" s="54">
        <v>0</v>
      </c>
      <c r="AH166" s="54">
        <v>0</v>
      </c>
      <c r="AI166" s="54">
        <v>0</v>
      </c>
      <c r="AJ166" s="70">
        <v>-5</v>
      </c>
      <c r="AK166" s="54">
        <v>0</v>
      </c>
      <c r="AL166" s="177">
        <v>2.8</v>
      </c>
      <c r="AM166" s="70">
        <v>-4.8</v>
      </c>
      <c r="AN166" s="177">
        <v>8</v>
      </c>
      <c r="AO166" s="54">
        <v>0</v>
      </c>
      <c r="AP166" s="54">
        <v>-5</v>
      </c>
      <c r="AQ166" s="177">
        <v>-80.099999999999994</v>
      </c>
      <c r="AR166" s="54">
        <v>0</v>
      </c>
      <c r="AS166" s="270">
        <v>0</v>
      </c>
      <c r="AT166" s="54">
        <v>0</v>
      </c>
      <c r="AU166" s="54"/>
      <c r="AY166" s="10" t="s">
        <v>176</v>
      </c>
      <c r="BB166" s="24"/>
      <c r="BH166" s="5" t="s">
        <v>324</v>
      </c>
      <c r="BI166" s="5"/>
      <c r="BJ166" s="5" t="s">
        <v>348</v>
      </c>
      <c r="BK166" s="5"/>
      <c r="BL166" s="5" t="s">
        <v>243</v>
      </c>
      <c r="BM166" s="10" t="s">
        <v>197</v>
      </c>
      <c r="BN166" s="5" t="s">
        <v>271</v>
      </c>
      <c r="BO166" s="5" t="s">
        <v>302</v>
      </c>
    </row>
    <row r="167" spans="1:85" x14ac:dyDescent="0.2">
      <c r="AI167" s="54"/>
      <c r="AJ167" s="54"/>
      <c r="AK167" s="54"/>
      <c r="AL167" s="177"/>
      <c r="AM167" s="54"/>
      <c r="AN167" s="177"/>
      <c r="AO167" s="54"/>
      <c r="AP167" s="54"/>
    </row>
    <row r="168" spans="1:85" s="1" customFormat="1" ht="10.5" x14ac:dyDescent="0.25">
      <c r="A168" s="79" t="s">
        <v>30</v>
      </c>
      <c r="B168" s="80"/>
      <c r="C168" s="80"/>
      <c r="D168" s="80"/>
      <c r="E168" s="81">
        <f t="shared" ref="E168:AO168" si="41">SUM(E140:E165)-E149</f>
        <v>869.2</v>
      </c>
      <c r="F168" s="81">
        <f t="shared" si="41"/>
        <v>814.30000000000007</v>
      </c>
      <c r="G168" s="81">
        <f t="shared" si="41"/>
        <v>808</v>
      </c>
      <c r="H168" s="81">
        <f t="shared" si="41"/>
        <v>693.69999999999993</v>
      </c>
      <c r="I168" s="81">
        <f t="shared" si="41"/>
        <v>781</v>
      </c>
      <c r="J168" s="81">
        <f t="shared" si="41"/>
        <v>630.5</v>
      </c>
      <c r="K168" s="81">
        <f t="shared" si="41"/>
        <v>559.95000000000005</v>
      </c>
      <c r="L168" s="81">
        <f t="shared" si="41"/>
        <v>402.29999999999995</v>
      </c>
      <c r="M168" s="81">
        <f t="shared" si="41"/>
        <v>340.3</v>
      </c>
      <c r="N168" s="81">
        <f t="shared" si="41"/>
        <v>255.70000000000002</v>
      </c>
      <c r="O168" s="81">
        <f t="shared" si="41"/>
        <v>245.1</v>
      </c>
      <c r="P168" s="81">
        <f t="shared" si="41"/>
        <v>240.7</v>
      </c>
      <c r="Q168" s="81">
        <f t="shared" si="41"/>
        <v>309.5</v>
      </c>
      <c r="R168" s="81">
        <f t="shared" si="41"/>
        <v>296.2</v>
      </c>
      <c r="S168" s="81">
        <f t="shared" si="41"/>
        <v>295.5</v>
      </c>
      <c r="T168" s="81">
        <f t="shared" si="41"/>
        <v>246.30193038900262</v>
      </c>
      <c r="U168" s="81">
        <f t="shared" si="41"/>
        <v>103.68898819434486</v>
      </c>
      <c r="V168" s="81">
        <f t="shared" si="41"/>
        <v>118.10730706153494</v>
      </c>
      <c r="W168" s="81">
        <f t="shared" si="41"/>
        <v>44.932507745779027</v>
      </c>
      <c r="X168" s="81">
        <f t="shared" si="41"/>
        <v>63.212276551336139</v>
      </c>
      <c r="Y168" s="81">
        <f t="shared" si="41"/>
        <v>7.6241075366600057</v>
      </c>
      <c r="Z168" s="81">
        <f t="shared" si="41"/>
        <v>31.440683661007373</v>
      </c>
      <c r="AA168" s="81">
        <f t="shared" si="41"/>
        <v>50.563929125478083</v>
      </c>
      <c r="AB168" s="81">
        <f t="shared" si="41"/>
        <v>63.358214155634322</v>
      </c>
      <c r="AC168" s="81">
        <f t="shared" si="41"/>
        <v>155.93624535315985</v>
      </c>
      <c r="AD168" s="81">
        <f t="shared" si="41"/>
        <v>160.61942945752409</v>
      </c>
      <c r="AE168" s="81">
        <f t="shared" si="41"/>
        <v>173.85044280442801</v>
      </c>
      <c r="AF168" s="81">
        <f t="shared" si="41"/>
        <v>214.44234527687297</v>
      </c>
      <c r="AG168" s="81">
        <f t="shared" si="41"/>
        <v>275.03415107659725</v>
      </c>
      <c r="AH168" s="81">
        <f t="shared" si="41"/>
        <v>352.06661954408901</v>
      </c>
      <c r="AI168" s="81">
        <f t="shared" si="41"/>
        <v>475.20872727272729</v>
      </c>
      <c r="AJ168" s="81">
        <f t="shared" si="41"/>
        <v>561.59184256249182</v>
      </c>
      <c r="AK168" s="81">
        <f t="shared" si="41"/>
        <v>0</v>
      </c>
      <c r="AL168" s="180">
        <f t="shared" si="41"/>
        <v>502.75889371243204</v>
      </c>
      <c r="AM168" s="90">
        <f t="shared" si="41"/>
        <v>452.47517239553628</v>
      </c>
      <c r="AN168" s="180">
        <f t="shared" si="41"/>
        <v>503.58302593915062</v>
      </c>
      <c r="AO168" s="90">
        <f t="shared" si="41"/>
        <v>469.7284132841329</v>
      </c>
      <c r="AP168" s="90">
        <f t="shared" ref="AP168:AV168" si="42">SUM(AP140:AP165)-AP149</f>
        <v>538.99423109136205</v>
      </c>
      <c r="AQ168" s="90">
        <f t="shared" si="42"/>
        <v>463.06541746948267</v>
      </c>
      <c r="AR168" s="90">
        <f t="shared" si="42"/>
        <v>579.61831825204138</v>
      </c>
      <c r="AS168" s="90">
        <f t="shared" si="42"/>
        <v>600.14701035284179</v>
      </c>
      <c r="AT168" s="90">
        <f t="shared" si="42"/>
        <v>706.77621544751582</v>
      </c>
      <c r="AU168" s="90">
        <f t="shared" si="42"/>
        <v>801.44924965893586</v>
      </c>
      <c r="AV168" s="90">
        <f t="shared" si="42"/>
        <v>1025.1268817204302</v>
      </c>
      <c r="AW168" s="90">
        <f t="shared" ref="AW168" si="43">SUM(AW140:AW165)-AW149</f>
        <v>990.58245426625706</v>
      </c>
      <c r="AX168" s="90">
        <f>SUM(AX140:AX165)-AX149</f>
        <v>1242.021109607578</v>
      </c>
      <c r="AY168" s="80" t="s">
        <v>30</v>
      </c>
      <c r="AZ168" s="80"/>
      <c r="BA168" s="80"/>
      <c r="BB168" s="80"/>
      <c r="BC168" s="80"/>
      <c r="BD168" s="11"/>
      <c r="BE168" s="11"/>
      <c r="BF168" s="29"/>
      <c r="BG168" s="29"/>
      <c r="BH168" s="11"/>
      <c r="BI168" s="11"/>
      <c r="BJ168" s="11"/>
      <c r="BK168" s="11"/>
      <c r="BL168" s="11"/>
      <c r="BM168" s="11"/>
      <c r="BN168" s="11"/>
      <c r="BO168" s="11"/>
      <c r="BP168" s="11"/>
      <c r="BQ168" s="11"/>
      <c r="BR168" s="30"/>
    </row>
    <row r="169" spans="1:85" s="6" customFormat="1" ht="10.5" x14ac:dyDescent="0.25">
      <c r="A169" s="31" t="s">
        <v>234</v>
      </c>
      <c r="B169" s="7"/>
      <c r="C169" s="7"/>
      <c r="D169" s="7"/>
      <c r="E169" s="60">
        <v>282.8</v>
      </c>
      <c r="F169" s="60">
        <v>278</v>
      </c>
      <c r="G169" s="60">
        <v>273.10000000000002</v>
      </c>
      <c r="H169" s="60">
        <v>355.1</v>
      </c>
      <c r="I169" s="60">
        <v>304.8</v>
      </c>
      <c r="J169" s="60">
        <v>403.8</v>
      </c>
      <c r="K169" s="60">
        <v>197.05</v>
      </c>
      <c r="L169" s="60">
        <v>206.6</v>
      </c>
      <c r="M169" s="60">
        <v>269.60000000000002</v>
      </c>
      <c r="N169" s="60">
        <v>345</v>
      </c>
      <c r="O169" s="60">
        <v>342.8</v>
      </c>
      <c r="P169" s="60">
        <v>369.2</v>
      </c>
      <c r="Q169" s="60">
        <v>0</v>
      </c>
      <c r="R169" s="60">
        <v>-0.1</v>
      </c>
      <c r="S169" s="60">
        <v>33.9</v>
      </c>
      <c r="T169" s="60">
        <v>84.15</v>
      </c>
      <c r="U169" s="60">
        <v>238</v>
      </c>
      <c r="V169" s="60">
        <v>262</v>
      </c>
      <c r="W169" s="60">
        <v>178.4</v>
      </c>
      <c r="X169" s="60">
        <v>169</v>
      </c>
      <c r="Y169" s="60">
        <f>39.9+7.4+76.1+44.6+19.5</f>
        <v>187.5</v>
      </c>
      <c r="Z169" s="60">
        <f>36.8+6.8+84.5+50.8+21.5</f>
        <v>200.39999999999998</v>
      </c>
      <c r="AA169" s="60">
        <f>29.6+19.5+41.9+78.8</f>
        <v>169.8</v>
      </c>
      <c r="AB169" s="60">
        <f>31.8+18.7+42.1</f>
        <v>92.6</v>
      </c>
      <c r="AC169" s="60">
        <f>58.9</f>
        <v>58.9</v>
      </c>
      <c r="AD169" s="60">
        <f>62.9</f>
        <v>62.9</v>
      </c>
      <c r="AE169" s="60">
        <v>63.4</v>
      </c>
      <c r="AF169" s="65">
        <v>69.099999999999994</v>
      </c>
      <c r="AG169" s="65">
        <v>54.1</v>
      </c>
      <c r="AH169" s="65">
        <f>49.8</f>
        <v>49.8</v>
      </c>
      <c r="AI169" s="7">
        <f>278.8+48.1</f>
        <v>326.90000000000003</v>
      </c>
      <c r="AJ169" s="7">
        <f>35+6.1+12.5+12.5</f>
        <v>66.099999999999994</v>
      </c>
      <c r="AK169" s="60"/>
      <c r="AL169" s="182">
        <f>42+10+10+10</f>
        <v>72</v>
      </c>
      <c r="AM169" s="134">
        <v>51.7</v>
      </c>
      <c r="AN169" s="182">
        <v>69.5</v>
      </c>
      <c r="AO169" s="134">
        <v>65.400000000000006</v>
      </c>
      <c r="AP169" s="134">
        <v>25</v>
      </c>
      <c r="AQ169" s="249">
        <v>25</v>
      </c>
      <c r="AR169" s="249">
        <v>24.8</v>
      </c>
      <c r="AS169" s="249">
        <v>17</v>
      </c>
      <c r="AT169" s="249">
        <v>16.899999999999999</v>
      </c>
      <c r="AU169" s="249">
        <v>9</v>
      </c>
      <c r="AV169" s="249">
        <v>10</v>
      </c>
      <c r="AW169" s="249">
        <v>11</v>
      </c>
      <c r="AX169" s="249">
        <v>12</v>
      </c>
      <c r="AY169" s="78" t="s">
        <v>391</v>
      </c>
      <c r="AZ169" s="7"/>
      <c r="BA169" s="7"/>
      <c r="BB169" s="7"/>
      <c r="BC169" s="7"/>
      <c r="BD169" s="7"/>
      <c r="BE169" s="7"/>
      <c r="BF169" s="7"/>
      <c r="BG169" s="7"/>
      <c r="BH169" s="7"/>
      <c r="BI169" s="7" t="s">
        <v>134</v>
      </c>
      <c r="BJ169" s="7" t="s">
        <v>362</v>
      </c>
      <c r="BK169" s="7"/>
      <c r="BL169" s="7" t="s">
        <v>264</v>
      </c>
      <c r="BM169" s="9"/>
      <c r="BN169" s="7" t="s">
        <v>246</v>
      </c>
      <c r="BO169" s="7" t="s">
        <v>74</v>
      </c>
      <c r="BP169" s="7"/>
      <c r="BQ169" s="7"/>
      <c r="BR169" s="38"/>
    </row>
    <row r="170" spans="1:85" s="8" customFormat="1" ht="10.5" x14ac:dyDescent="0.25">
      <c r="A170" s="9" t="s">
        <v>235</v>
      </c>
      <c r="B170" s="9"/>
      <c r="C170" s="9"/>
      <c r="D170" s="129"/>
      <c r="E170" s="61">
        <f t="shared" ref="E170:AO170" si="44">E169+E168</f>
        <v>1152</v>
      </c>
      <c r="F170" s="61">
        <f t="shared" si="44"/>
        <v>1092.3000000000002</v>
      </c>
      <c r="G170" s="61">
        <f t="shared" si="44"/>
        <v>1081.0999999999999</v>
      </c>
      <c r="H170" s="61">
        <f t="shared" si="44"/>
        <v>1048.8</v>
      </c>
      <c r="I170" s="61">
        <f t="shared" si="44"/>
        <v>1085.8</v>
      </c>
      <c r="J170" s="61">
        <f t="shared" si="44"/>
        <v>1034.3</v>
      </c>
      <c r="K170" s="61">
        <f t="shared" si="44"/>
        <v>757</v>
      </c>
      <c r="L170" s="61">
        <f t="shared" si="44"/>
        <v>608.9</v>
      </c>
      <c r="M170" s="61">
        <f t="shared" si="44"/>
        <v>609.90000000000009</v>
      </c>
      <c r="N170" s="61">
        <f t="shared" si="44"/>
        <v>600.70000000000005</v>
      </c>
      <c r="O170" s="61">
        <f t="shared" si="44"/>
        <v>587.9</v>
      </c>
      <c r="P170" s="61">
        <f t="shared" si="44"/>
        <v>609.9</v>
      </c>
      <c r="Q170" s="61">
        <f t="shared" si="44"/>
        <v>309.5</v>
      </c>
      <c r="R170" s="61">
        <f t="shared" si="44"/>
        <v>296.09999999999997</v>
      </c>
      <c r="S170" s="61">
        <f t="shared" si="44"/>
        <v>329.4</v>
      </c>
      <c r="T170" s="61">
        <f t="shared" si="44"/>
        <v>330.45193038900265</v>
      </c>
      <c r="U170" s="61">
        <f t="shared" si="44"/>
        <v>341.68898819434486</v>
      </c>
      <c r="V170" s="61">
        <f t="shared" si="44"/>
        <v>380.10730706153493</v>
      </c>
      <c r="W170" s="61">
        <f t="shared" si="44"/>
        <v>223.33250774577903</v>
      </c>
      <c r="X170" s="61">
        <f t="shared" si="44"/>
        <v>232.21227655133615</v>
      </c>
      <c r="Y170" s="61">
        <f t="shared" si="44"/>
        <v>195.12410753666001</v>
      </c>
      <c r="Z170" s="61">
        <f t="shared" si="44"/>
        <v>231.84068366100735</v>
      </c>
      <c r="AA170" s="61">
        <f t="shared" si="44"/>
        <v>220.36392912547808</v>
      </c>
      <c r="AB170" s="61">
        <f t="shared" si="44"/>
        <v>155.95821415563432</v>
      </c>
      <c r="AC170" s="61">
        <f t="shared" si="44"/>
        <v>214.83624535315985</v>
      </c>
      <c r="AD170" s="61">
        <f t="shared" si="44"/>
        <v>223.5194294575241</v>
      </c>
      <c r="AE170" s="61">
        <f t="shared" si="44"/>
        <v>237.25044280442802</v>
      </c>
      <c r="AF170" s="61">
        <f t="shared" si="44"/>
        <v>283.54234527687299</v>
      </c>
      <c r="AG170" s="61">
        <f t="shared" si="44"/>
        <v>329.13415107659728</v>
      </c>
      <c r="AH170" s="61">
        <f t="shared" si="44"/>
        <v>401.86661954408902</v>
      </c>
      <c r="AI170" s="61">
        <f t="shared" si="44"/>
        <v>802.10872727272726</v>
      </c>
      <c r="AJ170" s="112">
        <f t="shared" si="44"/>
        <v>627.69184256249184</v>
      </c>
      <c r="AK170" s="61">
        <f t="shared" si="44"/>
        <v>0</v>
      </c>
      <c r="AL170" s="199">
        <f t="shared" si="44"/>
        <v>574.75889371243204</v>
      </c>
      <c r="AM170" s="113">
        <f t="shared" si="44"/>
        <v>504.17517239553626</v>
      </c>
      <c r="AN170" s="199">
        <f t="shared" si="44"/>
        <v>573.08302593915062</v>
      </c>
      <c r="AO170" s="113">
        <f t="shared" si="44"/>
        <v>535.12841328413288</v>
      </c>
      <c r="AP170" s="113">
        <f t="shared" ref="AP170:AW170" si="45">AP169+AP168</f>
        <v>563.99423109136205</v>
      </c>
      <c r="AQ170" s="113">
        <f t="shared" si="45"/>
        <v>488.06541746948267</v>
      </c>
      <c r="AR170" s="113">
        <f t="shared" si="45"/>
        <v>604.41831825204133</v>
      </c>
      <c r="AS170" s="113">
        <f t="shared" si="45"/>
        <v>617.14701035284179</v>
      </c>
      <c r="AT170" s="113">
        <f t="shared" si="45"/>
        <v>723.6762154475158</v>
      </c>
      <c r="AU170" s="113">
        <f t="shared" si="45"/>
        <v>810.44924965893586</v>
      </c>
      <c r="AV170" s="113">
        <f t="shared" si="45"/>
        <v>1035.1268817204302</v>
      </c>
      <c r="AW170" s="113">
        <f t="shared" si="45"/>
        <v>1001.5824542662571</v>
      </c>
      <c r="AX170" s="113">
        <f t="shared" ref="AX170" si="46">AX169+AX168</f>
        <v>1254.021109607578</v>
      </c>
      <c r="AY170" s="9" t="s">
        <v>31</v>
      </c>
      <c r="AZ170" s="9"/>
      <c r="BA170" s="9"/>
      <c r="BB170" s="9"/>
      <c r="BC170" s="9"/>
      <c r="BD170" s="9"/>
      <c r="BE170" s="9"/>
      <c r="BF170" s="9"/>
      <c r="BG170" s="9"/>
      <c r="BH170" s="9"/>
      <c r="BI170" s="9"/>
      <c r="BJ170" s="9"/>
      <c r="BK170" s="9"/>
      <c r="BL170" s="9"/>
      <c r="BM170" s="9"/>
      <c r="BN170" s="9"/>
      <c r="BO170" s="9"/>
      <c r="BP170" s="9"/>
      <c r="BQ170" s="9"/>
      <c r="BR170" s="33"/>
    </row>
    <row r="171" spans="1:85" ht="10.5" x14ac:dyDescent="0.25">
      <c r="A171" s="80" t="s">
        <v>368</v>
      </c>
      <c r="B171" s="80"/>
      <c r="C171" s="80"/>
      <c r="D171" s="130"/>
      <c r="E171" s="128">
        <v>332.4</v>
      </c>
      <c r="F171" s="128">
        <v>355.1</v>
      </c>
      <c r="G171" s="128">
        <v>350.3</v>
      </c>
      <c r="H171" s="128">
        <v>394.1</v>
      </c>
      <c r="I171" s="128">
        <v>451.2</v>
      </c>
      <c r="J171" s="128">
        <v>458.4</v>
      </c>
      <c r="K171" s="128">
        <v>468.4</v>
      </c>
      <c r="L171" s="128">
        <v>429.6</v>
      </c>
      <c r="M171" s="128">
        <v>361.5</v>
      </c>
      <c r="N171" s="128">
        <v>341.6</v>
      </c>
      <c r="O171" s="128">
        <v>331.3</v>
      </c>
      <c r="P171" s="128">
        <v>346.8</v>
      </c>
      <c r="Q171" s="128">
        <v>316.7</v>
      </c>
      <c r="R171" s="128">
        <v>286.60000000000002</v>
      </c>
      <c r="S171" s="128">
        <v>332.2</v>
      </c>
      <c r="T171" s="128">
        <v>335.1</v>
      </c>
      <c r="U171" s="128">
        <v>328.6</v>
      </c>
      <c r="V171" s="128">
        <v>352.4</v>
      </c>
      <c r="W171" s="128">
        <v>238.9</v>
      </c>
      <c r="X171" s="128">
        <v>232.5</v>
      </c>
      <c r="Y171" s="128">
        <v>224.2</v>
      </c>
      <c r="Z171" s="128">
        <v>217.2</v>
      </c>
      <c r="AA171" s="128">
        <v>238.6</v>
      </c>
      <c r="AB171" s="128">
        <v>241.96</v>
      </c>
      <c r="AC171" s="128">
        <v>241.1</v>
      </c>
      <c r="AD171" s="128">
        <v>240.7</v>
      </c>
      <c r="AE171" s="128">
        <v>255.9</v>
      </c>
      <c r="AF171" s="128">
        <v>273.89999999999998</v>
      </c>
      <c r="AG171" s="128">
        <v>280.7</v>
      </c>
      <c r="AH171" s="128">
        <v>311.7</v>
      </c>
      <c r="AI171" s="80">
        <v>294.89999999999998</v>
      </c>
      <c r="AJ171" s="80">
        <v>394.5</v>
      </c>
      <c r="AK171" s="128">
        <v>91</v>
      </c>
      <c r="AL171" s="200">
        <v>417</v>
      </c>
      <c r="AM171" s="90">
        <v>367.2</v>
      </c>
      <c r="AN171" s="180">
        <v>393</v>
      </c>
      <c r="AO171" s="90">
        <v>377.8</v>
      </c>
      <c r="AP171" s="90">
        <f>305.2+199.5</f>
        <v>504.7</v>
      </c>
      <c r="AQ171" s="247">
        <v>457.4</v>
      </c>
      <c r="AR171" s="247">
        <v>438</v>
      </c>
      <c r="AS171" s="247">
        <v>380</v>
      </c>
      <c r="AT171" s="247">
        <v>410.1</v>
      </c>
      <c r="AU171" s="247">
        <v>432</v>
      </c>
      <c r="AV171" s="247">
        <v>414</v>
      </c>
      <c r="AW171" s="247">
        <v>415</v>
      </c>
      <c r="AX171" s="247">
        <v>449</v>
      </c>
      <c r="AY171" s="80" t="s">
        <v>407</v>
      </c>
      <c r="AZ171" s="84"/>
      <c r="BA171" s="84"/>
      <c r="BB171" s="84"/>
      <c r="BC171" s="84"/>
      <c r="BD171" s="29"/>
      <c r="BE171" s="5"/>
      <c r="BH171" s="5"/>
      <c r="BI171" s="5" t="s">
        <v>377</v>
      </c>
      <c r="BJ171" s="5" t="s">
        <v>349</v>
      </c>
      <c r="BK171" s="5"/>
      <c r="BL171" s="5" t="s">
        <v>195</v>
      </c>
      <c r="BM171" s="5"/>
      <c r="BN171" s="5" t="s">
        <v>180</v>
      </c>
      <c r="BO171" s="5" t="s">
        <v>113</v>
      </c>
      <c r="BP171" s="5"/>
      <c r="BQ171" s="5"/>
      <c r="BR171" s="192"/>
      <c r="BS171" s="152"/>
      <c r="BT171" s="152"/>
      <c r="BU171" s="152"/>
      <c r="BV171" s="152"/>
      <c r="BW171" s="152"/>
      <c r="BX171" s="152"/>
      <c r="BY171" s="152"/>
      <c r="BZ171" s="152"/>
      <c r="CA171" s="152"/>
      <c r="CB171" s="152"/>
      <c r="CC171" s="152"/>
      <c r="CD171" s="152"/>
      <c r="CE171" s="152"/>
      <c r="CF171" s="152"/>
      <c r="CG171" s="152"/>
    </row>
    <row r="172" spans="1:85" x14ac:dyDescent="0.2">
      <c r="A172" s="91"/>
      <c r="B172" s="89"/>
      <c r="C172" s="89"/>
      <c r="D172" s="89"/>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89"/>
      <c r="AN172" s="89"/>
      <c r="AO172" s="56"/>
      <c r="AP172" s="56"/>
      <c r="AQ172" s="89"/>
      <c r="AR172" s="89"/>
      <c r="AS172" s="89"/>
      <c r="AT172" s="89"/>
      <c r="AU172" s="89"/>
      <c r="AV172" s="89"/>
      <c r="AW172" s="89"/>
      <c r="AX172" s="89"/>
      <c r="AY172" s="89"/>
      <c r="AZ172" s="89"/>
      <c r="BA172" s="89"/>
      <c r="BB172" s="89"/>
      <c r="BC172" s="89"/>
      <c r="BD172" s="5"/>
      <c r="BE172" s="5"/>
      <c r="BH172" s="5"/>
      <c r="BI172" s="5"/>
      <c r="BJ172" s="5"/>
      <c r="BK172" s="5"/>
      <c r="BL172" s="5"/>
      <c r="BM172" s="5"/>
      <c r="BN172" s="5"/>
      <c r="BO172" s="5"/>
      <c r="BP172" s="5"/>
      <c r="BQ172" s="5"/>
      <c r="BR172" s="192"/>
      <c r="BS172" s="152"/>
      <c r="BT172" s="152"/>
      <c r="BU172" s="152"/>
      <c r="BV172" s="152"/>
      <c r="BW172" s="152"/>
      <c r="BX172" s="152"/>
      <c r="BY172" s="152"/>
      <c r="BZ172" s="152"/>
      <c r="CA172" s="152"/>
      <c r="CB172" s="152"/>
      <c r="CC172" s="152"/>
      <c r="CD172" s="152"/>
      <c r="CE172" s="152"/>
      <c r="CF172" s="152"/>
      <c r="CG172" s="152"/>
    </row>
    <row r="173" spans="1:85" s="1" customFormat="1" ht="10.5" x14ac:dyDescent="0.25">
      <c r="A173" s="79" t="s">
        <v>1</v>
      </c>
      <c r="B173" s="80"/>
      <c r="C173" s="80"/>
      <c r="D173" s="80"/>
      <c r="E173" s="95">
        <f t="shared" ref="E173:AW173" si="47">E40+E55+E85+E120+E132+E168+E171+E91+E96+E101</f>
        <v>2744.9</v>
      </c>
      <c r="F173" s="95">
        <f t="shared" si="47"/>
        <v>2928.5</v>
      </c>
      <c r="G173" s="95">
        <f t="shared" si="47"/>
        <v>3121.1000000000004</v>
      </c>
      <c r="H173" s="95">
        <f t="shared" si="47"/>
        <v>3197.4999999999995</v>
      </c>
      <c r="I173" s="95">
        <f t="shared" si="47"/>
        <v>2202.7999999999997</v>
      </c>
      <c r="J173" s="95">
        <f t="shared" si="47"/>
        <v>1744.6</v>
      </c>
      <c r="K173" s="95">
        <f t="shared" si="47"/>
        <v>1695.85</v>
      </c>
      <c r="L173" s="95">
        <f t="shared" si="47"/>
        <v>1536.4</v>
      </c>
      <c r="M173" s="95">
        <f t="shared" si="47"/>
        <v>1383.7</v>
      </c>
      <c r="N173" s="95">
        <f t="shared" si="47"/>
        <v>1222.9000000000001</v>
      </c>
      <c r="O173" s="95">
        <f t="shared" si="47"/>
        <v>1398.85</v>
      </c>
      <c r="P173" s="95">
        <f t="shared" si="47"/>
        <v>1464.5</v>
      </c>
      <c r="Q173" s="95">
        <f t="shared" si="47"/>
        <v>1911</v>
      </c>
      <c r="R173" s="95">
        <f t="shared" si="47"/>
        <v>1848</v>
      </c>
      <c r="S173" s="95">
        <f t="shared" si="47"/>
        <v>1950.6000000000001</v>
      </c>
      <c r="T173" s="95">
        <f t="shared" si="47"/>
        <v>1544.9019303890027</v>
      </c>
      <c r="U173" s="95">
        <f t="shared" si="47"/>
        <v>1759.488988194345</v>
      </c>
      <c r="V173" s="95">
        <f t="shared" si="47"/>
        <v>1693.2573070615349</v>
      </c>
      <c r="W173" s="95">
        <f t="shared" si="47"/>
        <v>1414.6325077457793</v>
      </c>
      <c r="X173" s="95">
        <f t="shared" si="47"/>
        <v>1276.6722765513362</v>
      </c>
      <c r="Y173" s="95">
        <f t="shared" si="47"/>
        <v>1213.9641075366599</v>
      </c>
      <c r="Z173" s="95">
        <f t="shared" si="47"/>
        <v>1433.6264153683246</v>
      </c>
      <c r="AA173" s="95">
        <f t="shared" si="47"/>
        <v>1358.9312897202735</v>
      </c>
      <c r="AB173" s="95">
        <f t="shared" si="47"/>
        <v>1767.2310380759002</v>
      </c>
      <c r="AC173" s="95">
        <f t="shared" si="47"/>
        <v>1901.788849941554</v>
      </c>
      <c r="AD173" s="95">
        <f t="shared" si="47"/>
        <v>1904.6494294575241</v>
      </c>
      <c r="AE173" s="95">
        <f t="shared" si="47"/>
        <v>1941.4504428044279</v>
      </c>
      <c r="AF173" s="95">
        <f t="shared" si="47"/>
        <v>1871.242345276873</v>
      </c>
      <c r="AG173" s="95">
        <f t="shared" si="47"/>
        <v>2109.1191510765975</v>
      </c>
      <c r="AH173" s="95">
        <f t="shared" si="47"/>
        <v>2489.7525609405975</v>
      </c>
      <c r="AI173" s="95">
        <f t="shared" si="47"/>
        <v>2950.1087272727273</v>
      </c>
      <c r="AJ173" s="95">
        <f t="shared" si="47"/>
        <v>3580.8918425624915</v>
      </c>
      <c r="AK173" s="95">
        <f t="shared" si="47"/>
        <v>6912.1999999999989</v>
      </c>
      <c r="AL173" s="95">
        <f t="shared" si="47"/>
        <v>3652.7588937124319</v>
      </c>
      <c r="AM173" s="95">
        <f t="shared" si="47"/>
        <v>3079.7272438860859</v>
      </c>
      <c r="AN173" s="95">
        <f t="shared" si="47"/>
        <v>3268.1966443602746</v>
      </c>
      <c r="AO173" s="95">
        <f t="shared" si="47"/>
        <v>3211.7525026528992</v>
      </c>
      <c r="AP173" s="95">
        <f t="shared" si="47"/>
        <v>3674.135385777025</v>
      </c>
      <c r="AQ173" s="95">
        <f t="shared" si="47"/>
        <v>3454.3056961666234</v>
      </c>
      <c r="AR173" s="95">
        <f t="shared" si="47"/>
        <v>3915.6219212429883</v>
      </c>
      <c r="AS173" s="95">
        <f t="shared" si="47"/>
        <v>3818.3295964379163</v>
      </c>
      <c r="AT173" s="95">
        <f t="shared" si="47"/>
        <v>4336.2031228271944</v>
      </c>
      <c r="AU173" s="95">
        <f t="shared" si="47"/>
        <v>4589.2649283372075</v>
      </c>
      <c r="AV173" s="95">
        <f t="shared" si="47"/>
        <v>5279.2398604804812</v>
      </c>
      <c r="AW173" s="95">
        <f t="shared" si="47"/>
        <v>5298.0204416171018</v>
      </c>
      <c r="AX173" s="95">
        <f>AX40+AX55+AX85+AX120+AX132+AX168+AX171+AX91+AX96+AX101</f>
        <v>7406.6991469974782</v>
      </c>
      <c r="AY173" s="80" t="s">
        <v>1</v>
      </c>
      <c r="AZ173" s="80"/>
      <c r="BA173" s="80"/>
      <c r="BB173" s="80"/>
      <c r="BC173" s="80"/>
      <c r="BD173" s="11"/>
      <c r="BE173" s="11"/>
      <c r="BF173" s="29"/>
      <c r="BG173" s="29"/>
      <c r="BH173" s="11"/>
      <c r="BI173" s="11"/>
      <c r="BJ173" s="11"/>
      <c r="BK173" s="11"/>
      <c r="BL173" s="11"/>
      <c r="BM173" s="11"/>
      <c r="BN173" s="11"/>
      <c r="BO173" s="11"/>
      <c r="BP173" s="11"/>
      <c r="BQ173" s="11"/>
      <c r="BR173" s="30"/>
    </row>
    <row r="174" spans="1:85" s="1" customFormat="1" ht="10.5" x14ac:dyDescent="0.25">
      <c r="A174" s="103" t="s">
        <v>129</v>
      </c>
      <c r="B174" s="103"/>
      <c r="C174" s="103"/>
      <c r="D174" s="103"/>
      <c r="E174" s="104">
        <f t="shared" ref="E174:Q174" si="48">E133+E80+E63+E62+E61+E60+E59+E57</f>
        <v>0</v>
      </c>
      <c r="F174" s="104">
        <f t="shared" si="48"/>
        <v>0</v>
      </c>
      <c r="G174" s="104">
        <f t="shared" si="48"/>
        <v>0</v>
      </c>
      <c r="H174" s="104">
        <f t="shared" si="48"/>
        <v>0</v>
      </c>
      <c r="I174" s="104">
        <f t="shared" si="48"/>
        <v>0</v>
      </c>
      <c r="J174" s="104">
        <f t="shared" si="48"/>
        <v>0</v>
      </c>
      <c r="K174" s="104">
        <f t="shared" si="48"/>
        <v>0</v>
      </c>
      <c r="L174" s="104">
        <f t="shared" si="48"/>
        <v>0</v>
      </c>
      <c r="M174" s="104">
        <f t="shared" si="48"/>
        <v>0</v>
      </c>
      <c r="N174" s="104">
        <f t="shared" si="48"/>
        <v>0</v>
      </c>
      <c r="O174" s="104">
        <f t="shared" si="48"/>
        <v>0</v>
      </c>
      <c r="P174" s="104">
        <f t="shared" si="48"/>
        <v>0</v>
      </c>
      <c r="Q174" s="104">
        <f t="shared" si="48"/>
        <v>0</v>
      </c>
      <c r="R174" s="213">
        <f t="shared" ref="R174:AO174" si="49">R133+R134+R80+R63+R62+R61+R60+R59+R57</f>
        <v>0</v>
      </c>
      <c r="S174" s="213">
        <f t="shared" si="49"/>
        <v>214.1</v>
      </c>
      <c r="T174" s="213">
        <f t="shared" si="49"/>
        <v>205.5</v>
      </c>
      <c r="U174" s="213">
        <f t="shared" si="49"/>
        <v>240.60000000000002</v>
      </c>
      <c r="V174" s="213">
        <f t="shared" si="49"/>
        <v>256</v>
      </c>
      <c r="W174" s="213">
        <f t="shared" si="49"/>
        <v>154</v>
      </c>
      <c r="X174" s="213">
        <f t="shared" si="49"/>
        <v>169.6</v>
      </c>
      <c r="Y174" s="213">
        <f t="shared" si="49"/>
        <v>175.1</v>
      </c>
      <c r="Z174" s="213">
        <f t="shared" si="49"/>
        <v>189.8</v>
      </c>
      <c r="AA174" s="213">
        <f t="shared" si="49"/>
        <v>192.42000000000002</v>
      </c>
      <c r="AB174" s="213">
        <f t="shared" si="49"/>
        <v>234.1</v>
      </c>
      <c r="AC174" s="213">
        <f t="shared" si="49"/>
        <v>293.89999999999998</v>
      </c>
      <c r="AD174" s="213">
        <f t="shared" si="49"/>
        <v>287.5</v>
      </c>
      <c r="AE174" s="213">
        <f t="shared" si="49"/>
        <v>291.26666666666665</v>
      </c>
      <c r="AF174" s="213">
        <f t="shared" si="49"/>
        <v>292.10000000000002</v>
      </c>
      <c r="AG174" s="213">
        <f t="shared" si="49"/>
        <v>290.60000000000002</v>
      </c>
      <c r="AH174" s="213">
        <f t="shared" si="49"/>
        <v>269</v>
      </c>
      <c r="AI174" s="213">
        <f t="shared" si="49"/>
        <v>291.10000000000002</v>
      </c>
      <c r="AJ174" s="213">
        <f t="shared" si="49"/>
        <v>8028.3</v>
      </c>
      <c r="AK174" s="213">
        <f t="shared" si="49"/>
        <v>21945.200000000001</v>
      </c>
      <c r="AL174" s="213">
        <f t="shared" si="49"/>
        <v>312</v>
      </c>
      <c r="AM174" s="213">
        <f t="shared" si="49"/>
        <v>434.4</v>
      </c>
      <c r="AN174" s="240">
        <f t="shared" si="49"/>
        <v>150.9</v>
      </c>
      <c r="AO174" s="213">
        <f t="shared" si="49"/>
        <v>210</v>
      </c>
      <c r="AP174" s="213">
        <f>AP133+AP134+AP80+AP63+AP62+AP61+AP60+AP59+AP57+AP64</f>
        <v>278.2</v>
      </c>
      <c r="AQ174" s="213">
        <f t="shared" ref="AQ174:AW174" si="50">AQ133+AQ134+AQ80+AQ63+AQ62+AQ61+AQ60+AQ59+AQ57+AQ64+AQ65+AQ66+AQ67+AQ58</f>
        <v>291</v>
      </c>
      <c r="AR174" s="213">
        <f t="shared" si="50"/>
        <v>315</v>
      </c>
      <c r="AS174" s="213">
        <f t="shared" si="50"/>
        <v>1640.8</v>
      </c>
      <c r="AT174" s="213">
        <f t="shared" si="50"/>
        <v>365.9</v>
      </c>
      <c r="AU174" s="213">
        <f t="shared" si="50"/>
        <v>359.3</v>
      </c>
      <c r="AV174" s="213">
        <f t="shared" si="50"/>
        <v>446.5</v>
      </c>
      <c r="AW174" s="213">
        <f t="shared" si="50"/>
        <v>-1853.5</v>
      </c>
      <c r="AX174" s="213">
        <f>AX133+AX134+AX80+AX63+AX62+AX61+AX60+AX59+AX57+AX64+AX65+AX66+AX67+AX58</f>
        <v>1420.7</v>
      </c>
      <c r="AY174" s="103" t="s">
        <v>129</v>
      </c>
      <c r="AZ174" s="103"/>
      <c r="BA174" s="103"/>
      <c r="BB174" s="103"/>
      <c r="BC174" s="11"/>
      <c r="BD174" s="11"/>
      <c r="BE174" s="11"/>
      <c r="BF174" s="29"/>
      <c r="BG174" s="29"/>
      <c r="BH174" s="11"/>
      <c r="BI174" s="11"/>
      <c r="BJ174" s="11"/>
      <c r="BK174" s="11"/>
      <c r="BL174" s="11"/>
      <c r="BM174" s="11"/>
      <c r="BN174" s="11"/>
      <c r="BO174" s="11"/>
      <c r="BP174" s="11"/>
      <c r="BQ174" s="11"/>
      <c r="BR174" s="30"/>
    </row>
    <row r="175" spans="1:85" s="1" customFormat="1" ht="10.5" x14ac:dyDescent="0.25">
      <c r="A175" s="92"/>
      <c r="B175" s="93"/>
      <c r="C175" s="93"/>
      <c r="D175" s="93"/>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116"/>
      <c r="AB175" s="210"/>
      <c r="AC175" s="210"/>
      <c r="AD175" s="116"/>
      <c r="AE175" s="210"/>
      <c r="AF175" s="210"/>
      <c r="AG175" s="210"/>
      <c r="AH175" s="210"/>
      <c r="AI175" s="210"/>
      <c r="AJ175" s="211"/>
      <c r="AK175" s="211"/>
      <c r="AL175" s="210"/>
      <c r="AM175" s="210"/>
      <c r="AN175" s="210"/>
      <c r="AO175" s="77"/>
      <c r="AP175" s="77"/>
      <c r="AQ175" s="93"/>
      <c r="AR175" s="93"/>
      <c r="AS175" s="93"/>
      <c r="AT175" s="93"/>
      <c r="AU175" s="93"/>
      <c r="AV175" s="93"/>
      <c r="AW175" s="93"/>
      <c r="AX175" s="93"/>
      <c r="AY175" s="212"/>
      <c r="AZ175" s="93"/>
      <c r="BA175" s="93"/>
      <c r="BB175" s="189"/>
      <c r="BC175" s="93"/>
      <c r="BD175" s="136"/>
      <c r="BE175" s="11"/>
      <c r="BF175" s="139"/>
      <c r="BG175" s="29"/>
      <c r="BH175" s="11"/>
      <c r="BI175" s="11"/>
      <c r="BJ175" s="11"/>
      <c r="BK175" s="11"/>
      <c r="BL175" s="11"/>
      <c r="BM175" s="11"/>
      <c r="BN175" s="11"/>
      <c r="BO175" s="11"/>
      <c r="BP175" s="11"/>
      <c r="BQ175" s="11"/>
      <c r="BR175" s="30"/>
    </row>
    <row r="176" spans="1:85" x14ac:dyDescent="0.2">
      <c r="A176" s="18" t="s">
        <v>369</v>
      </c>
      <c r="E176" s="74"/>
      <c r="F176" s="74"/>
      <c r="G176" s="74"/>
      <c r="H176" s="74"/>
      <c r="I176" s="74"/>
      <c r="J176" s="74"/>
      <c r="K176" s="74"/>
      <c r="L176" s="74"/>
      <c r="M176" s="74"/>
      <c r="N176" s="74"/>
      <c r="O176" s="74"/>
      <c r="P176" s="74"/>
      <c r="Q176" s="74"/>
      <c r="R176" s="74"/>
      <c r="S176" s="74"/>
      <c r="T176" s="74"/>
      <c r="U176" s="75">
        <v>18.97</v>
      </c>
      <c r="V176" s="75">
        <v>9.6</v>
      </c>
      <c r="W176" s="74">
        <v>22.6</v>
      </c>
      <c r="X176" s="75">
        <v>19.899999999999999</v>
      </c>
      <c r="Y176" s="74">
        <v>17.8</v>
      </c>
      <c r="Z176" s="74">
        <v>16.3</v>
      </c>
      <c r="AA176" s="76">
        <f>15.6+0.355</f>
        <v>15.955</v>
      </c>
      <c r="AB176" s="74">
        <f>9.026+7.443</f>
        <v>16.469000000000001</v>
      </c>
      <c r="AC176" s="74">
        <v>16.8</v>
      </c>
      <c r="AD176" s="75">
        <v>16</v>
      </c>
      <c r="AE176" s="74">
        <v>14.7</v>
      </c>
      <c r="AF176" s="74"/>
      <c r="AG176" s="74"/>
      <c r="AH176" s="74"/>
      <c r="AI176" s="74"/>
      <c r="AJ176" s="203"/>
      <c r="AK176" s="54"/>
      <c r="AL176" s="54">
        <v>19.3</v>
      </c>
      <c r="AM176" s="54">
        <v>20.8</v>
      </c>
      <c r="AN176" s="177">
        <v>20.5</v>
      </c>
      <c r="AO176" s="54">
        <v>19.8</v>
      </c>
      <c r="AP176" s="54">
        <v>15.9</v>
      </c>
      <c r="AQ176" s="177">
        <v>14.9</v>
      </c>
      <c r="AR176" s="270">
        <v>18</v>
      </c>
      <c r="AS176" s="54">
        <v>18</v>
      </c>
      <c r="AT176" s="54">
        <v>18.899999999999999</v>
      </c>
      <c r="AU176" s="54">
        <v>22.9</v>
      </c>
      <c r="AV176" s="10">
        <v>26.8</v>
      </c>
      <c r="AW176" s="10">
        <v>26.8</v>
      </c>
      <c r="AX176" s="10">
        <v>30.5</v>
      </c>
      <c r="AY176" s="10" t="s">
        <v>408</v>
      </c>
      <c r="BH176" s="5"/>
      <c r="BI176" s="5" t="s">
        <v>357</v>
      </c>
      <c r="BJ176" s="5" t="s">
        <v>363</v>
      </c>
      <c r="BK176" s="5" t="s">
        <v>374</v>
      </c>
      <c r="BL176" s="5" t="s">
        <v>326</v>
      </c>
      <c r="BN176" s="10" t="s">
        <v>339</v>
      </c>
      <c r="BO176" s="10" t="s">
        <v>114</v>
      </c>
    </row>
    <row r="177" spans="1:70" x14ac:dyDescent="0.2">
      <c r="E177" s="74"/>
      <c r="F177" s="74"/>
      <c r="G177" s="74"/>
      <c r="H177" s="74"/>
      <c r="I177" s="74"/>
      <c r="J177" s="74"/>
      <c r="K177" s="74"/>
      <c r="L177" s="74"/>
      <c r="M177" s="74"/>
      <c r="N177" s="74"/>
      <c r="O177" s="74"/>
      <c r="P177" s="74"/>
      <c r="Q177" s="74"/>
      <c r="R177" s="74"/>
      <c r="S177" s="74"/>
      <c r="T177" s="74"/>
      <c r="U177" s="75"/>
      <c r="V177" s="75"/>
      <c r="W177" s="74"/>
      <c r="X177" s="75"/>
      <c r="Y177" s="74"/>
      <c r="Z177" s="74"/>
      <c r="AA177" s="76"/>
      <c r="AB177" s="74"/>
      <c r="AC177" s="74"/>
      <c r="AD177" s="75"/>
      <c r="AE177" s="74"/>
      <c r="AF177" s="74"/>
      <c r="AG177" s="74"/>
      <c r="AH177" s="74"/>
      <c r="AI177" s="74"/>
      <c r="AJ177" s="203"/>
      <c r="AK177" s="54"/>
      <c r="AL177" s="54"/>
      <c r="AM177" s="54"/>
      <c r="AN177" s="177"/>
      <c r="AO177" s="54"/>
      <c r="AP177" s="54"/>
      <c r="AQ177" s="177"/>
      <c r="AR177" s="124"/>
      <c r="AS177" s="54"/>
      <c r="AT177" s="54"/>
      <c r="AU177" s="54"/>
      <c r="AV177" s="10">
        <v>0</v>
      </c>
      <c r="AW177" s="10">
        <v>0</v>
      </c>
      <c r="AX177" s="10">
        <v>19.5</v>
      </c>
      <c r="AY177" s="10" t="s">
        <v>449</v>
      </c>
      <c r="BH177" s="5"/>
      <c r="BI177" s="5"/>
      <c r="BJ177" s="5"/>
      <c r="BK177" s="5"/>
      <c r="BL177" s="5"/>
    </row>
    <row r="178" spans="1:70" s="1" customFormat="1" ht="10.5" x14ac:dyDescent="0.25">
      <c r="A178" s="34"/>
      <c r="B178" s="10" t="s">
        <v>370</v>
      </c>
      <c r="C178" s="11"/>
      <c r="D178" s="11"/>
      <c r="E178" s="58"/>
      <c r="F178" s="58"/>
      <c r="G178" s="58"/>
      <c r="H178" s="58"/>
      <c r="I178" s="58"/>
      <c r="J178" s="58"/>
      <c r="K178" s="58"/>
      <c r="L178" s="58"/>
      <c r="M178" s="58"/>
      <c r="N178" s="58"/>
      <c r="O178" s="58"/>
      <c r="P178" s="58"/>
      <c r="Q178" s="58"/>
      <c r="R178" s="58"/>
      <c r="S178" s="58"/>
      <c r="T178" s="58"/>
      <c r="U178" s="59"/>
      <c r="V178" s="59"/>
      <c r="W178" s="54"/>
      <c r="X178" s="55"/>
      <c r="Y178" s="54"/>
      <c r="Z178" s="54">
        <v>7.7</v>
      </c>
      <c r="AA178" s="56">
        <v>0.35499999999999998</v>
      </c>
      <c r="AB178" s="54">
        <v>9</v>
      </c>
      <c r="AC178" s="54"/>
      <c r="AD178" s="55"/>
      <c r="AE178" s="54"/>
      <c r="AF178" s="54"/>
      <c r="AG178" s="54"/>
      <c r="AH178" s="54"/>
      <c r="AI178" s="54"/>
      <c r="AJ178" s="54"/>
      <c r="AK178" s="54"/>
      <c r="AL178" s="54"/>
      <c r="AM178" s="54"/>
      <c r="AN178" s="177"/>
      <c r="AO178" s="54"/>
      <c r="AP178" s="54">
        <v>19.3</v>
      </c>
      <c r="AQ178" s="177">
        <v>31.8</v>
      </c>
      <c r="AR178" s="124">
        <v>31.3</v>
      </c>
      <c r="AS178" s="54">
        <v>31</v>
      </c>
      <c r="AT178" s="54">
        <f>10.4+40+6.9</f>
        <v>57.3</v>
      </c>
      <c r="AU178" s="54">
        <f>10+8.5</f>
        <v>18.5</v>
      </c>
      <c r="AV178" s="10">
        <f>7+14.1</f>
        <v>21.1</v>
      </c>
      <c r="AW178" s="10">
        <f>7.6+12.6</f>
        <v>20.2</v>
      </c>
      <c r="AX178" s="10">
        <v>0</v>
      </c>
      <c r="AY178" s="10" t="s">
        <v>429</v>
      </c>
      <c r="AZ178" s="10"/>
      <c r="BA178" s="11"/>
      <c r="BB178" s="11"/>
      <c r="BC178" s="11"/>
      <c r="BD178" s="11"/>
      <c r="BE178" s="11"/>
      <c r="BF178" s="5"/>
      <c r="BG178" s="5"/>
      <c r="BH178" s="5"/>
      <c r="BI178" s="5"/>
      <c r="BJ178" s="5" t="s">
        <v>309</v>
      </c>
      <c r="BK178" s="10"/>
      <c r="BL178" s="10"/>
      <c r="BM178" s="10"/>
      <c r="BN178" s="10"/>
      <c r="BO178" s="10"/>
      <c r="BP178" s="11"/>
      <c r="BQ178" s="11"/>
      <c r="BR178" s="30"/>
    </row>
    <row r="179" spans="1:70" s="1" customFormat="1" ht="10.5" x14ac:dyDescent="0.25">
      <c r="A179" s="34"/>
      <c r="B179" s="10"/>
      <c r="C179" s="11"/>
      <c r="D179" s="11"/>
      <c r="E179" s="58"/>
      <c r="F179" s="58"/>
      <c r="G179" s="58"/>
      <c r="H179" s="58"/>
      <c r="I179" s="58"/>
      <c r="J179" s="58"/>
      <c r="K179" s="58"/>
      <c r="L179" s="58"/>
      <c r="M179" s="58"/>
      <c r="N179" s="58"/>
      <c r="O179" s="58"/>
      <c r="P179" s="58"/>
      <c r="Q179" s="58"/>
      <c r="R179" s="58"/>
      <c r="S179" s="58"/>
      <c r="T179" s="58"/>
      <c r="U179" s="59"/>
      <c r="V179" s="59"/>
      <c r="W179" s="54"/>
      <c r="X179" s="55"/>
      <c r="Y179" s="54"/>
      <c r="Z179" s="54"/>
      <c r="AA179" s="56"/>
      <c r="AB179" s="54"/>
      <c r="AC179" s="54"/>
      <c r="AD179" s="55"/>
      <c r="AE179" s="54"/>
      <c r="AF179" s="54"/>
      <c r="AG179" s="54"/>
      <c r="AH179" s="54"/>
      <c r="AI179" s="54"/>
      <c r="AJ179" s="54"/>
      <c r="AK179" s="54"/>
      <c r="AL179" s="54">
        <f>1.2+0.5</f>
        <v>1.7</v>
      </c>
      <c r="AM179" s="54">
        <f>0.7+0.8</f>
        <v>1.5</v>
      </c>
      <c r="AN179" s="177">
        <f>0.4+0.5</f>
        <v>0.9</v>
      </c>
      <c r="AO179" s="54">
        <f>0.4+0.5</f>
        <v>0.9</v>
      </c>
      <c r="AP179" s="54">
        <f>0.4+0.5</f>
        <v>0.9</v>
      </c>
      <c r="AQ179" s="54">
        <v>0</v>
      </c>
      <c r="AR179" s="177">
        <v>0</v>
      </c>
      <c r="AS179" s="54">
        <v>0</v>
      </c>
      <c r="AT179" s="54">
        <v>0</v>
      </c>
      <c r="AU179" s="54">
        <v>0</v>
      </c>
      <c r="AV179" s="10">
        <v>0</v>
      </c>
      <c r="AW179" s="10">
        <v>0</v>
      </c>
      <c r="AX179" s="10"/>
      <c r="AY179" s="10" t="s">
        <v>412</v>
      </c>
      <c r="AZ179" s="10"/>
      <c r="BA179" s="11"/>
      <c r="BB179" s="11"/>
      <c r="BC179" s="11"/>
      <c r="BD179" s="11"/>
      <c r="BE179" s="11"/>
      <c r="BF179" s="5"/>
      <c r="BG179" s="5"/>
      <c r="BH179" s="5"/>
      <c r="BI179" s="5"/>
      <c r="BJ179" s="5"/>
      <c r="BK179" s="10"/>
      <c r="BL179" s="10"/>
      <c r="BM179" s="10"/>
      <c r="BN179" s="10"/>
      <c r="BO179" s="10"/>
      <c r="BP179" s="11"/>
      <c r="BQ179" s="11"/>
      <c r="BR179" s="30"/>
    </row>
    <row r="180" spans="1:70" s="1" customFormat="1" ht="10.5" x14ac:dyDescent="0.25">
      <c r="A180" s="34"/>
      <c r="B180" s="10"/>
      <c r="C180" s="11"/>
      <c r="D180" s="11"/>
      <c r="E180" s="58"/>
      <c r="F180" s="58"/>
      <c r="G180" s="58"/>
      <c r="H180" s="58"/>
      <c r="I180" s="58"/>
      <c r="J180" s="58"/>
      <c r="K180" s="58"/>
      <c r="L180" s="58"/>
      <c r="M180" s="58"/>
      <c r="N180" s="58"/>
      <c r="O180" s="58"/>
      <c r="P180" s="58"/>
      <c r="Q180" s="58"/>
      <c r="R180" s="58"/>
      <c r="S180" s="58"/>
      <c r="T180" s="58"/>
      <c r="U180" s="59"/>
      <c r="V180" s="59"/>
      <c r="W180" s="54"/>
      <c r="X180" s="55"/>
      <c r="Y180" s="54"/>
      <c r="Z180" s="54"/>
      <c r="AA180" s="56"/>
      <c r="AB180" s="54"/>
      <c r="AC180" s="54"/>
      <c r="AD180" s="55"/>
      <c r="AE180" s="54"/>
      <c r="AF180" s="54"/>
      <c r="AG180" s="54"/>
      <c r="AH180" s="54"/>
      <c r="AI180" s="54"/>
      <c r="AJ180" s="54"/>
      <c r="AK180" s="54"/>
      <c r="AL180" s="54">
        <v>9.3000000000000007</v>
      </c>
      <c r="AM180" s="54">
        <v>9.3000000000000007</v>
      </c>
      <c r="AN180" s="177">
        <v>5.5</v>
      </c>
      <c r="AO180" s="54">
        <v>5.3</v>
      </c>
      <c r="AP180" s="54">
        <v>0</v>
      </c>
      <c r="AQ180" s="54">
        <v>0</v>
      </c>
      <c r="AR180" s="125">
        <v>0</v>
      </c>
      <c r="AS180" s="54">
        <v>0</v>
      </c>
      <c r="AT180" s="54">
        <v>0</v>
      </c>
      <c r="AU180" s="54">
        <v>0</v>
      </c>
      <c r="AV180" s="10">
        <v>0</v>
      </c>
      <c r="AW180" s="10">
        <v>0</v>
      </c>
      <c r="AX180" s="10"/>
      <c r="AY180" s="10" t="s">
        <v>147</v>
      </c>
      <c r="AZ180" s="10"/>
      <c r="BA180" s="11"/>
      <c r="BB180" s="11"/>
      <c r="BC180" s="11"/>
      <c r="BD180" s="11"/>
      <c r="BE180" s="11"/>
      <c r="BF180" s="5"/>
      <c r="BG180" s="5"/>
      <c r="BH180" s="5"/>
      <c r="BI180" s="5"/>
      <c r="BJ180" s="5"/>
      <c r="BK180" s="10"/>
      <c r="BL180" s="10"/>
      <c r="BM180" s="10"/>
      <c r="BN180" s="10"/>
      <c r="BO180" s="10"/>
      <c r="BP180" s="11"/>
      <c r="BQ180" s="11"/>
      <c r="BR180" s="30"/>
    </row>
    <row r="181" spans="1:70" s="1" customFormat="1" ht="10.5" x14ac:dyDescent="0.25">
      <c r="A181" s="11"/>
      <c r="B181" s="10"/>
      <c r="C181" s="11"/>
      <c r="D181" s="214"/>
      <c r="E181" s="206"/>
      <c r="F181" s="206"/>
      <c r="G181" s="206"/>
      <c r="H181" s="206"/>
      <c r="I181" s="206"/>
      <c r="J181" s="206"/>
      <c r="K181" s="206"/>
      <c r="L181" s="206"/>
      <c r="M181" s="206"/>
      <c r="N181" s="206"/>
      <c r="O181" s="206"/>
      <c r="P181" s="206"/>
      <c r="Q181" s="206"/>
      <c r="R181" s="206"/>
      <c r="S181" s="206"/>
      <c r="T181" s="206"/>
      <c r="U181" s="207"/>
      <c r="V181" s="207"/>
      <c r="W181" s="87"/>
      <c r="X181" s="209"/>
      <c r="Y181" s="87"/>
      <c r="Z181" s="87"/>
      <c r="AA181" s="208"/>
      <c r="AB181" s="87"/>
      <c r="AC181" s="87"/>
      <c r="AD181" s="209"/>
      <c r="AE181" s="87"/>
      <c r="AF181" s="87"/>
      <c r="AG181" s="87"/>
      <c r="AH181" s="87"/>
      <c r="AI181" s="87"/>
      <c r="AJ181" s="87"/>
      <c r="AK181" s="87"/>
      <c r="AL181" s="206">
        <f t="shared" ref="AL181:AV181" si="51">SUM(AL176:AL180)</f>
        <v>30.3</v>
      </c>
      <c r="AM181" s="206">
        <f t="shared" si="51"/>
        <v>31.6</v>
      </c>
      <c r="AN181" s="241">
        <f t="shared" si="51"/>
        <v>26.9</v>
      </c>
      <c r="AO181" s="58">
        <f t="shared" si="51"/>
        <v>26</v>
      </c>
      <c r="AP181" s="58">
        <f t="shared" si="51"/>
        <v>36.1</v>
      </c>
      <c r="AQ181" s="58">
        <f t="shared" si="51"/>
        <v>46.7</v>
      </c>
      <c r="AR181" s="174">
        <f t="shared" si="51"/>
        <v>49.3</v>
      </c>
      <c r="AS181" s="58">
        <f t="shared" si="51"/>
        <v>49</v>
      </c>
      <c r="AT181" s="58">
        <f t="shared" si="51"/>
        <v>76.199999999999989</v>
      </c>
      <c r="AU181" s="58">
        <f t="shared" si="51"/>
        <v>41.4</v>
      </c>
      <c r="AV181" s="58">
        <f t="shared" si="51"/>
        <v>47.900000000000006</v>
      </c>
      <c r="AW181" s="58">
        <f>SUM(AW176:AW180)</f>
        <v>47</v>
      </c>
      <c r="AX181" s="58">
        <f>SUM(AX176:AX180)</f>
        <v>50</v>
      </c>
      <c r="AY181" s="11" t="s">
        <v>146</v>
      </c>
      <c r="AZ181" s="10"/>
      <c r="BA181" s="11"/>
      <c r="BB181" s="11"/>
      <c r="BC181" s="11"/>
      <c r="BD181" s="11"/>
      <c r="BE181" s="11"/>
      <c r="BF181" s="5"/>
      <c r="BG181" s="5"/>
      <c r="BH181" s="5"/>
      <c r="BI181" s="5"/>
      <c r="BJ181" s="5"/>
      <c r="BK181" s="10"/>
      <c r="BL181" s="10"/>
      <c r="BM181" s="10"/>
      <c r="BN181" s="10"/>
      <c r="BO181" s="10"/>
      <c r="BP181" s="11"/>
      <c r="BQ181" s="11"/>
      <c r="BR181" s="30"/>
    </row>
    <row r="182" spans="1:70" x14ac:dyDescent="0.2">
      <c r="A182" s="89"/>
      <c r="B182" s="89"/>
      <c r="C182" s="89"/>
      <c r="D182" s="89"/>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c r="AN182" s="116"/>
      <c r="AO182" s="56"/>
      <c r="AP182" s="56"/>
      <c r="AQ182" s="286"/>
      <c r="AR182" s="116"/>
      <c r="AY182" s="293"/>
      <c r="BB182" s="292"/>
      <c r="BC182" s="292"/>
    </row>
    <row r="183" spans="1:70" ht="10.5" x14ac:dyDescent="0.25">
      <c r="A183" s="18" t="s">
        <v>371</v>
      </c>
      <c r="E183" s="54">
        <v>180.4</v>
      </c>
      <c r="F183" s="54">
        <v>204.7</v>
      </c>
      <c r="G183" s="54">
        <v>224.85</v>
      </c>
      <c r="H183" s="54">
        <v>227.5</v>
      </c>
      <c r="I183" s="54">
        <v>253.95</v>
      </c>
      <c r="J183" s="54">
        <v>295.10000000000002</v>
      </c>
      <c r="K183" s="54">
        <v>335.5</v>
      </c>
      <c r="L183" s="54">
        <v>410.8</v>
      </c>
      <c r="M183" s="54">
        <v>429.6</v>
      </c>
      <c r="N183" s="54">
        <v>532</v>
      </c>
      <c r="O183" s="54">
        <v>559.5</v>
      </c>
      <c r="P183" s="54">
        <v>545.9</v>
      </c>
      <c r="Q183" s="54">
        <v>564.1</v>
      </c>
      <c r="R183" s="54">
        <v>705.8</v>
      </c>
      <c r="S183" s="54">
        <v>760.4</v>
      </c>
      <c r="T183" s="54">
        <v>851.9</v>
      </c>
      <c r="U183" s="55">
        <v>757.8</v>
      </c>
      <c r="V183" s="55">
        <v>713.7</v>
      </c>
      <c r="W183" s="54">
        <v>774.3</v>
      </c>
      <c r="X183" s="55">
        <v>649.70000000000005</v>
      </c>
      <c r="Y183" s="54">
        <v>651.79999999999995</v>
      </c>
      <c r="Z183" s="54">
        <v>783.2</v>
      </c>
      <c r="AA183" s="56">
        <v>755.6</v>
      </c>
      <c r="AB183" s="54">
        <v>973.8</v>
      </c>
      <c r="AC183" s="54">
        <v>979.56</v>
      </c>
      <c r="AD183" s="55">
        <v>1001.9</v>
      </c>
      <c r="AE183" s="54">
        <v>772.6</v>
      </c>
      <c r="AF183" s="54">
        <v>853.6</v>
      </c>
      <c r="AG183" s="54">
        <v>933.9</v>
      </c>
      <c r="AH183" s="54">
        <v>1096.4000000000001</v>
      </c>
      <c r="AI183" s="54">
        <v>1253</v>
      </c>
      <c r="AJ183" s="54">
        <v>1536</v>
      </c>
      <c r="AK183" s="54">
        <v>555</v>
      </c>
      <c r="AL183" s="54">
        <v>1599</v>
      </c>
      <c r="AM183" s="54">
        <v>1487</v>
      </c>
      <c r="AN183" s="54">
        <v>1493.4</v>
      </c>
      <c r="AO183" s="54">
        <v>1551.3</v>
      </c>
      <c r="AP183" s="54">
        <v>1610</v>
      </c>
      <c r="AQ183" s="54">
        <v>1682.9</v>
      </c>
      <c r="AR183" s="270">
        <v>1849</v>
      </c>
      <c r="AS183" s="54">
        <v>1871.5</v>
      </c>
      <c r="AT183" s="54">
        <v>2090</v>
      </c>
      <c r="AU183" s="54">
        <v>2166</v>
      </c>
      <c r="AV183" s="10">
        <v>2213</v>
      </c>
      <c r="AW183" s="10">
        <v>2245</v>
      </c>
      <c r="AX183" s="10">
        <v>2300</v>
      </c>
      <c r="AY183" s="10" t="s">
        <v>371</v>
      </c>
      <c r="BD183" s="11"/>
      <c r="BI183" s="10" t="s">
        <v>135</v>
      </c>
      <c r="BJ183" s="10" t="s">
        <v>367</v>
      </c>
      <c r="BK183" s="10" t="s">
        <v>249</v>
      </c>
      <c r="BL183" s="10" t="s">
        <v>265</v>
      </c>
      <c r="BM183" s="10" t="s">
        <v>208</v>
      </c>
      <c r="BN183" s="10" t="s">
        <v>340</v>
      </c>
      <c r="BO183" s="10" t="s">
        <v>115</v>
      </c>
      <c r="BP183" s="10" t="s">
        <v>283</v>
      </c>
    </row>
    <row r="184" spans="1:70" ht="10.5" x14ac:dyDescent="0.25">
      <c r="A184" s="18" t="s">
        <v>372</v>
      </c>
      <c r="E184" s="54">
        <v>406.2</v>
      </c>
      <c r="F184" s="54">
        <v>431</v>
      </c>
      <c r="G184" s="54">
        <v>469.9</v>
      </c>
      <c r="H184" s="54">
        <v>516.9</v>
      </c>
      <c r="I184" s="54">
        <v>529.4</v>
      </c>
      <c r="J184" s="54">
        <v>534.5</v>
      </c>
      <c r="K184" s="54">
        <v>635.4</v>
      </c>
      <c r="L184" s="54">
        <v>721.8</v>
      </c>
      <c r="M184" s="54">
        <v>649.29999999999995</v>
      </c>
      <c r="N184" s="54">
        <v>701.6</v>
      </c>
      <c r="O184" s="54">
        <v>804.7</v>
      </c>
      <c r="P184" s="54">
        <v>913.3</v>
      </c>
      <c r="Q184" s="54">
        <v>1084.2</v>
      </c>
      <c r="R184" s="54">
        <v>1138.8</v>
      </c>
      <c r="S184" s="54">
        <v>1458.8</v>
      </c>
      <c r="T184" s="54">
        <v>1406.5</v>
      </c>
      <c r="U184" s="55">
        <v>1604.5</v>
      </c>
      <c r="V184" s="55">
        <v>969.2</v>
      </c>
      <c r="W184" s="54">
        <v>965.8</v>
      </c>
      <c r="X184" s="55">
        <v>996</v>
      </c>
      <c r="Y184" s="66"/>
      <c r="Z184" s="66"/>
      <c r="AI184" s="54"/>
      <c r="AJ184" s="54"/>
      <c r="AK184" s="54"/>
      <c r="AL184" s="54"/>
      <c r="AM184" s="54"/>
      <c r="AN184" s="54"/>
      <c r="AO184" s="54"/>
      <c r="AP184" s="54"/>
      <c r="AQ184" s="54"/>
      <c r="AR184" s="177"/>
      <c r="AS184" s="54"/>
      <c r="AT184" s="54"/>
      <c r="AU184" s="54"/>
      <c r="AY184" s="10" t="s">
        <v>372</v>
      </c>
    </row>
    <row r="185" spans="1:70" ht="10.5" x14ac:dyDescent="0.25">
      <c r="A185" s="18" t="s">
        <v>82</v>
      </c>
      <c r="E185" s="54">
        <v>161.6</v>
      </c>
      <c r="F185" s="54">
        <v>177.2</v>
      </c>
      <c r="G185" s="54">
        <v>191.35</v>
      </c>
      <c r="H185" s="54">
        <v>252.8</v>
      </c>
      <c r="I185" s="54">
        <v>218.65</v>
      </c>
      <c r="J185" s="54">
        <v>193.6</v>
      </c>
      <c r="K185" s="54">
        <v>289.5</v>
      </c>
      <c r="L185" s="54">
        <v>299.10000000000002</v>
      </c>
      <c r="M185" s="54">
        <v>294.5</v>
      </c>
      <c r="N185" s="54">
        <v>330.4</v>
      </c>
      <c r="O185" s="54">
        <v>417.5</v>
      </c>
      <c r="P185" s="54">
        <v>417.7</v>
      </c>
      <c r="Q185" s="54">
        <v>440.9</v>
      </c>
      <c r="R185" s="54">
        <v>547.79999999999995</v>
      </c>
      <c r="S185" s="54">
        <v>535.6</v>
      </c>
      <c r="T185" s="54">
        <v>544.5</v>
      </c>
      <c r="U185" s="55">
        <v>588.4</v>
      </c>
      <c r="V185" s="55">
        <v>710.4</v>
      </c>
      <c r="W185" s="54">
        <v>559.9</v>
      </c>
      <c r="X185" s="55">
        <v>596.4</v>
      </c>
      <c r="Y185" s="66"/>
      <c r="Z185" s="66"/>
      <c r="AI185" s="54"/>
      <c r="AJ185" s="54"/>
      <c r="AK185" s="54"/>
      <c r="AL185" s="54"/>
      <c r="AM185" s="54"/>
      <c r="AN185" s="54"/>
      <c r="AO185" s="54"/>
      <c r="AP185" s="54"/>
      <c r="AQ185" s="269"/>
      <c r="AR185" s="309"/>
      <c r="AS185" s="54"/>
      <c r="AT185" s="54"/>
      <c r="AU185" s="54"/>
      <c r="AY185" s="10" t="s">
        <v>82</v>
      </c>
    </row>
    <row r="186" spans="1:70" s="1" customFormat="1" ht="10.5" x14ac:dyDescent="0.25">
      <c r="A186" s="34" t="s">
        <v>83</v>
      </c>
      <c r="B186" s="11"/>
      <c r="C186" s="11"/>
      <c r="D186" s="11"/>
      <c r="E186" s="58">
        <f t="shared" ref="E186:AH186" si="52">SUM(E183:E185)</f>
        <v>748.2</v>
      </c>
      <c r="F186" s="58">
        <f t="shared" si="52"/>
        <v>812.90000000000009</v>
      </c>
      <c r="G186" s="58">
        <f t="shared" si="52"/>
        <v>886.1</v>
      </c>
      <c r="H186" s="58">
        <f t="shared" si="52"/>
        <v>997.2</v>
      </c>
      <c r="I186" s="58">
        <f t="shared" si="52"/>
        <v>1001.9999999999999</v>
      </c>
      <c r="J186" s="58">
        <f t="shared" si="52"/>
        <v>1023.2</v>
      </c>
      <c r="K186" s="58">
        <f t="shared" si="52"/>
        <v>1260.4000000000001</v>
      </c>
      <c r="L186" s="58">
        <f t="shared" si="52"/>
        <v>1431.6999999999998</v>
      </c>
      <c r="M186" s="58">
        <f t="shared" si="52"/>
        <v>1373.4</v>
      </c>
      <c r="N186" s="58">
        <f t="shared" si="52"/>
        <v>1564</v>
      </c>
      <c r="O186" s="58">
        <f t="shared" si="52"/>
        <v>1781.7</v>
      </c>
      <c r="P186" s="58">
        <f t="shared" si="52"/>
        <v>1876.8999999999999</v>
      </c>
      <c r="Q186" s="58">
        <f t="shared" si="52"/>
        <v>2089.2000000000003</v>
      </c>
      <c r="R186" s="58">
        <f t="shared" si="52"/>
        <v>2392.3999999999996</v>
      </c>
      <c r="S186" s="58">
        <f t="shared" si="52"/>
        <v>2754.7999999999997</v>
      </c>
      <c r="T186" s="58">
        <f t="shared" si="52"/>
        <v>2802.9</v>
      </c>
      <c r="U186" s="59">
        <f t="shared" si="52"/>
        <v>2950.7000000000003</v>
      </c>
      <c r="V186" s="59">
        <f t="shared" si="52"/>
        <v>2393.3000000000002</v>
      </c>
      <c r="W186" s="58">
        <f t="shared" si="52"/>
        <v>2300</v>
      </c>
      <c r="X186" s="59">
        <f t="shared" si="52"/>
        <v>2242.1</v>
      </c>
      <c r="Y186" s="58">
        <f t="shared" si="52"/>
        <v>651.79999999999995</v>
      </c>
      <c r="Z186" s="58">
        <f t="shared" si="52"/>
        <v>783.2</v>
      </c>
      <c r="AA186" s="77">
        <f t="shared" si="52"/>
        <v>755.6</v>
      </c>
      <c r="AB186" s="58">
        <f t="shared" si="52"/>
        <v>973.8</v>
      </c>
      <c r="AC186" s="58">
        <f t="shared" si="52"/>
        <v>979.56</v>
      </c>
      <c r="AD186" s="59">
        <f t="shared" si="52"/>
        <v>1001.9</v>
      </c>
      <c r="AE186" s="58">
        <f t="shared" si="52"/>
        <v>772.6</v>
      </c>
      <c r="AF186" s="58">
        <f t="shared" si="52"/>
        <v>853.6</v>
      </c>
      <c r="AG186" s="58">
        <f t="shared" si="52"/>
        <v>933.9</v>
      </c>
      <c r="AH186" s="58">
        <f t="shared" si="52"/>
        <v>1096.4000000000001</v>
      </c>
      <c r="AI186" s="58">
        <f t="shared" ref="AI186:AN186" si="53">SUM(AI183:AI185)</f>
        <v>1253</v>
      </c>
      <c r="AJ186" s="58">
        <f t="shared" si="53"/>
        <v>1536</v>
      </c>
      <c r="AK186" s="58">
        <f t="shared" si="53"/>
        <v>555</v>
      </c>
      <c r="AL186" s="58">
        <f t="shared" si="53"/>
        <v>1599</v>
      </c>
      <c r="AM186" s="58">
        <f t="shared" si="53"/>
        <v>1487</v>
      </c>
      <c r="AN186" s="58">
        <f t="shared" si="53"/>
        <v>1493.4</v>
      </c>
      <c r="AO186" s="58">
        <f t="shared" ref="AO186:AX186" si="54">SUM(AO183:AO185)</f>
        <v>1551.3</v>
      </c>
      <c r="AP186" s="58">
        <f t="shared" si="54"/>
        <v>1610</v>
      </c>
      <c r="AQ186" s="58">
        <f t="shared" si="54"/>
        <v>1682.9</v>
      </c>
      <c r="AR186" s="174">
        <f t="shared" si="54"/>
        <v>1849</v>
      </c>
      <c r="AS186" s="58">
        <f t="shared" si="54"/>
        <v>1871.5</v>
      </c>
      <c r="AT186" s="58">
        <f t="shared" si="54"/>
        <v>2090</v>
      </c>
      <c r="AU186" s="58">
        <f t="shared" si="54"/>
        <v>2166</v>
      </c>
      <c r="AV186" s="58">
        <f t="shared" si="54"/>
        <v>2213</v>
      </c>
      <c r="AW186" s="58">
        <f t="shared" si="54"/>
        <v>2245</v>
      </c>
      <c r="AX186" s="58">
        <f t="shared" si="54"/>
        <v>2300</v>
      </c>
      <c r="AY186" s="11" t="s">
        <v>83</v>
      </c>
      <c r="AZ186" s="11"/>
      <c r="BA186" s="11"/>
      <c r="BB186" s="11"/>
      <c r="BC186" s="11"/>
      <c r="BD186" s="11"/>
      <c r="BE186" s="11"/>
      <c r="BF186" s="5"/>
      <c r="BG186" s="29"/>
      <c r="BH186" s="11"/>
      <c r="BI186" s="11"/>
      <c r="BJ186" s="11"/>
      <c r="BK186" s="11"/>
      <c r="BL186" s="11"/>
      <c r="BM186" s="11"/>
      <c r="BN186" s="11"/>
      <c r="BO186" s="11"/>
      <c r="BP186" s="11"/>
      <c r="BQ186" s="11"/>
      <c r="BR186" s="30"/>
    </row>
    <row r="187" spans="1:70" ht="10.5" x14ac:dyDescent="0.25">
      <c r="AI187" s="54"/>
      <c r="AJ187" s="54"/>
      <c r="AK187" s="54"/>
      <c r="AL187" s="70"/>
      <c r="AM187" s="70"/>
      <c r="AN187" s="70"/>
      <c r="AO187" s="70"/>
      <c r="AP187" s="243"/>
      <c r="AQ187" s="287"/>
      <c r="AR187" s="287"/>
      <c r="AS187" s="243"/>
      <c r="AT187" s="243"/>
      <c r="AU187" s="243"/>
      <c r="AV187" s="137"/>
      <c r="AW187" s="137"/>
      <c r="AX187" s="137"/>
      <c r="AY187" s="53"/>
      <c r="BD187" s="11"/>
    </row>
    <row r="188" spans="1:70" x14ac:dyDescent="0.2">
      <c r="A188" s="18" t="s">
        <v>84</v>
      </c>
      <c r="AI188" s="54"/>
      <c r="AJ188" s="54"/>
      <c r="AK188" s="54"/>
      <c r="AL188" s="54"/>
      <c r="AM188" s="54"/>
      <c r="AN188" s="54"/>
      <c r="AO188" s="54"/>
      <c r="AP188" s="54"/>
      <c r="AR188" s="311">
        <f>AR173+AR183</f>
        <v>5764.6219212429878</v>
      </c>
      <c r="AS188" s="54"/>
      <c r="AT188" s="54"/>
      <c r="AU188" s="54"/>
      <c r="AY188" s="10" t="s">
        <v>84</v>
      </c>
    </row>
    <row r="189" spans="1:70" x14ac:dyDescent="0.2">
      <c r="B189" s="10" t="s">
        <v>85</v>
      </c>
      <c r="E189" s="54">
        <v>0</v>
      </c>
      <c r="F189" s="54">
        <v>0</v>
      </c>
      <c r="G189" s="54">
        <v>0</v>
      </c>
      <c r="H189" s="54">
        <v>0</v>
      </c>
      <c r="I189" s="54">
        <v>0</v>
      </c>
      <c r="J189" s="54">
        <v>0</v>
      </c>
      <c r="K189" s="54">
        <v>0</v>
      </c>
      <c r="L189" s="54">
        <v>0</v>
      </c>
      <c r="M189" s="54">
        <v>0</v>
      </c>
      <c r="N189" s="54">
        <v>0</v>
      </c>
      <c r="O189" s="54">
        <v>0</v>
      </c>
      <c r="P189" s="54">
        <v>0</v>
      </c>
      <c r="Q189" s="54">
        <v>0</v>
      </c>
      <c r="R189" s="54">
        <v>0</v>
      </c>
      <c r="S189" s="54">
        <v>0</v>
      </c>
      <c r="T189" s="54">
        <v>0</v>
      </c>
      <c r="U189" s="55">
        <v>141.1</v>
      </c>
      <c r="V189" s="55">
        <v>120.2</v>
      </c>
      <c r="W189" s="54">
        <v>114.4</v>
      </c>
      <c r="X189" s="55">
        <v>0</v>
      </c>
      <c r="AI189" s="54"/>
      <c r="AJ189" s="54"/>
      <c r="AK189" s="54"/>
      <c r="AL189" s="54"/>
      <c r="AM189" s="54"/>
      <c r="AN189" s="54"/>
      <c r="AO189" s="54"/>
      <c r="AP189" s="54"/>
      <c r="AQ189" s="261"/>
      <c r="AR189" s="261"/>
      <c r="AS189" s="54"/>
      <c r="AT189" s="54"/>
      <c r="AU189" s="54"/>
      <c r="AZ189" s="10" t="s">
        <v>85</v>
      </c>
    </row>
    <row r="190" spans="1:70" x14ac:dyDescent="0.2">
      <c r="B190" s="10" t="s">
        <v>86</v>
      </c>
      <c r="E190" s="54">
        <v>0</v>
      </c>
      <c r="F190" s="54">
        <v>0</v>
      </c>
      <c r="G190" s="54">
        <v>0</v>
      </c>
      <c r="H190" s="54">
        <v>0</v>
      </c>
      <c r="I190" s="54">
        <v>0</v>
      </c>
      <c r="J190" s="54">
        <v>0</v>
      </c>
      <c r="K190" s="54">
        <v>0</v>
      </c>
      <c r="L190" s="54">
        <v>0</v>
      </c>
      <c r="M190" s="54">
        <v>0</v>
      </c>
      <c r="N190" s="54">
        <v>0</v>
      </c>
      <c r="O190" s="54">
        <f>SUM(AL176:AL179)</f>
        <v>21</v>
      </c>
      <c r="P190" s="54">
        <v>0</v>
      </c>
      <c r="Q190" s="54">
        <v>0</v>
      </c>
      <c r="R190" s="54">
        <v>0</v>
      </c>
      <c r="S190" s="54">
        <v>0</v>
      </c>
      <c r="T190" s="54">
        <v>0</v>
      </c>
      <c r="U190" s="55">
        <v>14.7</v>
      </c>
      <c r="V190" s="55">
        <v>17.2</v>
      </c>
      <c r="W190" s="54">
        <v>13.4</v>
      </c>
      <c r="X190" s="55">
        <v>0</v>
      </c>
      <c r="AI190" s="54"/>
      <c r="AJ190" s="54"/>
      <c r="AK190" s="54"/>
      <c r="AL190" s="54"/>
      <c r="AM190" s="54"/>
      <c r="AN190" s="54"/>
      <c r="AO190" s="54"/>
      <c r="AP190" s="54"/>
      <c r="AQ190" s="177"/>
      <c r="AR190" s="177"/>
      <c r="AS190" s="54"/>
      <c r="AT190" s="54"/>
      <c r="AU190" s="54"/>
      <c r="AZ190" s="10" t="s">
        <v>86</v>
      </c>
    </row>
    <row r="191" spans="1:70" x14ac:dyDescent="0.2">
      <c r="B191" s="10" t="s">
        <v>87</v>
      </c>
      <c r="E191" s="54">
        <v>0</v>
      </c>
      <c r="F191" s="54">
        <v>0</v>
      </c>
      <c r="G191" s="54">
        <v>0</v>
      </c>
      <c r="H191" s="54">
        <v>0</v>
      </c>
      <c r="I191" s="54">
        <v>0</v>
      </c>
      <c r="J191" s="54">
        <v>0</v>
      </c>
      <c r="K191" s="54">
        <v>0</v>
      </c>
      <c r="L191" s="54">
        <v>0</v>
      </c>
      <c r="N191" s="54">
        <v>0</v>
      </c>
      <c r="O191" s="54">
        <v>0</v>
      </c>
      <c r="P191" s="54">
        <v>0</v>
      </c>
      <c r="Q191" s="54">
        <v>0</v>
      </c>
      <c r="R191" s="54">
        <v>10.4</v>
      </c>
      <c r="S191" s="54">
        <v>12.3</v>
      </c>
      <c r="T191" s="54">
        <v>12.3</v>
      </c>
      <c r="U191" s="55">
        <v>9.6</v>
      </c>
      <c r="V191" s="55">
        <v>0</v>
      </c>
      <c r="W191" s="54">
        <v>0</v>
      </c>
      <c r="X191" s="55">
        <v>0</v>
      </c>
      <c r="AI191" s="54"/>
      <c r="AJ191" s="54"/>
      <c r="AK191" s="54"/>
      <c r="AL191" s="54"/>
      <c r="AM191" s="54"/>
      <c r="AN191" s="54"/>
      <c r="AO191" s="54"/>
      <c r="AP191" s="54"/>
      <c r="AQ191" s="177"/>
      <c r="AR191" s="177"/>
      <c r="AS191" s="54"/>
      <c r="AT191" s="54"/>
      <c r="AU191" s="54"/>
      <c r="AZ191" s="10" t="s">
        <v>87</v>
      </c>
    </row>
    <row r="192" spans="1:70" x14ac:dyDescent="0.2">
      <c r="B192" s="10" t="s">
        <v>88</v>
      </c>
      <c r="E192" s="54">
        <v>158.1</v>
      </c>
      <c r="F192" s="54">
        <v>158.5</v>
      </c>
      <c r="G192" s="54">
        <v>169.3</v>
      </c>
      <c r="H192" s="54">
        <v>165.7</v>
      </c>
      <c r="I192" s="54">
        <v>170.7</v>
      </c>
      <c r="J192" s="54">
        <v>143.19999999999999</v>
      </c>
      <c r="K192" s="54">
        <v>183.3</v>
      </c>
      <c r="L192" s="54">
        <v>187.7</v>
      </c>
      <c r="M192" s="54">
        <v>178</v>
      </c>
      <c r="N192" s="54">
        <v>192</v>
      </c>
      <c r="O192" s="54">
        <v>267.8</v>
      </c>
      <c r="P192" s="54">
        <v>255.7</v>
      </c>
      <c r="Q192" s="54">
        <v>305.39999999999998</v>
      </c>
      <c r="R192" s="54">
        <v>390.6</v>
      </c>
      <c r="S192" s="54">
        <v>352.4</v>
      </c>
      <c r="T192" s="54">
        <v>352.2</v>
      </c>
      <c r="U192" s="55">
        <v>395.2</v>
      </c>
      <c r="V192" s="55">
        <v>418.5</v>
      </c>
      <c r="W192" s="54">
        <v>411</v>
      </c>
      <c r="X192" s="55">
        <v>389.1</v>
      </c>
      <c r="Y192" s="54">
        <v>395.7</v>
      </c>
      <c r="Z192" s="54">
        <v>425.9</v>
      </c>
      <c r="AA192" s="56">
        <v>421.8</v>
      </c>
      <c r="AB192" s="54">
        <v>470.1</v>
      </c>
      <c r="AC192" s="54">
        <v>525.29999999999995</v>
      </c>
      <c r="AD192" s="55">
        <v>494.4</v>
      </c>
      <c r="AE192" s="54">
        <v>624</v>
      </c>
      <c r="AF192" s="54">
        <v>566.6</v>
      </c>
      <c r="AG192" s="54">
        <v>564.1</v>
      </c>
      <c r="AH192" s="54">
        <v>480.1</v>
      </c>
      <c r="AI192" s="54">
        <v>531.1</v>
      </c>
      <c r="AJ192" s="54">
        <v>585.20000000000005</v>
      </c>
      <c r="AK192" s="54">
        <v>165.7</v>
      </c>
      <c r="AL192" s="54">
        <v>588</v>
      </c>
      <c r="AM192" s="54">
        <v>595.20000000000005</v>
      </c>
      <c r="AN192" s="54">
        <v>592.4</v>
      </c>
      <c r="AO192" s="54">
        <v>560.70000000000005</v>
      </c>
      <c r="AP192" s="54">
        <v>610</v>
      </c>
      <c r="AQ192" s="204">
        <v>572.6</v>
      </c>
      <c r="AR192" s="204">
        <v>609</v>
      </c>
      <c r="AS192" s="54">
        <v>612</v>
      </c>
      <c r="AT192" s="54">
        <v>673</v>
      </c>
      <c r="AU192" s="54">
        <v>705</v>
      </c>
      <c r="AV192" s="10">
        <v>750</v>
      </c>
      <c r="AW192" s="10">
        <v>753</v>
      </c>
      <c r="AX192" s="10">
        <v>828</v>
      </c>
      <c r="AZ192" s="10" t="s">
        <v>88</v>
      </c>
      <c r="BI192" s="10" t="s">
        <v>73</v>
      </c>
      <c r="BJ192" s="10" t="s">
        <v>347</v>
      </c>
      <c r="BK192" s="10" t="s">
        <v>139</v>
      </c>
      <c r="BL192" s="10" t="s">
        <v>266</v>
      </c>
      <c r="BN192" s="10" t="s">
        <v>341</v>
      </c>
      <c r="BO192" s="10" t="s">
        <v>28</v>
      </c>
      <c r="BP192" s="10" t="s">
        <v>346</v>
      </c>
    </row>
    <row r="193" spans="1:80" x14ac:dyDescent="0.2">
      <c r="AI193" s="54"/>
      <c r="AJ193" s="54"/>
      <c r="AK193" s="54"/>
      <c r="AL193" s="54"/>
      <c r="AM193" s="54"/>
      <c r="AN193" s="54"/>
      <c r="AO193" s="54"/>
      <c r="AP193" s="54"/>
      <c r="AR193" s="204"/>
      <c r="AS193" s="54"/>
      <c r="AT193" s="54"/>
      <c r="AU193" s="54"/>
      <c r="AW193" s="343"/>
    </row>
    <row r="194" spans="1:80" s="1" customFormat="1" ht="10.5" x14ac:dyDescent="0.25">
      <c r="A194" s="34" t="s">
        <v>89</v>
      </c>
      <c r="B194" s="11"/>
      <c r="C194" s="11"/>
      <c r="D194" s="11"/>
      <c r="E194" s="58">
        <f t="shared" ref="E194:AH194" si="55">SUM(E189:E192)</f>
        <v>158.1</v>
      </c>
      <c r="F194" s="58">
        <f t="shared" si="55"/>
        <v>158.5</v>
      </c>
      <c r="G194" s="58">
        <f t="shared" si="55"/>
        <v>169.3</v>
      </c>
      <c r="H194" s="58">
        <f t="shared" si="55"/>
        <v>165.7</v>
      </c>
      <c r="I194" s="58">
        <f t="shared" si="55"/>
        <v>170.7</v>
      </c>
      <c r="J194" s="58">
        <f t="shared" si="55"/>
        <v>143.19999999999999</v>
      </c>
      <c r="K194" s="58">
        <f t="shared" si="55"/>
        <v>183.3</v>
      </c>
      <c r="L194" s="58">
        <f t="shared" si="55"/>
        <v>187.7</v>
      </c>
      <c r="M194" s="58">
        <f t="shared" si="55"/>
        <v>178</v>
      </c>
      <c r="N194" s="58">
        <f t="shared" si="55"/>
        <v>192</v>
      </c>
      <c r="O194" s="58">
        <f t="shared" si="55"/>
        <v>288.8</v>
      </c>
      <c r="P194" s="58">
        <f t="shared" si="55"/>
        <v>255.7</v>
      </c>
      <c r="Q194" s="58">
        <f t="shared" si="55"/>
        <v>305.39999999999998</v>
      </c>
      <c r="R194" s="58">
        <f t="shared" si="55"/>
        <v>401</v>
      </c>
      <c r="S194" s="58">
        <f t="shared" si="55"/>
        <v>364.7</v>
      </c>
      <c r="T194" s="58">
        <f t="shared" si="55"/>
        <v>364.5</v>
      </c>
      <c r="U194" s="59">
        <f t="shared" si="55"/>
        <v>560.59999999999991</v>
      </c>
      <c r="V194" s="59">
        <f t="shared" si="55"/>
        <v>555.9</v>
      </c>
      <c r="W194" s="58">
        <f t="shared" si="55"/>
        <v>538.79999999999995</v>
      </c>
      <c r="X194" s="59">
        <f t="shared" si="55"/>
        <v>389.1</v>
      </c>
      <c r="Y194" s="58">
        <f t="shared" si="55"/>
        <v>395.7</v>
      </c>
      <c r="Z194" s="58">
        <f t="shared" si="55"/>
        <v>425.9</v>
      </c>
      <c r="AA194" s="77">
        <f t="shared" si="55"/>
        <v>421.8</v>
      </c>
      <c r="AB194" s="58">
        <f t="shared" si="55"/>
        <v>470.1</v>
      </c>
      <c r="AC194" s="58">
        <f t="shared" si="55"/>
        <v>525.29999999999995</v>
      </c>
      <c r="AD194" s="59">
        <f t="shared" si="55"/>
        <v>494.4</v>
      </c>
      <c r="AE194" s="58">
        <f t="shared" si="55"/>
        <v>624</v>
      </c>
      <c r="AF194" s="58">
        <f t="shared" si="55"/>
        <v>566.6</v>
      </c>
      <c r="AG194" s="58">
        <f t="shared" si="55"/>
        <v>564.1</v>
      </c>
      <c r="AH194" s="58">
        <f t="shared" si="55"/>
        <v>480.1</v>
      </c>
      <c r="AI194" s="58">
        <f t="shared" ref="AI194:AN194" si="56">SUM(AI189:AI192)</f>
        <v>531.1</v>
      </c>
      <c r="AJ194" s="58">
        <f t="shared" si="56"/>
        <v>585.20000000000005</v>
      </c>
      <c r="AK194" s="58">
        <f t="shared" si="56"/>
        <v>165.7</v>
      </c>
      <c r="AL194" s="58">
        <f t="shared" si="56"/>
        <v>588</v>
      </c>
      <c r="AM194" s="58">
        <f t="shared" si="56"/>
        <v>595.20000000000005</v>
      </c>
      <c r="AN194" s="58">
        <f t="shared" si="56"/>
        <v>592.4</v>
      </c>
      <c r="AO194" s="58">
        <f t="shared" ref="AO194:AV194" si="57">SUM(AO189:AO192)</f>
        <v>560.70000000000005</v>
      </c>
      <c r="AP194" s="58">
        <f t="shared" si="57"/>
        <v>610</v>
      </c>
      <c r="AQ194" s="58">
        <f t="shared" si="57"/>
        <v>572.6</v>
      </c>
      <c r="AR194" s="174">
        <f t="shared" si="57"/>
        <v>609</v>
      </c>
      <c r="AS194" s="58">
        <f t="shared" si="57"/>
        <v>612</v>
      </c>
      <c r="AT194" s="58">
        <f t="shared" si="57"/>
        <v>673</v>
      </c>
      <c r="AU194" s="58">
        <f t="shared" si="57"/>
        <v>705</v>
      </c>
      <c r="AV194" s="58">
        <f t="shared" si="57"/>
        <v>750</v>
      </c>
      <c r="AW194" s="58">
        <v>753</v>
      </c>
      <c r="AX194" s="11">
        <v>828</v>
      </c>
      <c r="AY194" s="11" t="s">
        <v>89</v>
      </c>
      <c r="AZ194" s="11"/>
      <c r="BA194" s="11"/>
      <c r="BB194" s="11"/>
      <c r="BC194" s="11"/>
      <c r="BD194" s="11"/>
      <c r="BE194" s="11"/>
      <c r="BF194" s="29">
        <v>200</v>
      </c>
      <c r="BG194" s="29"/>
      <c r="BH194" s="11"/>
      <c r="BI194" s="11"/>
      <c r="BJ194" s="11"/>
      <c r="BK194" s="11"/>
      <c r="BL194" s="11"/>
      <c r="BM194" s="11"/>
      <c r="BN194" s="11"/>
      <c r="BO194" s="11"/>
      <c r="BP194" s="11"/>
      <c r="BQ194" s="11"/>
      <c r="BR194" s="30"/>
    </row>
    <row r="195" spans="1:80" x14ac:dyDescent="0.2">
      <c r="AI195" s="54">
        <f t="shared" ref="AI195:AV195" si="58">AI194+AI186</f>
        <v>1784.1</v>
      </c>
      <c r="AJ195" s="54">
        <f t="shared" si="58"/>
        <v>2121.1999999999998</v>
      </c>
      <c r="AK195" s="54">
        <f t="shared" si="58"/>
        <v>720.7</v>
      </c>
      <c r="AL195" s="54">
        <f t="shared" si="58"/>
        <v>2187</v>
      </c>
      <c r="AM195" s="54">
        <f t="shared" si="58"/>
        <v>2082.1999999999998</v>
      </c>
      <c r="AN195" s="54">
        <f t="shared" si="58"/>
        <v>2085.8000000000002</v>
      </c>
      <c r="AO195" s="54">
        <f t="shared" si="58"/>
        <v>2112</v>
      </c>
      <c r="AP195" s="54">
        <f t="shared" si="58"/>
        <v>2220</v>
      </c>
      <c r="AQ195" s="54">
        <f t="shared" si="58"/>
        <v>2255.5</v>
      </c>
      <c r="AR195" s="177">
        <f t="shared" si="58"/>
        <v>2458</v>
      </c>
      <c r="AS195" s="54">
        <f t="shared" si="58"/>
        <v>2483.5</v>
      </c>
      <c r="AT195" s="54">
        <f t="shared" si="58"/>
        <v>2763</v>
      </c>
      <c r="AU195" s="54">
        <f t="shared" si="58"/>
        <v>2871</v>
      </c>
      <c r="AV195" s="54">
        <f t="shared" si="58"/>
        <v>2963</v>
      </c>
      <c r="AW195" s="54">
        <f>AW194+AW186</f>
        <v>2998</v>
      </c>
      <c r="AX195" s="54">
        <f>AX194+AX186</f>
        <v>3128</v>
      </c>
      <c r="AY195" s="10" t="s">
        <v>119</v>
      </c>
      <c r="BF195" s="5">
        <f>BF194/4</f>
        <v>50</v>
      </c>
    </row>
    <row r="196" spans="1:80" x14ac:dyDescent="0.2">
      <c r="AI196" s="54"/>
      <c r="AJ196" s="54"/>
      <c r="AK196" s="54"/>
      <c r="AL196" s="54"/>
      <c r="AM196" s="54"/>
      <c r="AN196" s="54"/>
      <c r="AO196" s="54"/>
      <c r="AP196" s="54"/>
      <c r="AS196" s="54"/>
      <c r="AT196" s="54"/>
      <c r="AU196" s="54"/>
      <c r="BF196" s="5">
        <f>BF195/11</f>
        <v>4.5454545454545459</v>
      </c>
    </row>
    <row r="197" spans="1:80" s="1" customFormat="1" ht="10.5" x14ac:dyDescent="0.25">
      <c r="A197" s="34" t="s">
        <v>90</v>
      </c>
      <c r="B197" s="11"/>
      <c r="C197" s="11"/>
      <c r="D197" s="11"/>
      <c r="E197" s="58">
        <f t="shared" ref="E197:AK197" si="59">E173+E183+E194</f>
        <v>3083.4</v>
      </c>
      <c r="F197" s="58">
        <f t="shared" si="59"/>
        <v>3291.7</v>
      </c>
      <c r="G197" s="58">
        <f t="shared" si="59"/>
        <v>3515.2500000000005</v>
      </c>
      <c r="H197" s="58">
        <f t="shared" si="59"/>
        <v>3590.6999999999994</v>
      </c>
      <c r="I197" s="58">
        <f t="shared" si="59"/>
        <v>2627.4499999999994</v>
      </c>
      <c r="J197" s="58">
        <f t="shared" si="59"/>
        <v>2182.8999999999996</v>
      </c>
      <c r="K197" s="58">
        <f t="shared" si="59"/>
        <v>2214.65</v>
      </c>
      <c r="L197" s="58">
        <f t="shared" si="59"/>
        <v>2134.9</v>
      </c>
      <c r="M197" s="58">
        <f t="shared" si="59"/>
        <v>1991.3000000000002</v>
      </c>
      <c r="N197" s="58">
        <f t="shared" si="59"/>
        <v>1946.9</v>
      </c>
      <c r="O197" s="58">
        <f t="shared" si="59"/>
        <v>2247.15</v>
      </c>
      <c r="P197" s="58">
        <f t="shared" si="59"/>
        <v>2266.1</v>
      </c>
      <c r="Q197" s="58">
        <f t="shared" si="59"/>
        <v>2780.5</v>
      </c>
      <c r="R197" s="58">
        <f t="shared" si="59"/>
        <v>2954.8</v>
      </c>
      <c r="S197" s="58">
        <f t="shared" si="59"/>
        <v>3075.7</v>
      </c>
      <c r="T197" s="58">
        <f t="shared" si="59"/>
        <v>2761.3019303890028</v>
      </c>
      <c r="U197" s="59">
        <f t="shared" si="59"/>
        <v>3077.8889881943446</v>
      </c>
      <c r="V197" s="59">
        <f t="shared" si="59"/>
        <v>2962.8573070615353</v>
      </c>
      <c r="W197" s="58">
        <f t="shared" si="59"/>
        <v>2727.732507745779</v>
      </c>
      <c r="X197" s="59">
        <f t="shared" si="59"/>
        <v>2315.4722765513361</v>
      </c>
      <c r="Y197" s="58">
        <f t="shared" si="59"/>
        <v>2261.4641075366599</v>
      </c>
      <c r="Z197" s="58">
        <f t="shared" si="59"/>
        <v>2642.726415368325</v>
      </c>
      <c r="AA197" s="56">
        <f t="shared" si="59"/>
        <v>2536.3312897202736</v>
      </c>
      <c r="AB197" s="58">
        <f t="shared" si="59"/>
        <v>3211.1310380759001</v>
      </c>
      <c r="AC197" s="58">
        <f t="shared" si="59"/>
        <v>3406.6488499415536</v>
      </c>
      <c r="AD197" s="59">
        <f t="shared" si="59"/>
        <v>3400.9494294575243</v>
      </c>
      <c r="AE197" s="58">
        <f t="shared" si="59"/>
        <v>3338.0504428044278</v>
      </c>
      <c r="AF197" s="58">
        <f t="shared" si="59"/>
        <v>3291.4423452768729</v>
      </c>
      <c r="AG197" s="58">
        <f t="shared" si="59"/>
        <v>3607.1191510765975</v>
      </c>
      <c r="AH197" s="58">
        <f t="shared" si="59"/>
        <v>4066.2525609405975</v>
      </c>
      <c r="AI197" s="58">
        <f t="shared" si="59"/>
        <v>4734.2087272727276</v>
      </c>
      <c r="AJ197" s="111">
        <f t="shared" si="59"/>
        <v>5702.0918425624914</v>
      </c>
      <c r="AK197" s="111">
        <f t="shared" si="59"/>
        <v>7632.8999999999987</v>
      </c>
      <c r="AL197" s="111">
        <f t="shared" ref="AL197:AR197" si="60">AL173+AL183+AL194+AL181</f>
        <v>5870.0588937124321</v>
      </c>
      <c r="AM197" s="111">
        <f t="shared" si="60"/>
        <v>5193.5272438860857</v>
      </c>
      <c r="AN197" s="111">
        <f t="shared" si="60"/>
        <v>5380.896644360274</v>
      </c>
      <c r="AO197" s="111">
        <f t="shared" si="60"/>
        <v>5349.7525026528992</v>
      </c>
      <c r="AP197" s="111">
        <f t="shared" si="60"/>
        <v>5930.2353857770249</v>
      </c>
      <c r="AQ197" s="111">
        <f t="shared" si="60"/>
        <v>5756.5056961666241</v>
      </c>
      <c r="AR197" s="185">
        <f t="shared" si="60"/>
        <v>6422.921921242988</v>
      </c>
      <c r="AS197" s="111">
        <f t="shared" ref="AS197:AX197" si="61">AS173+AS183+AS194+AS181</f>
        <v>6350.8295964379158</v>
      </c>
      <c r="AT197" s="111">
        <f t="shared" si="61"/>
        <v>7175.4031228271942</v>
      </c>
      <c r="AU197" s="111">
        <f t="shared" si="61"/>
        <v>7501.6649283372071</v>
      </c>
      <c r="AV197" s="111">
        <f t="shared" si="61"/>
        <v>8290.1398604804799</v>
      </c>
      <c r="AW197" s="111">
        <f t="shared" si="61"/>
        <v>8343.0204416171018</v>
      </c>
      <c r="AX197" s="111">
        <f t="shared" si="61"/>
        <v>10584.699146997478</v>
      </c>
      <c r="AY197" s="11" t="s">
        <v>145</v>
      </c>
      <c r="AZ197" s="11"/>
      <c r="BA197" s="11"/>
      <c r="BB197" s="11"/>
      <c r="BC197" s="11"/>
      <c r="BD197" s="11"/>
      <c r="BE197" s="11"/>
      <c r="BF197" s="29"/>
      <c r="BG197" s="29"/>
      <c r="BH197" s="11"/>
      <c r="BI197" s="11"/>
      <c r="BJ197" s="11"/>
      <c r="BK197" s="11"/>
      <c r="BL197" s="11"/>
      <c r="BM197" s="11"/>
      <c r="BN197" s="11"/>
      <c r="BO197" s="11"/>
      <c r="BP197" s="11"/>
      <c r="BQ197" s="11"/>
      <c r="BR197" s="30"/>
    </row>
    <row r="198" spans="1:80" x14ac:dyDescent="0.2">
      <c r="AI198" s="54"/>
      <c r="AJ198" s="54"/>
      <c r="AK198" s="54"/>
      <c r="AL198" s="54"/>
      <c r="AM198" s="70"/>
      <c r="AN198" s="70"/>
      <c r="AO198" s="70"/>
      <c r="AP198" s="70"/>
      <c r="AQ198" s="263"/>
      <c r="AR198" s="263"/>
      <c r="AS198" s="70"/>
      <c r="AT198" s="70"/>
      <c r="AU198" s="70"/>
      <c r="AV198" s="53"/>
      <c r="AW198" s="53"/>
      <c r="AX198" s="53"/>
    </row>
    <row r="199" spans="1:80" ht="13" x14ac:dyDescent="0.2">
      <c r="A199" s="18" t="s">
        <v>453</v>
      </c>
      <c r="E199" s="254">
        <v>0.31440000000000001</v>
      </c>
      <c r="F199" s="254">
        <v>0.34239999999999998</v>
      </c>
      <c r="G199" s="254">
        <v>0.37830000000000003</v>
      </c>
      <c r="H199" s="254">
        <v>0.42059999999999997</v>
      </c>
      <c r="I199" s="254">
        <v>0.45200000000000001</v>
      </c>
      <c r="J199" s="254">
        <v>0.47470000000000001</v>
      </c>
      <c r="K199" s="254">
        <v>0.49709999999999999</v>
      </c>
      <c r="L199" s="254">
        <v>0.51500000000000001</v>
      </c>
      <c r="M199" s="254">
        <v>0.52580000000000005</v>
      </c>
      <c r="N199" s="254">
        <v>0.5444</v>
      </c>
      <c r="O199" s="254">
        <v>0.56459999999999999</v>
      </c>
      <c r="P199" s="254">
        <v>0.58660000000000001</v>
      </c>
      <c r="Q199" s="254">
        <v>0.60040000000000004</v>
      </c>
      <c r="R199" s="254">
        <v>0.62429999999999997</v>
      </c>
      <c r="S199" s="254">
        <v>0.65500000000000003</v>
      </c>
      <c r="T199" s="254">
        <v>0.67730000000000001</v>
      </c>
      <c r="U199" s="254">
        <v>0.68910000000000005</v>
      </c>
      <c r="V199" s="254">
        <v>0.7097</v>
      </c>
      <c r="W199" s="254">
        <v>0.72319999999999995</v>
      </c>
      <c r="X199" s="254">
        <v>0.73919999999999997</v>
      </c>
      <c r="Y199" s="254">
        <v>0.74260000000000004</v>
      </c>
      <c r="Z199" s="254">
        <v>0.75039999999999996</v>
      </c>
      <c r="AA199" s="254">
        <v>0.7681</v>
      </c>
      <c r="AB199" s="254">
        <v>0.78669999999999995</v>
      </c>
      <c r="AC199" s="254">
        <v>0.79690000000000005</v>
      </c>
      <c r="AD199" s="254">
        <v>0.81389999999999996</v>
      </c>
      <c r="AE199" s="254">
        <v>0.83320000000000005</v>
      </c>
      <c r="AF199" s="254">
        <v>0.85909999999999997</v>
      </c>
      <c r="AG199" s="254">
        <v>0.88700000000000001</v>
      </c>
      <c r="AH199" s="254">
        <v>0.9103</v>
      </c>
      <c r="AI199" s="254">
        <v>0.94089999999999996</v>
      </c>
      <c r="AJ199" s="254">
        <v>0.94140000000000001</v>
      </c>
      <c r="AK199" s="254">
        <v>0.94140000000000001</v>
      </c>
      <c r="AL199" s="10">
        <v>0.95809999999999995</v>
      </c>
      <c r="AM199" s="10">
        <v>0.97909999999999997</v>
      </c>
      <c r="AN199" s="262">
        <v>1</v>
      </c>
      <c r="AO199" s="289">
        <v>1.0159</v>
      </c>
      <c r="AP199" s="289">
        <v>1.0316000000000001</v>
      </c>
      <c r="AQ199" s="342">
        <v>1.0367999999999999</v>
      </c>
      <c r="AR199" s="341">
        <v>1.0442</v>
      </c>
      <c r="AS199" s="340">
        <v>1.0622</v>
      </c>
      <c r="AT199" s="339">
        <v>1.0857000000000001</v>
      </c>
      <c r="AU199" s="316">
        <v>1.1044</v>
      </c>
      <c r="AV199" s="316">
        <v>1.1254</v>
      </c>
      <c r="AW199" s="288">
        <v>1.1460999999999999</v>
      </c>
      <c r="AX199" s="288">
        <v>1.1678999999999999</v>
      </c>
      <c r="AY199" s="10" t="str">
        <f>A199</f>
        <v>GDP deflator to 2012$ (from FY21 OMB Historical Tables)</v>
      </c>
      <c r="BD199" s="5"/>
    </row>
    <row r="200" spans="1:80" x14ac:dyDescent="0.2">
      <c r="A200" s="18" t="s">
        <v>454</v>
      </c>
      <c r="B200" s="5"/>
      <c r="C200" s="5"/>
      <c r="D200" s="5"/>
      <c r="E200" s="55">
        <f t="shared" ref="E200:AU200" si="62">E199/$AV$199</f>
        <v>0.27936733605829039</v>
      </c>
      <c r="F200" s="55">
        <f t="shared" si="62"/>
        <v>0.30424737870979207</v>
      </c>
      <c r="G200" s="55">
        <f t="shared" si="62"/>
        <v>0.33614714768082465</v>
      </c>
      <c r="H200" s="55">
        <f t="shared" si="62"/>
        <v>0.37373378354362891</v>
      </c>
      <c r="I200" s="55">
        <f t="shared" si="62"/>
        <v>0.40163497423138445</v>
      </c>
      <c r="J200" s="55">
        <f t="shared" si="62"/>
        <v>0.42180558023813758</v>
      </c>
      <c r="K200" s="55">
        <f t="shared" si="62"/>
        <v>0.44170961435933892</v>
      </c>
      <c r="L200" s="55">
        <f t="shared" si="62"/>
        <v>0.45761507019726322</v>
      </c>
      <c r="M200" s="55">
        <f t="shared" si="62"/>
        <v>0.46721165807712817</v>
      </c>
      <c r="N200" s="55">
        <f t="shared" si="62"/>
        <v>0.48373911498133998</v>
      </c>
      <c r="O200" s="55">
        <f t="shared" si="62"/>
        <v>0.50168828860849479</v>
      </c>
      <c r="P200" s="55">
        <f t="shared" si="62"/>
        <v>0.52123689354896041</v>
      </c>
      <c r="Q200" s="55">
        <f t="shared" si="62"/>
        <v>0.53349920028434339</v>
      </c>
      <c r="R200" s="55">
        <f t="shared" si="62"/>
        <v>0.55473609383330369</v>
      </c>
      <c r="S200" s="55">
        <f t="shared" si="62"/>
        <v>0.58201528345477171</v>
      </c>
      <c r="T200" s="55">
        <f t="shared" si="62"/>
        <v>0.60183046028078913</v>
      </c>
      <c r="U200" s="55">
        <f t="shared" si="62"/>
        <v>0.61231562111249338</v>
      </c>
      <c r="V200" s="55">
        <f t="shared" si="62"/>
        <v>0.63062022392038386</v>
      </c>
      <c r="W200" s="55">
        <f t="shared" si="62"/>
        <v>0.64261595877021505</v>
      </c>
      <c r="X200" s="55">
        <f t="shared" si="62"/>
        <v>0.65683312599964461</v>
      </c>
      <c r="Y200" s="55">
        <f t="shared" si="62"/>
        <v>0.65985427403589836</v>
      </c>
      <c r="Z200" s="55">
        <f t="shared" si="62"/>
        <v>0.66678514306024528</v>
      </c>
      <c r="AA200" s="55">
        <f t="shared" si="62"/>
        <v>0.68251288430780166</v>
      </c>
      <c r="AB200" s="55">
        <f t="shared" si="62"/>
        <v>0.69904034121201353</v>
      </c>
      <c r="AC200" s="55">
        <f t="shared" si="62"/>
        <v>0.70810378532077489</v>
      </c>
      <c r="AD200" s="55">
        <f t="shared" si="62"/>
        <v>0.72320952550204376</v>
      </c>
      <c r="AE200" s="55">
        <f t="shared" si="62"/>
        <v>0.74035898347254314</v>
      </c>
      <c r="AF200" s="55">
        <f t="shared" si="62"/>
        <v>0.76337302292518217</v>
      </c>
      <c r="AG200" s="55">
        <f t="shared" si="62"/>
        <v>0.78816420828149991</v>
      </c>
      <c r="AH200" s="55">
        <f t="shared" si="62"/>
        <v>0.80886795805935674</v>
      </c>
      <c r="AI200" s="55">
        <f t="shared" si="62"/>
        <v>0.83605829038564061</v>
      </c>
      <c r="AJ200" s="55">
        <f t="shared" si="62"/>
        <v>0.83650257686156038</v>
      </c>
      <c r="AK200" s="55">
        <f t="shared" si="62"/>
        <v>0.83650257686156038</v>
      </c>
      <c r="AL200" s="55">
        <f t="shared" si="62"/>
        <v>0.85134174515727745</v>
      </c>
      <c r="AM200" s="55">
        <f t="shared" si="62"/>
        <v>0.87000177714590365</v>
      </c>
      <c r="AN200" s="55">
        <f t="shared" si="62"/>
        <v>0.88857295183934604</v>
      </c>
      <c r="AO200" s="55">
        <f t="shared" si="62"/>
        <v>0.90270126177359167</v>
      </c>
      <c r="AP200" s="55">
        <f t="shared" si="62"/>
        <v>0.91665185711746944</v>
      </c>
      <c r="AQ200" s="55">
        <f t="shared" si="62"/>
        <v>0.92127243646703394</v>
      </c>
      <c r="AR200" s="55">
        <f t="shared" si="62"/>
        <v>0.92784787631064514</v>
      </c>
      <c r="AS200" s="55">
        <f t="shared" si="62"/>
        <v>0.94384218944375342</v>
      </c>
      <c r="AT200" s="55">
        <f t="shared" si="62"/>
        <v>0.96472365381197811</v>
      </c>
      <c r="AU200" s="55">
        <f t="shared" si="62"/>
        <v>0.9813399680113738</v>
      </c>
      <c r="AV200" s="55">
        <f>AV199/$AV$199</f>
        <v>1</v>
      </c>
      <c r="AW200" s="55">
        <f t="shared" ref="AW200:AX200" si="63">AW199/$AV$199</f>
        <v>1.0183934601030744</v>
      </c>
      <c r="AX200" s="55">
        <f t="shared" si="63"/>
        <v>1.0377643504531722</v>
      </c>
      <c r="AY200" s="10" t="str">
        <f>A200</f>
        <v>GDP deflator to 2020$ (from FY21 OMB Historical Tables)</v>
      </c>
    </row>
    <row r="201" spans="1:80" ht="12.5" x14ac:dyDescent="0.25">
      <c r="A201" s="218" t="s">
        <v>190</v>
      </c>
      <c r="B201" s="5"/>
      <c r="C201" s="5"/>
      <c r="D201" s="5"/>
      <c r="E201" s="5"/>
      <c r="F201" s="5"/>
      <c r="G201" s="322" t="s">
        <v>455</v>
      </c>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L201" s="5"/>
      <c r="AM201" s="5"/>
      <c r="AN201" s="5"/>
      <c r="AO201" s="5"/>
      <c r="AP201" s="5"/>
      <c r="AQ201" s="5"/>
      <c r="AR201" s="5"/>
      <c r="AS201" s="5"/>
      <c r="AT201" s="5"/>
      <c r="AU201" s="5"/>
      <c r="AV201" s="5"/>
      <c r="AW201" s="5"/>
      <c r="AX201" s="5"/>
    </row>
    <row r="202" spans="1:80" ht="10.5" x14ac:dyDescent="0.25">
      <c r="A202" s="152" t="s">
        <v>404</v>
      </c>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41" t="s">
        <v>460</v>
      </c>
    </row>
    <row r="203" spans="1:80" ht="14" x14ac:dyDescent="0.3">
      <c r="A203" s="27"/>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223"/>
      <c r="AO203" s="5"/>
      <c r="AP203" s="5"/>
      <c r="AQ203" s="5"/>
      <c r="AR203" s="5"/>
      <c r="AS203" s="5"/>
      <c r="AT203" s="5"/>
      <c r="AU203" s="5"/>
      <c r="AV203" s="5"/>
      <c r="AW203" s="5"/>
      <c r="AX203" s="5"/>
    </row>
    <row r="204" spans="1:80" ht="10.5" x14ac:dyDescent="0.25">
      <c r="A204" s="219" t="s">
        <v>424</v>
      </c>
      <c r="B204" s="5"/>
      <c r="C204" s="5"/>
      <c r="D204" s="5"/>
      <c r="E204" s="5"/>
      <c r="F204" s="5"/>
      <c r="G204" s="5"/>
      <c r="H204" s="5"/>
      <c r="I204" s="36">
        <f>H219-I219</f>
        <v>3070.9730354024377</v>
      </c>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row>
    <row r="205" spans="1:80" ht="10.5" thickBot="1" x14ac:dyDescent="0.25">
      <c r="A205" s="27"/>
      <c r="B205" s="5"/>
      <c r="C205" s="5"/>
      <c r="D205" s="5"/>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c r="AF205" s="251"/>
      <c r="AG205" s="251"/>
      <c r="AH205" s="251"/>
      <c r="AI205" s="251"/>
      <c r="AJ205" s="251"/>
      <c r="AK205" s="251"/>
      <c r="AL205" s="251"/>
      <c r="AM205" s="251"/>
      <c r="AN205" s="251"/>
      <c r="AO205" s="251"/>
      <c r="AP205" s="251"/>
      <c r="AQ205" s="251"/>
      <c r="AR205" s="251"/>
      <c r="AS205" s="251"/>
      <c r="AT205" s="317"/>
      <c r="AU205" s="317"/>
      <c r="AV205" s="5"/>
      <c r="AW205" s="5"/>
      <c r="AX205" s="5"/>
    </row>
    <row r="206" spans="1:80" ht="21" thickBot="1" x14ac:dyDescent="0.3">
      <c r="A206" s="42" t="s">
        <v>403</v>
      </c>
      <c r="B206" s="35"/>
      <c r="C206" s="35"/>
      <c r="D206" s="12"/>
      <c r="E206" s="216">
        <v>1978</v>
      </c>
      <c r="F206" s="216">
        <f t="shared" ref="F206:V206" si="64">E206+1</f>
        <v>1979</v>
      </c>
      <c r="G206" s="216">
        <f t="shared" si="64"/>
        <v>1980</v>
      </c>
      <c r="H206" s="216">
        <f t="shared" si="64"/>
        <v>1981</v>
      </c>
      <c r="I206" s="216">
        <f t="shared" si="64"/>
        <v>1982</v>
      </c>
      <c r="J206" s="216">
        <f t="shared" si="64"/>
        <v>1983</v>
      </c>
      <c r="K206" s="216">
        <f t="shared" si="64"/>
        <v>1984</v>
      </c>
      <c r="L206" s="216">
        <f t="shared" si="64"/>
        <v>1985</v>
      </c>
      <c r="M206" s="216">
        <f t="shared" si="64"/>
        <v>1986</v>
      </c>
      <c r="N206" s="216">
        <f t="shared" si="64"/>
        <v>1987</v>
      </c>
      <c r="O206" s="216">
        <f t="shared" si="64"/>
        <v>1988</v>
      </c>
      <c r="P206" s="216">
        <f t="shared" si="64"/>
        <v>1989</v>
      </c>
      <c r="Q206" s="216">
        <f t="shared" si="64"/>
        <v>1990</v>
      </c>
      <c r="R206" s="216">
        <f t="shared" si="64"/>
        <v>1991</v>
      </c>
      <c r="S206" s="216">
        <f>R206+1</f>
        <v>1992</v>
      </c>
      <c r="T206" s="216">
        <f t="shared" si="64"/>
        <v>1993</v>
      </c>
      <c r="U206" s="216">
        <f t="shared" si="64"/>
        <v>1994</v>
      </c>
      <c r="V206" s="216">
        <f t="shared" si="64"/>
        <v>1995</v>
      </c>
      <c r="W206" s="216">
        <f>V206+1</f>
        <v>1996</v>
      </c>
      <c r="X206" s="216">
        <f>W206+1</f>
        <v>1997</v>
      </c>
      <c r="Y206" s="216">
        <v>1998</v>
      </c>
      <c r="Z206" s="216">
        <f t="shared" ref="Z206:AE206" si="65">Y206+1</f>
        <v>1999</v>
      </c>
      <c r="AA206" s="216">
        <f t="shared" si="65"/>
        <v>2000</v>
      </c>
      <c r="AB206" s="216">
        <f t="shared" si="65"/>
        <v>2001</v>
      </c>
      <c r="AC206" s="216">
        <f t="shared" si="65"/>
        <v>2002</v>
      </c>
      <c r="AD206" s="216">
        <f t="shared" si="65"/>
        <v>2003</v>
      </c>
      <c r="AE206" s="216">
        <f t="shared" si="65"/>
        <v>2004</v>
      </c>
      <c r="AF206" s="216">
        <v>2005</v>
      </c>
      <c r="AG206" s="216">
        <v>2006</v>
      </c>
      <c r="AH206" s="217">
        <v>2007</v>
      </c>
      <c r="AI206" s="217">
        <v>2008</v>
      </c>
      <c r="AJ206" s="217">
        <v>2009</v>
      </c>
      <c r="AK206" s="217" t="s">
        <v>207</v>
      </c>
      <c r="AL206" s="217">
        <v>2010</v>
      </c>
      <c r="AM206" s="217">
        <v>2011</v>
      </c>
      <c r="AN206" s="252">
        <v>2012</v>
      </c>
      <c r="AO206" s="253">
        <v>2013</v>
      </c>
      <c r="AP206" s="258">
        <v>2014</v>
      </c>
      <c r="AQ206" s="257">
        <v>2015</v>
      </c>
      <c r="AR206" s="245">
        <v>2016</v>
      </c>
      <c r="AS206" s="259">
        <v>2017</v>
      </c>
      <c r="AT206" s="318">
        <v>2018</v>
      </c>
      <c r="AU206" s="318">
        <v>2019</v>
      </c>
      <c r="AV206" s="319">
        <v>2020</v>
      </c>
      <c r="AW206" s="319">
        <v>2021</v>
      </c>
      <c r="AX206" s="319" t="s">
        <v>467</v>
      </c>
      <c r="AZ206" s="44" t="s">
        <v>461</v>
      </c>
      <c r="BA206" s="35"/>
      <c r="BB206" s="35"/>
      <c r="BC206" s="303"/>
      <c r="BD206" s="35"/>
      <c r="BE206" s="305"/>
      <c r="BF206" s="45" t="s">
        <v>426</v>
      </c>
      <c r="BG206" s="46"/>
      <c r="BH206" s="35"/>
      <c r="BI206" s="35"/>
      <c r="BJ206" s="35"/>
      <c r="BK206" s="35"/>
      <c r="BL206" s="35"/>
      <c r="BM206" s="35"/>
      <c r="BN206" s="35"/>
      <c r="BO206" s="35"/>
      <c r="BP206" s="35"/>
      <c r="BQ206" s="35"/>
      <c r="BR206" s="47"/>
      <c r="BS206" s="3"/>
      <c r="BT206" s="3"/>
      <c r="BU206" s="3"/>
      <c r="BV206" s="3"/>
      <c r="BW206" s="3"/>
      <c r="BX206" s="3"/>
      <c r="BY206" s="3"/>
      <c r="BZ206" s="3"/>
      <c r="CA206" s="3"/>
      <c r="CB206" s="3"/>
    </row>
    <row r="207" spans="1:80" ht="10.5" thickTop="1" x14ac:dyDescent="0.2">
      <c r="A207" s="48"/>
      <c r="B207" s="35" t="s">
        <v>91</v>
      </c>
      <c r="C207" s="35"/>
      <c r="D207" s="12"/>
      <c r="E207" s="67">
        <f>E168/E$200</f>
        <v>3111.3157760814252</v>
      </c>
      <c r="F207" s="67">
        <f>F168/F$200</f>
        <v>2676.4404789719629</v>
      </c>
      <c r="G207" s="67">
        <f t="shared" ref="G207:AJ207" si="66">G168/G$200</f>
        <v>2403.7092254824211</v>
      </c>
      <c r="H207" s="67">
        <f t="shared" si="66"/>
        <v>1856.134046600095</v>
      </c>
      <c r="I207" s="67">
        <f t="shared" si="66"/>
        <v>1944.5517699115042</v>
      </c>
      <c r="J207" s="67">
        <f t="shared" si="66"/>
        <v>1494.7644828312618</v>
      </c>
      <c r="K207" s="67">
        <f t="shared" si="66"/>
        <v>1267.6880506940254</v>
      </c>
      <c r="L207" s="67">
        <f t="shared" si="66"/>
        <v>879.12314563106781</v>
      </c>
      <c r="M207" s="67">
        <f t="shared" si="66"/>
        <v>728.36367440091283</v>
      </c>
      <c r="N207" s="67">
        <f t="shared" si="66"/>
        <v>528.59070536370314</v>
      </c>
      <c r="O207" s="67">
        <f t="shared" si="66"/>
        <v>488.5503719447396</v>
      </c>
      <c r="P207" s="67">
        <f t="shared" si="66"/>
        <v>461.78619161268318</v>
      </c>
      <c r="Q207" s="67">
        <f t="shared" si="66"/>
        <v>580.13207861425713</v>
      </c>
      <c r="R207" s="67">
        <f t="shared" si="66"/>
        <v>533.94758930001603</v>
      </c>
      <c r="S207" s="67">
        <f t="shared" si="66"/>
        <v>507.71862595419839</v>
      </c>
      <c r="T207" s="67">
        <f t="shared" si="66"/>
        <v>409.25467659793816</v>
      </c>
      <c r="U207" s="67">
        <f t="shared" si="66"/>
        <v>169.33911959645289</v>
      </c>
      <c r="V207" s="67">
        <f t="shared" si="66"/>
        <v>187.2875346865597</v>
      </c>
      <c r="W207" s="67">
        <f t="shared" si="66"/>
        <v>69.92124476921974</v>
      </c>
      <c r="X207" s="67">
        <f t="shared" si="66"/>
        <v>96.237954587220898</v>
      </c>
      <c r="Y207" s="67">
        <f t="shared" si="66"/>
        <v>11.55422922401989</v>
      </c>
      <c r="Z207" s="67">
        <f t="shared" si="66"/>
        <v>47.152645778381789</v>
      </c>
      <c r="AA207" s="67">
        <f t="shared" si="66"/>
        <v>74.084944457509479</v>
      </c>
      <c r="AB207" s="67">
        <f t="shared" si="66"/>
        <v>90.635991115737724</v>
      </c>
      <c r="AC207" s="67">
        <f t="shared" si="66"/>
        <v>220.21665267969141</v>
      </c>
      <c r="AD207" s="67">
        <f t="shared" si="66"/>
        <v>222.09252477146774</v>
      </c>
      <c r="AE207" s="67">
        <f t="shared" si="66"/>
        <v>234.8191170572531</v>
      </c>
      <c r="AF207" s="67">
        <f t="shared" si="66"/>
        <v>280.91423044417746</v>
      </c>
      <c r="AG207" s="67">
        <f t="shared" si="66"/>
        <v>348.95539303450118</v>
      </c>
      <c r="AH207" s="67">
        <f t="shared" si="66"/>
        <v>435.25845725026664</v>
      </c>
      <c r="AI207" s="67">
        <f t="shared" si="66"/>
        <v>568.39186063633474</v>
      </c>
      <c r="AJ207" s="67">
        <f t="shared" si="66"/>
        <v>671.35697856365869</v>
      </c>
      <c r="AK207" s="67">
        <f t="shared" ref="AK207:AQ207" si="67">AK168/AK$200</f>
        <v>0</v>
      </c>
      <c r="AL207" s="67">
        <f t="shared" si="67"/>
        <v>590.5488560525738</v>
      </c>
      <c r="AM207" s="67">
        <f t="shared" si="67"/>
        <v>520.08534267586208</v>
      </c>
      <c r="AN207" s="67">
        <f t="shared" si="67"/>
        <v>566.73233739192005</v>
      </c>
      <c r="AO207" s="67">
        <f>AO168/AO$200</f>
        <v>520.35865371588068</v>
      </c>
      <c r="AP207" s="67">
        <f t="shared" si="67"/>
        <v>588.00320634957234</v>
      </c>
      <c r="AQ207" s="215">
        <f t="shared" si="67"/>
        <v>502.63678705647743</v>
      </c>
      <c r="AR207" s="215">
        <f t="shared" ref="AR207:AV207" si="68">AR168/AR$200</f>
        <v>624.69110837085555</v>
      </c>
      <c r="AS207" s="215">
        <f t="shared" si="68"/>
        <v>635.8552489654378</v>
      </c>
      <c r="AT207" s="307">
        <f t="shared" si="68"/>
        <v>732.62038580144997</v>
      </c>
      <c r="AU207" s="307">
        <f t="shared" si="68"/>
        <v>816.68868667707932</v>
      </c>
      <c r="AV207" s="307">
        <f t="shared" si="68"/>
        <v>1025.1268817204302</v>
      </c>
      <c r="AW207" s="307">
        <f>AW168/AW$200</f>
        <v>972.69129572571831</v>
      </c>
      <c r="AX207" s="307">
        <f>AX168/AX$200</f>
        <v>1196.823834876589</v>
      </c>
      <c r="AZ207" s="49">
        <f>SUM(L207:AY207)</f>
        <v>18138.548563451815</v>
      </c>
      <c r="BA207" s="35" t="s">
        <v>91</v>
      </c>
      <c r="BB207" s="35"/>
      <c r="BC207" s="304"/>
      <c r="BD207" s="35"/>
      <c r="BE207" s="306"/>
      <c r="BF207" s="85">
        <f>(P207-H207)/H207</f>
        <v>-0.75121075309267504</v>
      </c>
      <c r="BG207" s="46"/>
      <c r="BH207" s="35"/>
      <c r="BI207" s="35"/>
      <c r="BJ207" s="35"/>
      <c r="BK207" s="35"/>
      <c r="BL207" s="35"/>
      <c r="BM207" s="35"/>
      <c r="BN207" s="35"/>
      <c r="BO207" s="35"/>
      <c r="BP207" s="35"/>
      <c r="BQ207" s="35"/>
      <c r="BR207" s="47"/>
      <c r="BS207" s="3"/>
      <c r="BT207" s="3"/>
      <c r="BU207" s="3"/>
      <c r="BV207" s="3"/>
      <c r="BW207" s="3"/>
      <c r="BX207" s="3"/>
      <c r="BY207" s="3"/>
      <c r="BZ207" s="3"/>
      <c r="CA207" s="3"/>
      <c r="CB207" s="3"/>
    </row>
    <row r="208" spans="1:80" x14ac:dyDescent="0.2">
      <c r="A208" s="48"/>
      <c r="B208" s="35" t="s">
        <v>92</v>
      </c>
      <c r="C208" s="35"/>
      <c r="D208" s="12"/>
      <c r="E208" s="67">
        <f>E171/E$200</f>
        <v>1189.8312977099235</v>
      </c>
      <c r="F208" s="67">
        <f t="shared" ref="F208:AO208" si="69">F171/F$200</f>
        <v>1167.1423481308411</v>
      </c>
      <c r="G208" s="67">
        <f t="shared" si="69"/>
        <v>1042.1031456515991</v>
      </c>
      <c r="H208" s="67">
        <f t="shared" si="69"/>
        <v>1054.4939134569663</v>
      </c>
      <c r="I208" s="67">
        <f t="shared" si="69"/>
        <v>1123.4081415929202</v>
      </c>
      <c r="J208" s="67">
        <f t="shared" si="69"/>
        <v>1086.7566041710552</v>
      </c>
      <c r="K208" s="67">
        <f t="shared" si="69"/>
        <v>1060.4251860792597</v>
      </c>
      <c r="L208" s="67">
        <f t="shared" si="69"/>
        <v>938.78027184466021</v>
      </c>
      <c r="M208" s="67">
        <f t="shared" si="69"/>
        <v>773.73925446937994</v>
      </c>
      <c r="N208" s="67">
        <f t="shared" si="69"/>
        <v>706.1657604702425</v>
      </c>
      <c r="O208" s="67">
        <f t="shared" si="69"/>
        <v>660.37020899752031</v>
      </c>
      <c r="P208" s="67">
        <f t="shared" si="69"/>
        <v>665.34047050801223</v>
      </c>
      <c r="Q208" s="67">
        <f t="shared" si="69"/>
        <v>593.62788141239162</v>
      </c>
      <c r="R208" s="67">
        <f t="shared" si="69"/>
        <v>516.64206311068403</v>
      </c>
      <c r="S208" s="67">
        <f t="shared" si="69"/>
        <v>570.77538931297704</v>
      </c>
      <c r="T208" s="67">
        <f t="shared" si="69"/>
        <v>556.80132880555141</v>
      </c>
      <c r="U208" s="67">
        <f t="shared" si="69"/>
        <v>536.65134233057609</v>
      </c>
      <c r="V208" s="67">
        <f t="shared" si="69"/>
        <v>558.81493588840351</v>
      </c>
      <c r="W208" s="67">
        <f t="shared" si="69"/>
        <v>371.76169800884958</v>
      </c>
      <c r="X208" s="67">
        <f t="shared" si="69"/>
        <v>353.97118506493507</v>
      </c>
      <c r="Y208" s="67">
        <f t="shared" si="69"/>
        <v>339.7719903043361</v>
      </c>
      <c r="Z208" s="67">
        <f t="shared" si="69"/>
        <v>325.74211087420042</v>
      </c>
      <c r="AA208" s="67">
        <f t="shared" si="69"/>
        <v>349.59046999088662</v>
      </c>
      <c r="AB208" s="67">
        <f t="shared" si="69"/>
        <v>346.13166899707642</v>
      </c>
      <c r="AC208" s="67">
        <f t="shared" si="69"/>
        <v>340.48681139415231</v>
      </c>
      <c r="AD208" s="67">
        <f t="shared" si="69"/>
        <v>332.82194372773063</v>
      </c>
      <c r="AE208" s="67">
        <f t="shared" si="69"/>
        <v>345.64313490158423</v>
      </c>
      <c r="AF208" s="67">
        <f t="shared" si="69"/>
        <v>358.80230473751595</v>
      </c>
      <c r="AG208" s="67">
        <f t="shared" si="69"/>
        <v>356.14405862457721</v>
      </c>
      <c r="AH208" s="67">
        <f t="shared" si="69"/>
        <v>385.35337800725029</v>
      </c>
      <c r="AI208" s="67">
        <f t="shared" si="69"/>
        <v>352.72660218939313</v>
      </c>
      <c r="AJ208" s="67">
        <f t="shared" si="69"/>
        <v>471.60643722115998</v>
      </c>
      <c r="AK208" s="67">
        <f t="shared" si="69"/>
        <v>108.78627575950711</v>
      </c>
      <c r="AL208" s="67">
        <f t="shared" si="69"/>
        <v>489.81505062102076</v>
      </c>
      <c r="AM208" s="67">
        <f t="shared" si="69"/>
        <v>422.0681033602288</v>
      </c>
      <c r="AN208" s="67">
        <f t="shared" si="69"/>
        <v>442.28219999999999</v>
      </c>
      <c r="AO208" s="67">
        <f t="shared" si="69"/>
        <v>418.52162614430551</v>
      </c>
      <c r="AP208" s="67">
        <f t="shared" ref="AP208:AU208" si="70">AP171/AP$200</f>
        <v>550.59071345482744</v>
      </c>
      <c r="AQ208" s="67">
        <f t="shared" si="70"/>
        <v>496.48722993827158</v>
      </c>
      <c r="AR208" s="67">
        <f t="shared" si="70"/>
        <v>472.06014173529974</v>
      </c>
      <c r="AS208" s="67">
        <f t="shared" si="70"/>
        <v>402.6096780267369</v>
      </c>
      <c r="AT208" s="308">
        <f t="shared" si="70"/>
        <v>425.09582757667857</v>
      </c>
      <c r="AU208" s="308">
        <f t="shared" si="70"/>
        <v>440.21441506700467</v>
      </c>
      <c r="AV208" s="308">
        <f>AV171/AV$200</f>
        <v>414</v>
      </c>
      <c r="AW208" s="308">
        <f>AW171/AW$200</f>
        <v>407.50458075211588</v>
      </c>
      <c r="AX208" s="308">
        <f>AX171/AX$200</f>
        <v>432.66084425036394</v>
      </c>
      <c r="AZ208" s="49">
        <f>SUM(L208:AY208)</f>
        <v>18030.959387880408</v>
      </c>
      <c r="BA208" s="35" t="s">
        <v>92</v>
      </c>
      <c r="BB208" s="35"/>
      <c r="BC208" s="304"/>
      <c r="BD208" s="35"/>
      <c r="BE208" s="306"/>
      <c r="BF208" s="85">
        <f>(P208-H208)/H208</f>
        <v>-0.36904285362177708</v>
      </c>
      <c r="BG208" s="46"/>
      <c r="BH208" s="35"/>
      <c r="BI208" s="35"/>
      <c r="BJ208" s="35"/>
      <c r="BK208" s="35"/>
      <c r="BL208" s="35"/>
      <c r="BM208" s="35"/>
      <c r="BN208" s="35"/>
      <c r="BO208" s="35"/>
      <c r="BP208" s="35"/>
      <c r="BQ208" s="35"/>
      <c r="BR208" s="47"/>
      <c r="BS208" s="3"/>
      <c r="BT208" s="3"/>
      <c r="BU208" s="3"/>
      <c r="BV208" s="3"/>
      <c r="BW208" s="3"/>
      <c r="BX208" s="3"/>
      <c r="BY208" s="3"/>
      <c r="BZ208" s="3"/>
      <c r="CA208" s="3"/>
      <c r="CB208" s="3"/>
    </row>
    <row r="209" spans="1:80" x14ac:dyDescent="0.2">
      <c r="A209" s="48"/>
      <c r="B209" s="35" t="s">
        <v>289</v>
      </c>
      <c r="C209" s="35"/>
      <c r="D209" s="12"/>
      <c r="E209" s="67">
        <f t="shared" ref="E209:AX209" si="71">E55/E200</f>
        <v>619.61431297709919</v>
      </c>
      <c r="F209" s="67">
        <f t="shared" si="71"/>
        <v>751.36226635514004</v>
      </c>
      <c r="G209" s="67">
        <f t="shared" si="71"/>
        <v>876.99688078244765</v>
      </c>
      <c r="H209" s="67">
        <f t="shared" si="71"/>
        <v>782.64265335235382</v>
      </c>
      <c r="I209" s="67">
        <f t="shared" si="71"/>
        <v>378.20411504424777</v>
      </c>
      <c r="J209" s="67">
        <f t="shared" si="71"/>
        <v>319.10436064883072</v>
      </c>
      <c r="K209" s="67">
        <f t="shared" si="71"/>
        <v>339.81601287467305</v>
      </c>
      <c r="L209" s="67">
        <f t="shared" si="71"/>
        <v>349.20178640776697</v>
      </c>
      <c r="M209" s="67">
        <f t="shared" si="71"/>
        <v>350.37653100038034</v>
      </c>
      <c r="N209" s="67">
        <f t="shared" si="71"/>
        <v>310.91138868479061</v>
      </c>
      <c r="O209" s="67">
        <f t="shared" si="71"/>
        <v>297.19649309245483</v>
      </c>
      <c r="P209" s="67">
        <f t="shared" si="71"/>
        <v>290.27108762359359</v>
      </c>
      <c r="Q209" s="67">
        <f t="shared" si="71"/>
        <v>354.82714856762158</v>
      </c>
      <c r="R209" s="67">
        <f t="shared" si="71"/>
        <v>408.30225852955311</v>
      </c>
      <c r="S209" s="67">
        <f t="shared" si="71"/>
        <v>440.71007633587783</v>
      </c>
      <c r="T209" s="67">
        <f t="shared" si="71"/>
        <v>513.76595304887041</v>
      </c>
      <c r="U209" s="67">
        <f t="shared" si="71"/>
        <v>616.3488027862428</v>
      </c>
      <c r="V209" s="67">
        <f t="shared" si="71"/>
        <v>663.31523178807936</v>
      </c>
      <c r="W209" s="67">
        <f t="shared" si="71"/>
        <v>563.16684181415928</v>
      </c>
      <c r="X209" s="67">
        <f t="shared" si="71"/>
        <v>600.4569264069263</v>
      </c>
      <c r="Y209" s="67">
        <f t="shared" si="71"/>
        <v>651.88635873956355</v>
      </c>
      <c r="Z209" s="67">
        <f t="shared" si="71"/>
        <v>723.46502727000882</v>
      </c>
      <c r="AA209" s="67">
        <f t="shared" si="71"/>
        <v>748.09922615985272</v>
      </c>
      <c r="AB209" s="67">
        <f t="shared" si="71"/>
        <v>803.14795988288677</v>
      </c>
      <c r="AC209" s="67">
        <f t="shared" si="71"/>
        <v>660.59893236764799</v>
      </c>
      <c r="AD209" s="67">
        <f t="shared" si="71"/>
        <v>681.54522668632512</v>
      </c>
      <c r="AE209" s="67">
        <f t="shared" si="71"/>
        <v>647.25357657225163</v>
      </c>
      <c r="AF209" s="67">
        <f t="shared" si="71"/>
        <v>540.6642813069451</v>
      </c>
      <c r="AG209" s="67">
        <f t="shared" si="71"/>
        <v>523.09482877564096</v>
      </c>
      <c r="AH209" s="67">
        <f t="shared" si="71"/>
        <v>504.06433322567096</v>
      </c>
      <c r="AI209" s="67">
        <f t="shared" si="71"/>
        <v>598.27343572321058</v>
      </c>
      <c r="AJ209" s="67">
        <f t="shared" si="71"/>
        <v>741.99529650182319</v>
      </c>
      <c r="AK209" s="67">
        <f t="shared" si="71"/>
        <v>803.68437994826434</v>
      </c>
      <c r="AL209" s="67">
        <f t="shared" si="71"/>
        <v>883.83671952135887</v>
      </c>
      <c r="AM209" s="67">
        <f t="shared" si="71"/>
        <v>772.1633567915909</v>
      </c>
      <c r="AN209" s="67">
        <f t="shared" si="71"/>
        <v>816.33941295862155</v>
      </c>
      <c r="AO209" s="67">
        <f t="shared" si="71"/>
        <v>692.88501813231335</v>
      </c>
      <c r="AP209" s="67">
        <f t="shared" si="71"/>
        <v>785.23946636351047</v>
      </c>
      <c r="AQ209" s="67">
        <f t="shared" si="71"/>
        <v>756.22693367029842</v>
      </c>
      <c r="AR209" s="67">
        <f t="shared" si="71"/>
        <v>884.36084465584884</v>
      </c>
      <c r="AS209" s="67">
        <f t="shared" si="71"/>
        <v>841.89779959548252</v>
      </c>
      <c r="AT209" s="308">
        <f t="shared" si="71"/>
        <v>987.14453692666007</v>
      </c>
      <c r="AU209" s="308">
        <f t="shared" si="71"/>
        <v>997.69267903512889</v>
      </c>
      <c r="AV209" s="308">
        <f t="shared" si="71"/>
        <v>1131.0264629847238</v>
      </c>
      <c r="AW209" s="308">
        <f t="shared" si="71"/>
        <v>1154.8600463895443</v>
      </c>
      <c r="AX209" s="308">
        <f t="shared" si="71"/>
        <v>1615.1347680782853</v>
      </c>
      <c r="AY209" s="2"/>
      <c r="AZ209" s="49">
        <f>SUM(L209:AY209)</f>
        <v>26705.431434349779</v>
      </c>
      <c r="BA209" s="35" t="s">
        <v>289</v>
      </c>
      <c r="BB209" s="35"/>
      <c r="BC209" s="304"/>
      <c r="BD209" s="35"/>
      <c r="BE209" s="306"/>
      <c r="BF209" s="85">
        <f>(P209-H209)/H209</f>
        <v>-0.62911414758670126</v>
      </c>
      <c r="BG209" s="46"/>
      <c r="BH209" s="35"/>
      <c r="BI209" s="35"/>
      <c r="BJ209" s="35"/>
      <c r="BK209" s="35"/>
      <c r="BL209" s="35"/>
      <c r="BM209" s="35"/>
      <c r="BN209" s="35"/>
      <c r="BO209" s="35"/>
      <c r="BP209" s="35"/>
      <c r="BQ209" s="35"/>
      <c r="BR209" s="47"/>
      <c r="BS209" s="3"/>
      <c r="BT209" s="3"/>
      <c r="BU209" s="3"/>
      <c r="BV209" s="3"/>
      <c r="BW209" s="3"/>
      <c r="BX209" s="3"/>
      <c r="BY209" s="3"/>
      <c r="BZ209" s="3"/>
      <c r="CA209" s="3"/>
      <c r="CB209" s="3"/>
    </row>
    <row r="210" spans="1:80" x14ac:dyDescent="0.2">
      <c r="A210" s="48"/>
      <c r="B210" s="35" t="s">
        <v>166</v>
      </c>
      <c r="C210" s="35"/>
      <c r="D210" s="12"/>
      <c r="E210" s="67">
        <f t="shared" ref="E210:AX210" si="72">E82/E200</f>
        <v>0</v>
      </c>
      <c r="F210" s="67">
        <f t="shared" si="72"/>
        <v>0</v>
      </c>
      <c r="G210" s="67">
        <f t="shared" si="72"/>
        <v>0</v>
      </c>
      <c r="H210" s="67">
        <f t="shared" si="72"/>
        <v>0</v>
      </c>
      <c r="I210" s="67">
        <f t="shared" si="72"/>
        <v>0</v>
      </c>
      <c r="J210" s="67">
        <f t="shared" si="72"/>
        <v>0</v>
      </c>
      <c r="K210" s="67">
        <f t="shared" si="72"/>
        <v>0</v>
      </c>
      <c r="L210" s="67">
        <f t="shared" si="72"/>
        <v>0</v>
      </c>
      <c r="M210" s="67">
        <f t="shared" si="72"/>
        <v>0</v>
      </c>
      <c r="N210" s="67">
        <f t="shared" si="72"/>
        <v>0</v>
      </c>
      <c r="O210" s="67">
        <f t="shared" si="72"/>
        <v>0</v>
      </c>
      <c r="P210" s="67">
        <f t="shared" si="72"/>
        <v>0</v>
      </c>
      <c r="Q210" s="67">
        <f t="shared" si="72"/>
        <v>0</v>
      </c>
      <c r="R210" s="67">
        <f t="shared" si="72"/>
        <v>0</v>
      </c>
      <c r="S210" s="67">
        <f t="shared" si="72"/>
        <v>0</v>
      </c>
      <c r="T210" s="67">
        <f t="shared" si="72"/>
        <v>0</v>
      </c>
      <c r="U210" s="67">
        <f t="shared" si="72"/>
        <v>15.678188942098387</v>
      </c>
      <c r="V210" s="67">
        <f t="shared" si="72"/>
        <v>13.954515992672961</v>
      </c>
      <c r="W210" s="67">
        <f t="shared" si="72"/>
        <v>22.252793141592921</v>
      </c>
      <c r="X210" s="67">
        <f t="shared" si="72"/>
        <v>22.532359307359307</v>
      </c>
      <c r="Y210" s="67">
        <f t="shared" si="72"/>
        <v>28.642687853487743</v>
      </c>
      <c r="Z210" s="67">
        <f t="shared" si="72"/>
        <v>37.463342217484005</v>
      </c>
      <c r="AA210" s="67">
        <f t="shared" si="72"/>
        <v>35.589071735451114</v>
      </c>
      <c r="AB210" s="67">
        <f t="shared" si="72"/>
        <v>38.052167281047417</v>
      </c>
      <c r="AC210" s="67">
        <f t="shared" si="72"/>
        <v>106.76401054084576</v>
      </c>
      <c r="AD210" s="67">
        <f t="shared" si="72"/>
        <v>127.21071384690993</v>
      </c>
      <c r="AE210" s="67">
        <f t="shared" si="72"/>
        <v>194.77037926068169</v>
      </c>
      <c r="AF210" s="67">
        <f t="shared" si="72"/>
        <v>218.5039227098126</v>
      </c>
      <c r="AG210" s="67">
        <f t="shared" si="72"/>
        <v>194.75636978579482</v>
      </c>
      <c r="AH210" s="67">
        <f t="shared" si="72"/>
        <v>234.2780402065253</v>
      </c>
      <c r="AI210" s="67">
        <f t="shared" si="72"/>
        <v>246.63352109682219</v>
      </c>
      <c r="AJ210" s="67">
        <f t="shared" si="72"/>
        <v>196.77165923093264</v>
      </c>
      <c r="AK210" s="67">
        <f t="shared" si="72"/>
        <v>51.404503930316544</v>
      </c>
      <c r="AL210" s="67">
        <f t="shared" si="72"/>
        <v>204.38325853251226</v>
      </c>
      <c r="AM210" s="67">
        <f t="shared" si="72"/>
        <v>110.1147175977939</v>
      </c>
      <c r="AN210" s="67">
        <f t="shared" si="72"/>
        <v>114.00301999999999</v>
      </c>
      <c r="AO210" s="67">
        <f t="shared" si="72"/>
        <v>106.12591790530563</v>
      </c>
      <c r="AP210" s="67">
        <f t="shared" si="72"/>
        <v>101.34709189608375</v>
      </c>
      <c r="AQ210" s="67">
        <f t="shared" si="72"/>
        <v>102.90115740740741</v>
      </c>
      <c r="AR210" s="67">
        <f t="shared" si="72"/>
        <v>108.85405094809423</v>
      </c>
      <c r="AS210" s="67">
        <f t="shared" si="72"/>
        <v>107.00941442289587</v>
      </c>
      <c r="AT210" s="308">
        <f t="shared" si="72"/>
        <v>119.20512112001472</v>
      </c>
      <c r="AU210" s="308">
        <f t="shared" si="72"/>
        <v>122.28178196305686</v>
      </c>
      <c r="AV210" s="308">
        <f t="shared" si="72"/>
        <v>150</v>
      </c>
      <c r="AW210" s="308">
        <f t="shared" si="72"/>
        <v>147.29081232004188</v>
      </c>
      <c r="AX210" s="308">
        <f t="shared" si="72"/>
        <v>190.31295487627366</v>
      </c>
      <c r="AY210" s="2"/>
      <c r="AZ210" s="49">
        <f t="shared" ref="AZ210:AZ213" si="73">SUM(L210:AY210)</f>
        <v>3469.0875460693151</v>
      </c>
      <c r="BA210" s="35" t="s">
        <v>166</v>
      </c>
      <c r="BB210" s="35"/>
      <c r="BC210" s="304"/>
      <c r="BD210" s="35"/>
      <c r="BE210" s="306"/>
      <c r="BF210" s="85"/>
      <c r="BG210" s="46"/>
      <c r="BH210" s="35"/>
      <c r="BI210" s="35"/>
      <c r="BJ210" s="35"/>
      <c r="BK210" s="35"/>
      <c r="BL210" s="35"/>
      <c r="BM210" s="35"/>
      <c r="BN210" s="35"/>
      <c r="BO210" s="35"/>
      <c r="BP210" s="35"/>
      <c r="BQ210" s="35"/>
      <c r="BR210" s="47"/>
      <c r="BS210" s="3"/>
      <c r="BT210" s="3"/>
      <c r="BU210" s="3"/>
      <c r="BV210" s="3"/>
      <c r="BW210" s="3"/>
      <c r="BX210" s="3"/>
      <c r="BY210" s="3"/>
      <c r="BZ210" s="3"/>
      <c r="CA210" s="3"/>
      <c r="CB210" s="3"/>
    </row>
    <row r="211" spans="1:80" x14ac:dyDescent="0.2">
      <c r="A211" s="48"/>
      <c r="B211" s="35" t="s">
        <v>8</v>
      </c>
      <c r="C211" s="35"/>
      <c r="D211" s="12"/>
      <c r="E211" s="67">
        <f>E120/E200</f>
        <v>2164.8916030534347</v>
      </c>
      <c r="F211" s="67">
        <f t="shared" ref="F211:AO211" si="74">F120/F200</f>
        <v>2530.5066004672894</v>
      </c>
      <c r="G211" s="67">
        <f t="shared" si="74"/>
        <v>2477.1889505683316</v>
      </c>
      <c r="H211" s="67">
        <f t="shared" si="74"/>
        <v>2201.8346647646222</v>
      </c>
      <c r="I211" s="67">
        <f t="shared" si="74"/>
        <v>998.17004424778759</v>
      </c>
      <c r="J211" s="67">
        <f t="shared" si="74"/>
        <v>720.71118601221815</v>
      </c>
      <c r="K211" s="67">
        <f t="shared" si="74"/>
        <v>579.22669483001414</v>
      </c>
      <c r="L211" s="67">
        <f t="shared" si="74"/>
        <v>558.76656310679596</v>
      </c>
      <c r="M211" s="67">
        <f t="shared" si="74"/>
        <v>446.90665652339294</v>
      </c>
      <c r="N211" s="67">
        <f t="shared" si="74"/>
        <v>376.23585598824388</v>
      </c>
      <c r="O211" s="67">
        <f t="shared" si="74"/>
        <v>303.47529224229538</v>
      </c>
      <c r="P211" s="67">
        <f t="shared" si="74"/>
        <v>308.11326287078072</v>
      </c>
      <c r="Q211" s="67">
        <f t="shared" si="74"/>
        <v>260.73141239173879</v>
      </c>
      <c r="R211" s="67">
        <f t="shared" si="74"/>
        <v>362.69498638475096</v>
      </c>
      <c r="S211" s="67">
        <f t="shared" si="74"/>
        <v>415.2811908396946</v>
      </c>
      <c r="T211" s="67">
        <f t="shared" si="74"/>
        <v>424.87048575225151</v>
      </c>
      <c r="U211" s="67">
        <f t="shared" si="74"/>
        <v>503.98844870120445</v>
      </c>
      <c r="V211" s="67">
        <f t="shared" si="74"/>
        <v>571.65943356347748</v>
      </c>
      <c r="W211" s="67">
        <f t="shared" si="74"/>
        <v>395.41501659292038</v>
      </c>
      <c r="X211" s="67">
        <f t="shared" si="74"/>
        <v>350.71312770562764</v>
      </c>
      <c r="Y211" s="67">
        <f t="shared" si="74"/>
        <v>443.50701589011578</v>
      </c>
      <c r="Z211" s="67">
        <f t="shared" si="74"/>
        <v>531.58053038379524</v>
      </c>
      <c r="AA211" s="67">
        <f t="shared" si="74"/>
        <v>415.06908735841694</v>
      </c>
      <c r="AB211" s="67">
        <f t="shared" si="74"/>
        <v>491.53100292360506</v>
      </c>
      <c r="AC211" s="67">
        <f t="shared" si="74"/>
        <v>499.68663822311458</v>
      </c>
      <c r="AD211" s="67">
        <f t="shared" si="74"/>
        <v>392.55567022975788</v>
      </c>
      <c r="AE211" s="67">
        <f t="shared" si="74"/>
        <v>352.9368939030245</v>
      </c>
      <c r="AF211" s="67">
        <f t="shared" si="74"/>
        <v>382.91622020575142</v>
      </c>
      <c r="AG211" s="67">
        <f t="shared" si="74"/>
        <v>340.26698485489396</v>
      </c>
      <c r="AH211" s="67">
        <f t="shared" si="74"/>
        <v>675.19795258548845</v>
      </c>
      <c r="AI211" s="67">
        <f t="shared" si="74"/>
        <v>811.95560327620694</v>
      </c>
      <c r="AJ211" s="67">
        <f t="shared" si="74"/>
        <v>988.40706019366303</v>
      </c>
      <c r="AK211" s="67">
        <f t="shared" si="74"/>
        <v>1905.3598495203294</v>
      </c>
      <c r="AL211" s="67">
        <f t="shared" si="74"/>
        <v>1127.2941743245092</v>
      </c>
      <c r="AM211" s="67">
        <f t="shared" si="74"/>
        <v>847.5578012798253</v>
      </c>
      <c r="AN211" s="67">
        <f t="shared" si="74"/>
        <v>891.6907519361672</v>
      </c>
      <c r="AO211" s="67">
        <f t="shared" si="74"/>
        <v>831.22425577979595</v>
      </c>
      <c r="AP211" s="67">
        <f t="shared" ref="AP211:AV211" si="75">AP120/AP200</f>
        <v>898.70285237394387</v>
      </c>
      <c r="AQ211" s="67">
        <f t="shared" si="75"/>
        <v>832.44172539298563</v>
      </c>
      <c r="AR211" s="67">
        <f t="shared" si="75"/>
        <v>910.85482502409059</v>
      </c>
      <c r="AS211" s="67">
        <f t="shared" si="75"/>
        <v>871.46395010760739</v>
      </c>
      <c r="AT211" s="308">
        <f t="shared" si="75"/>
        <v>942.76226865534352</v>
      </c>
      <c r="AU211" s="308">
        <f t="shared" si="75"/>
        <v>943.52020856954164</v>
      </c>
      <c r="AV211" s="308">
        <f t="shared" si="75"/>
        <v>1093.0292405866951</v>
      </c>
      <c r="AW211" s="308">
        <f t="shared" ref="AW211:AX211" si="76">AW120/AW200</f>
        <v>1086.2486759621413</v>
      </c>
      <c r="AX211" s="308">
        <f t="shared" si="76"/>
        <v>1535.1784910980653</v>
      </c>
      <c r="AY211" s="2"/>
      <c r="AZ211" s="49">
        <f t="shared" si="73"/>
        <v>26321.791463302052</v>
      </c>
      <c r="BA211" s="35" t="s">
        <v>8</v>
      </c>
      <c r="BB211" s="35"/>
      <c r="BC211" s="304"/>
      <c r="BD211" s="35"/>
      <c r="BE211" s="306"/>
      <c r="BF211" s="85">
        <f>(P211-H211)/H211</f>
        <v>-0.86006521388665746</v>
      </c>
      <c r="BG211" s="46"/>
      <c r="BH211" s="35"/>
      <c r="BI211" s="35"/>
      <c r="BJ211" s="35"/>
      <c r="BK211" s="35"/>
      <c r="BL211" s="35"/>
      <c r="BM211" s="35"/>
      <c r="BN211" s="35"/>
      <c r="BO211" s="35"/>
      <c r="BP211" s="35"/>
      <c r="BQ211" s="35"/>
      <c r="BR211" s="47"/>
      <c r="BS211" s="3"/>
      <c r="BT211" s="3"/>
      <c r="BU211" s="3"/>
      <c r="BV211" s="3"/>
      <c r="BW211" s="3"/>
      <c r="BX211" s="3"/>
      <c r="BY211" s="3"/>
      <c r="BZ211" s="3"/>
      <c r="CA211" s="3"/>
      <c r="CB211" s="3"/>
    </row>
    <row r="212" spans="1:80" x14ac:dyDescent="0.2">
      <c r="A212" s="48"/>
      <c r="B212" s="35" t="s">
        <v>167</v>
      </c>
      <c r="C212" s="35"/>
      <c r="D212" s="12"/>
      <c r="E212" s="67">
        <f t="shared" ref="E212:AX212" si="77">(E35+E38)/E200</f>
        <v>2739.7619592875317</v>
      </c>
      <c r="F212" s="67">
        <f t="shared" si="77"/>
        <v>2499.9393691588784</v>
      </c>
      <c r="G212" s="67">
        <f t="shared" si="77"/>
        <v>2484.923658472112</v>
      </c>
      <c r="H212" s="67">
        <f t="shared" si="77"/>
        <v>2660.4498811222065</v>
      </c>
      <c r="I212" s="67">
        <f t="shared" si="77"/>
        <v>1040.2480530973448</v>
      </c>
      <c r="J212" s="67">
        <f t="shared" si="77"/>
        <v>514.69210027385702</v>
      </c>
      <c r="K212" s="67">
        <f t="shared" si="77"/>
        <v>592.13110038221669</v>
      </c>
      <c r="L212" s="67">
        <f t="shared" si="77"/>
        <v>631.53514563106796</v>
      </c>
      <c r="M212" s="67">
        <f t="shared" si="77"/>
        <v>662.22662609357155</v>
      </c>
      <c r="N212" s="67">
        <f t="shared" si="77"/>
        <v>606.111829537105</v>
      </c>
      <c r="O212" s="67">
        <f t="shared" si="77"/>
        <v>1038.6927736450584</v>
      </c>
      <c r="P212" s="67">
        <f t="shared" si="77"/>
        <v>1084.1519604500511</v>
      </c>
      <c r="Q212" s="67">
        <f t="shared" si="77"/>
        <v>1792.6924716855428</v>
      </c>
      <c r="R212" s="67">
        <f t="shared" si="77"/>
        <v>1509.7268941214161</v>
      </c>
      <c r="S212" s="67">
        <f t="shared" si="77"/>
        <v>1416.973099236641</v>
      </c>
      <c r="T212" s="67">
        <f t="shared" si="77"/>
        <v>662.31277129779983</v>
      </c>
      <c r="U212" s="67">
        <f t="shared" si="77"/>
        <v>1031.4941808155565</v>
      </c>
      <c r="V212" s="67">
        <f t="shared" si="77"/>
        <v>690.03495843314079</v>
      </c>
      <c r="W212" s="67">
        <f t="shared" si="77"/>
        <v>778.84775995575217</v>
      </c>
      <c r="X212" s="67">
        <f t="shared" si="77"/>
        <v>519.76672077922069</v>
      </c>
      <c r="Y212" s="67">
        <f t="shared" si="77"/>
        <v>364.38348505251815</v>
      </c>
      <c r="Z212" s="67">
        <f t="shared" si="77"/>
        <v>484.6538699360342</v>
      </c>
      <c r="AA212" s="67">
        <f t="shared" si="77"/>
        <v>368.63772946230961</v>
      </c>
      <c r="AB212" s="67">
        <f t="shared" si="77"/>
        <v>758.5828295411211</v>
      </c>
      <c r="AC212" s="67">
        <f t="shared" si="77"/>
        <v>857.99569582130755</v>
      </c>
      <c r="AD212" s="67">
        <f t="shared" si="77"/>
        <v>761.92303968546514</v>
      </c>
      <c r="AE212" s="67">
        <f t="shared" si="77"/>
        <v>737.34500720115216</v>
      </c>
      <c r="AF212" s="67">
        <f t="shared" si="77"/>
        <v>508.92550343382607</v>
      </c>
      <c r="AG212" s="67">
        <f t="shared" si="77"/>
        <v>698.43948027057479</v>
      </c>
      <c r="AH212" s="67">
        <f t="shared" si="77"/>
        <v>705.3067120729429</v>
      </c>
      <c r="AI212" s="67">
        <f t="shared" si="77"/>
        <v>788.46177064512688</v>
      </c>
      <c r="AJ212" s="67">
        <f t="shared" si="77"/>
        <v>1019.4828128319523</v>
      </c>
      <c r="AK212" s="67">
        <f t="shared" si="77"/>
        <v>4062.868536222647</v>
      </c>
      <c r="AL212" s="67">
        <f t="shared" si="77"/>
        <v>762.67844692620804</v>
      </c>
      <c r="AM212" s="67">
        <f t="shared" si="77"/>
        <v>486.65187948115607</v>
      </c>
      <c r="AN212" s="67">
        <f t="shared" si="77"/>
        <v>369.8064399999999</v>
      </c>
      <c r="AO212" s="67">
        <f t="shared" si="77"/>
        <v>554.33621419431051</v>
      </c>
      <c r="AP212" s="67">
        <f t="shared" si="77"/>
        <v>605.79160527336182</v>
      </c>
      <c r="AQ212" s="67">
        <f t="shared" si="77"/>
        <v>585.71165123456785</v>
      </c>
      <c r="AR212" s="67">
        <f t="shared" si="77"/>
        <v>671.76960352422896</v>
      </c>
      <c r="AS212" s="67">
        <f t="shared" si="77"/>
        <v>608.47036339672366</v>
      </c>
      <c r="AT212" s="308">
        <f t="shared" si="77"/>
        <v>639.76870221976606</v>
      </c>
      <c r="AU212" s="308">
        <f t="shared" si="77"/>
        <v>702.81454183266931</v>
      </c>
      <c r="AV212" s="308">
        <f t="shared" si="77"/>
        <v>696.9</v>
      </c>
      <c r="AW212" s="308">
        <f t="shared" si="77"/>
        <v>654.26578832562598</v>
      </c>
      <c r="AX212" s="308">
        <f t="shared" si="77"/>
        <v>776.9586608442504</v>
      </c>
      <c r="AY212" s="2"/>
      <c r="AZ212" s="49">
        <f t="shared" si="73"/>
        <v>32657.497561111773</v>
      </c>
      <c r="BA212" s="35" t="s">
        <v>167</v>
      </c>
      <c r="BB212" s="35"/>
      <c r="BC212" s="304"/>
      <c r="BD212" s="35"/>
      <c r="BE212" s="306"/>
      <c r="BF212" s="85">
        <f>(P212-H212)/H212</f>
        <v>-0.59249299596174165</v>
      </c>
      <c r="BG212" s="46"/>
      <c r="BH212" s="35"/>
      <c r="BI212" s="35"/>
      <c r="BJ212" s="35"/>
      <c r="BK212" s="35"/>
      <c r="BL212" s="35"/>
      <c r="BM212" s="35"/>
      <c r="BN212" s="35"/>
      <c r="BO212" s="35"/>
      <c r="BP212" s="35"/>
      <c r="BQ212" s="35"/>
      <c r="BR212" s="47"/>
      <c r="BS212" s="3"/>
      <c r="BT212" s="3"/>
      <c r="BU212" s="3"/>
      <c r="BV212" s="3"/>
      <c r="BW212" s="3"/>
      <c r="BX212" s="3"/>
      <c r="BY212" s="3"/>
      <c r="BZ212" s="3"/>
      <c r="CA212" s="3"/>
      <c r="CB212" s="3"/>
    </row>
    <row r="213" spans="1:80" x14ac:dyDescent="0.2">
      <c r="A213" s="48"/>
      <c r="B213" s="35" t="s">
        <v>337</v>
      </c>
      <c r="C213" s="35"/>
      <c r="D213" s="12"/>
      <c r="E213" s="67"/>
      <c r="F213" s="67"/>
      <c r="G213" s="67"/>
      <c r="H213" s="67"/>
      <c r="I213" s="67"/>
      <c r="J213" s="67"/>
      <c r="K213" s="67"/>
      <c r="L213" s="67"/>
      <c r="M213" s="67"/>
      <c r="N213" s="67"/>
      <c r="O213" s="67"/>
      <c r="P213" s="67"/>
      <c r="Q213" s="67"/>
      <c r="R213" s="67"/>
      <c r="S213" s="67"/>
      <c r="T213" s="67"/>
      <c r="U213" s="68"/>
      <c r="V213" s="68"/>
      <c r="W213" s="67"/>
      <c r="X213" s="68"/>
      <c r="Y213" s="67"/>
      <c r="Z213" s="67"/>
      <c r="AA213" s="69"/>
      <c r="AB213" s="67"/>
      <c r="AC213" s="67"/>
      <c r="AD213" s="67">
        <f t="shared" ref="AD213:AJ213" si="78">AD132/AD199</f>
        <v>102.59245607568498</v>
      </c>
      <c r="AE213" s="67">
        <f t="shared" si="78"/>
        <v>97.335573691790671</v>
      </c>
      <c r="AF213" s="67">
        <f t="shared" si="78"/>
        <v>113.60726341520196</v>
      </c>
      <c r="AG213" s="67">
        <f t="shared" si="78"/>
        <v>164.48703494926718</v>
      </c>
      <c r="AH213" s="67">
        <f t="shared" si="78"/>
        <v>99.307920465780512</v>
      </c>
      <c r="AI213" s="67">
        <f t="shared" si="78"/>
        <v>106.17493888829844</v>
      </c>
      <c r="AJ213" s="67">
        <f t="shared" si="78"/>
        <v>130.7626938602082</v>
      </c>
      <c r="AK213" s="67">
        <f t="shared" ref="AK213:AP213" si="79">AK132/AP199</f>
        <v>700.36835982939124</v>
      </c>
      <c r="AL213" s="67">
        <f t="shared" si="79"/>
        <v>162.51929012345681</v>
      </c>
      <c r="AM213" s="67">
        <f t="shared" si="79"/>
        <v>132.25435740279639</v>
      </c>
      <c r="AN213" s="67">
        <f t="shared" si="79"/>
        <v>128.22443984183769</v>
      </c>
      <c r="AO213" s="67">
        <f t="shared" si="79"/>
        <v>119.09367228516165</v>
      </c>
      <c r="AP213" s="67">
        <f t="shared" si="79"/>
        <v>133.28504165157551</v>
      </c>
      <c r="AQ213" s="67">
        <f t="shared" ref="AQ213:AV213" si="80">AQ132/AQ200</f>
        <v>156.19701003086416</v>
      </c>
      <c r="AR213" s="67">
        <f t="shared" si="80"/>
        <v>222.01915341888525</v>
      </c>
      <c r="AS213" s="67">
        <f t="shared" si="80"/>
        <v>243.26100546036525</v>
      </c>
      <c r="AT213" s="308">
        <f t="shared" si="80"/>
        <v>270.54379662890295</v>
      </c>
      <c r="AU213" s="308">
        <f t="shared" si="80"/>
        <v>269.52942774357115</v>
      </c>
      <c r="AV213" s="308">
        <f t="shared" si="80"/>
        <v>333</v>
      </c>
      <c r="AW213" s="308">
        <f t="shared" ref="AW213:AX213" si="81">AW132/AW200</f>
        <v>349.27561294825932</v>
      </c>
      <c r="AX213" s="308">
        <f t="shared" si="81"/>
        <v>315.10043668122273</v>
      </c>
      <c r="AY213" s="2"/>
      <c r="AZ213" s="49">
        <f t="shared" si="73"/>
        <v>4348.9394853925214</v>
      </c>
      <c r="BA213" s="35" t="s">
        <v>337</v>
      </c>
      <c r="BB213" s="35"/>
      <c r="BC213" s="304"/>
      <c r="BD213" s="12"/>
      <c r="BE213" s="306"/>
      <c r="BF213" s="85"/>
      <c r="BG213" s="46"/>
      <c r="BH213" s="35"/>
      <c r="BI213" s="35"/>
      <c r="BJ213" s="35"/>
      <c r="BK213" s="35"/>
      <c r="BL213" s="35"/>
      <c r="BM213" s="35"/>
      <c r="BN213" s="35"/>
      <c r="BO213" s="35"/>
      <c r="BP213" s="35"/>
      <c r="BQ213" s="35"/>
      <c r="BR213" s="47"/>
      <c r="BS213" s="3"/>
      <c r="BT213" s="3"/>
      <c r="BU213" s="3"/>
      <c r="BV213" s="3"/>
      <c r="BW213" s="3"/>
      <c r="BX213" s="3"/>
      <c r="BY213" s="3"/>
      <c r="BZ213" s="3"/>
      <c r="CA213" s="3"/>
      <c r="CB213" s="3"/>
    </row>
    <row r="214" spans="1:80" x14ac:dyDescent="0.2">
      <c r="A214" s="48"/>
      <c r="B214" s="35" t="s">
        <v>118</v>
      </c>
      <c r="C214" s="35"/>
      <c r="D214" s="12"/>
      <c r="E214" s="67"/>
      <c r="F214" s="67"/>
      <c r="G214" s="67"/>
      <c r="H214" s="67"/>
      <c r="I214" s="67"/>
      <c r="J214" s="67"/>
      <c r="K214" s="67"/>
      <c r="L214" s="67"/>
      <c r="M214" s="67"/>
      <c r="N214" s="67"/>
      <c r="O214" s="67"/>
      <c r="P214" s="67"/>
      <c r="Q214" s="67"/>
      <c r="R214" s="67"/>
      <c r="S214" s="67"/>
      <c r="T214" s="67"/>
      <c r="U214" s="68"/>
      <c r="V214" s="68"/>
      <c r="W214" s="67"/>
      <c r="X214" s="68"/>
      <c r="Y214" s="67"/>
      <c r="Z214" s="67"/>
      <c r="AA214" s="69"/>
      <c r="AB214" s="67"/>
      <c r="AC214" s="67"/>
      <c r="AD214" s="67"/>
      <c r="AE214" s="67"/>
      <c r="AF214" s="67"/>
      <c r="AG214" s="67"/>
      <c r="AH214" s="67"/>
      <c r="AI214" s="67"/>
      <c r="AJ214" s="67">
        <f t="shared" ref="AJ214:AX214" si="82">AJ91/AJ200</f>
        <v>10.400446144040789</v>
      </c>
      <c r="AK214" s="67">
        <f t="shared" si="82"/>
        <v>464.91189717442103</v>
      </c>
      <c r="AL214" s="67">
        <f t="shared" si="82"/>
        <v>0</v>
      </c>
      <c r="AM214" s="67">
        <f t="shared" si="82"/>
        <v>206.4363599223777</v>
      </c>
      <c r="AN214" s="67">
        <f t="shared" si="82"/>
        <v>309.48500000000001</v>
      </c>
      <c r="AO214" s="67">
        <f t="shared" si="82"/>
        <v>277.61122157692682</v>
      </c>
      <c r="AP214" s="67">
        <f t="shared" si="82"/>
        <v>305.48129895308256</v>
      </c>
      <c r="AQ214" s="67">
        <f t="shared" si="82"/>
        <v>303.91661458333334</v>
      </c>
      <c r="AR214" s="67">
        <f t="shared" si="82"/>
        <v>313.73677456425975</v>
      </c>
      <c r="AS214" s="67">
        <f t="shared" si="82"/>
        <v>323.46509131990206</v>
      </c>
      <c r="AT214" s="308">
        <f t="shared" si="82"/>
        <v>366.3225200331583</v>
      </c>
      <c r="AU214" s="308">
        <f t="shared" si="82"/>
        <v>373.06133647229262</v>
      </c>
      <c r="AV214" s="308">
        <f t="shared" si="82"/>
        <v>425</v>
      </c>
      <c r="AW214" s="308">
        <f t="shared" si="82"/>
        <v>419.28784573771924</v>
      </c>
      <c r="AX214" s="308">
        <f t="shared" si="82"/>
        <v>481.80494905385734</v>
      </c>
      <c r="AY214" s="2"/>
      <c r="AZ214" s="49">
        <f>SUM(L214:AY214)</f>
        <v>4580.9213555353717</v>
      </c>
      <c r="BA214" s="35" t="s">
        <v>118</v>
      </c>
      <c r="BB214" s="35"/>
      <c r="BC214" s="304"/>
      <c r="BD214" s="12"/>
      <c r="BE214" s="306"/>
      <c r="BF214" s="85"/>
      <c r="BG214" s="46"/>
      <c r="BH214" s="35"/>
      <c r="BI214" s="35"/>
      <c r="BJ214" s="35"/>
      <c r="BK214" s="35"/>
      <c r="BL214" s="35"/>
      <c r="BM214" s="35"/>
      <c r="BN214" s="35"/>
      <c r="BO214" s="35"/>
      <c r="BP214" s="35"/>
      <c r="BQ214" s="35"/>
      <c r="BR214" s="47"/>
      <c r="BS214" s="3"/>
      <c r="BT214" s="3"/>
      <c r="BU214" s="3"/>
      <c r="BV214" s="3"/>
      <c r="BW214" s="3"/>
      <c r="BX214" s="3"/>
      <c r="BY214" s="3"/>
      <c r="BZ214" s="3"/>
      <c r="CA214" s="3"/>
      <c r="CB214" s="3"/>
    </row>
    <row r="215" spans="1:80" x14ac:dyDescent="0.2">
      <c r="A215" s="48"/>
      <c r="B215" s="35" t="str">
        <f>BA215</f>
        <v>ARPA-C</v>
      </c>
      <c r="C215" s="35"/>
      <c r="D215" s="12"/>
      <c r="E215" s="67"/>
      <c r="F215" s="67"/>
      <c r="G215" s="67"/>
      <c r="H215" s="67"/>
      <c r="I215" s="67"/>
      <c r="J215" s="67"/>
      <c r="K215" s="67"/>
      <c r="L215" s="67"/>
      <c r="M215" s="67"/>
      <c r="N215" s="215"/>
      <c r="O215" s="215"/>
      <c r="P215" s="215"/>
      <c r="Q215" s="215"/>
      <c r="R215" s="215"/>
      <c r="S215" s="215"/>
      <c r="T215" s="215"/>
      <c r="U215" s="220"/>
      <c r="V215" s="220"/>
      <c r="W215" s="215"/>
      <c r="X215" s="220"/>
      <c r="Y215" s="215"/>
      <c r="Z215" s="215"/>
      <c r="AA215" s="221"/>
      <c r="AB215" s="215"/>
      <c r="AC215" s="215"/>
      <c r="AD215" s="215"/>
      <c r="AE215" s="215"/>
      <c r="AF215" s="215"/>
      <c r="AG215" s="215"/>
      <c r="AH215" s="215"/>
      <c r="AI215" s="12"/>
      <c r="AJ215" s="12"/>
      <c r="AK215" s="12"/>
      <c r="AL215" s="12"/>
      <c r="AM215" s="12"/>
      <c r="AN215" s="12"/>
      <c r="AO215" s="12"/>
      <c r="AP215" s="12"/>
      <c r="AQ215" s="12"/>
      <c r="AR215" s="12"/>
      <c r="AS215" s="12"/>
      <c r="AT215" s="49"/>
      <c r="AU215" s="49"/>
      <c r="AV215" s="49"/>
      <c r="AW215" s="49"/>
      <c r="AX215" s="49">
        <f>AX96/AX200</f>
        <v>192.72197962154294</v>
      </c>
      <c r="AY215" s="2"/>
      <c r="AZ215" s="49">
        <f t="shared" ref="AZ215:AZ216" si="83">SUM(L215:AY215)</f>
        <v>192.72197962154294</v>
      </c>
      <c r="BA215" s="35" t="s">
        <v>445</v>
      </c>
      <c r="BB215" s="35"/>
      <c r="BC215" s="304"/>
      <c r="BD215" s="12"/>
      <c r="BE215" s="306"/>
      <c r="BF215" s="85"/>
      <c r="BG215" s="46"/>
      <c r="BH215" s="35"/>
      <c r="BI215" s="35"/>
      <c r="BJ215" s="35"/>
      <c r="BK215" s="35"/>
      <c r="BL215" s="35"/>
      <c r="BM215" s="35"/>
      <c r="BN215" s="35"/>
      <c r="BO215" s="35"/>
      <c r="BP215" s="35"/>
      <c r="BQ215" s="35"/>
      <c r="BR215" s="47"/>
      <c r="BS215" s="3"/>
      <c r="BT215" s="3"/>
      <c r="BU215" s="3"/>
      <c r="BV215" s="3"/>
      <c r="BW215" s="3"/>
      <c r="BX215" s="3"/>
      <c r="BY215" s="3"/>
      <c r="BZ215" s="3"/>
      <c r="CA215" s="3"/>
      <c r="CB215" s="3"/>
    </row>
    <row r="216" spans="1:80" x14ac:dyDescent="0.2">
      <c r="A216" s="48"/>
      <c r="B216" s="35" t="str">
        <f>BA216</f>
        <v>OCDE</v>
      </c>
      <c r="C216" s="35"/>
      <c r="D216" s="12"/>
      <c r="E216" s="67"/>
      <c r="F216" s="67"/>
      <c r="G216" s="67"/>
      <c r="H216" s="67"/>
      <c r="I216" s="67"/>
      <c r="J216" s="67"/>
      <c r="K216" s="67"/>
      <c r="L216" s="67"/>
      <c r="M216" s="67"/>
      <c r="N216" s="215"/>
      <c r="O216" s="215"/>
      <c r="P216" s="215"/>
      <c r="Q216" s="215"/>
      <c r="R216" s="215"/>
      <c r="S216" s="215"/>
      <c r="T216" s="215"/>
      <c r="U216" s="220"/>
      <c r="V216" s="220"/>
      <c r="W216" s="215"/>
      <c r="X216" s="220"/>
      <c r="Y216" s="215"/>
      <c r="Z216" s="215"/>
      <c r="AA216" s="221"/>
      <c r="AB216" s="215"/>
      <c r="AC216" s="215"/>
      <c r="AD216" s="215"/>
      <c r="AE216" s="215"/>
      <c r="AF216" s="215"/>
      <c r="AG216" s="215"/>
      <c r="AH216" s="215"/>
      <c r="AI216" s="12"/>
      <c r="AJ216" s="12"/>
      <c r="AK216" s="12"/>
      <c r="AL216" s="12"/>
      <c r="AM216" s="12"/>
      <c r="AN216" s="12"/>
      <c r="AO216" s="12"/>
      <c r="AP216" s="12"/>
      <c r="AQ216" s="12"/>
      <c r="AR216" s="12"/>
      <c r="AS216" s="12"/>
      <c r="AT216" s="49"/>
      <c r="AU216" s="49"/>
      <c r="AV216" s="49"/>
      <c r="AW216" s="49"/>
      <c r="AX216" s="49">
        <f>AX101/AX200</f>
        <v>385.44395924308589</v>
      </c>
      <c r="AY216" s="2"/>
      <c r="AZ216" s="49">
        <f t="shared" si="83"/>
        <v>385.44395924308589</v>
      </c>
      <c r="BA216" s="35" t="s">
        <v>459</v>
      </c>
      <c r="BB216" s="35"/>
      <c r="BC216" s="304"/>
      <c r="BD216" s="12"/>
      <c r="BE216" s="306"/>
      <c r="BF216" s="85"/>
      <c r="BG216" s="46"/>
      <c r="BH216" s="35"/>
      <c r="BI216" s="35"/>
      <c r="BJ216" s="35"/>
      <c r="BK216" s="35"/>
      <c r="BL216" s="35"/>
      <c r="BM216" s="35"/>
      <c r="BN216" s="35"/>
      <c r="BO216" s="35"/>
      <c r="BP216" s="35"/>
      <c r="BQ216" s="35"/>
      <c r="BR216" s="47"/>
      <c r="BS216" s="3"/>
      <c r="BT216" s="3"/>
      <c r="BU216" s="3"/>
      <c r="BV216" s="3"/>
      <c r="BW216" s="3"/>
      <c r="BX216" s="3"/>
      <c r="BY216" s="3"/>
      <c r="BZ216" s="3"/>
      <c r="CA216" s="3"/>
      <c r="CB216" s="3"/>
    </row>
    <row r="217" spans="1:80" x14ac:dyDescent="0.2">
      <c r="A217" s="48"/>
      <c r="B217" s="35" t="s">
        <v>425</v>
      </c>
      <c r="C217" s="35"/>
      <c r="D217" s="12"/>
      <c r="E217" s="67"/>
      <c r="F217" s="67"/>
      <c r="G217" s="67"/>
      <c r="H217" s="67"/>
      <c r="I217" s="67"/>
      <c r="J217" s="67"/>
      <c r="K217" s="67"/>
      <c r="L217" s="67"/>
      <c r="M217" s="67"/>
      <c r="N217" s="215"/>
      <c r="O217" s="215"/>
      <c r="P217" s="215"/>
      <c r="Q217" s="215"/>
      <c r="R217" s="215"/>
      <c r="S217" s="215"/>
      <c r="T217" s="215"/>
      <c r="U217" s="220"/>
      <c r="V217" s="220"/>
      <c r="W217" s="215"/>
      <c r="X217" s="220"/>
      <c r="Y217" s="215"/>
      <c r="Z217" s="215"/>
      <c r="AA217" s="221"/>
      <c r="AB217" s="215"/>
      <c r="AC217" s="215"/>
      <c r="AD217" s="220"/>
      <c r="AE217" s="215"/>
      <c r="AF217" s="215"/>
      <c r="AG217" s="215"/>
      <c r="AH217" s="215"/>
      <c r="AI217" s="35"/>
      <c r="AJ217" s="12"/>
      <c r="AK217" s="12"/>
      <c r="AL217" s="12"/>
      <c r="AM217" s="12"/>
      <c r="AN217" s="12"/>
      <c r="AO217" s="12"/>
      <c r="AP217" s="12"/>
      <c r="AQ217" s="12"/>
      <c r="AR217" s="12"/>
      <c r="AS217" s="12"/>
      <c r="AT217" s="12"/>
      <c r="AU217" s="12"/>
      <c r="AV217" s="12"/>
      <c r="AW217" s="12"/>
      <c r="AX217" s="12"/>
      <c r="AY217" s="35"/>
      <c r="AZ217" s="35"/>
      <c r="BA217" s="35"/>
      <c r="BB217" s="12"/>
      <c r="BC217" s="304"/>
      <c r="BD217" s="35"/>
      <c r="BE217" s="306"/>
      <c r="BF217" s="85"/>
      <c r="BG217" s="46"/>
      <c r="BH217" s="35"/>
      <c r="BI217" s="35"/>
      <c r="BJ217" s="35"/>
      <c r="BK217" s="35"/>
      <c r="BL217" s="35"/>
      <c r="BM217" s="35"/>
      <c r="BN217" s="35"/>
      <c r="BO217" s="35"/>
      <c r="BP217" s="35"/>
      <c r="BQ217" s="35"/>
      <c r="BR217" s="47"/>
      <c r="BS217" s="3"/>
      <c r="BT217" s="3"/>
      <c r="BU217" s="3"/>
      <c r="BV217" s="3"/>
      <c r="BW217" s="3"/>
      <c r="BX217" s="3"/>
      <c r="BY217" s="3"/>
      <c r="BZ217" s="3"/>
      <c r="CA217" s="3"/>
      <c r="CB217" s="3"/>
    </row>
    <row r="218" spans="1:80" x14ac:dyDescent="0.2">
      <c r="A218" s="48"/>
      <c r="B218" s="35"/>
      <c r="C218" s="35"/>
      <c r="D218" s="12"/>
      <c r="E218" s="67"/>
      <c r="F218" s="67"/>
      <c r="G218" s="67"/>
      <c r="H218" s="67"/>
      <c r="I218" s="67"/>
      <c r="J218" s="67"/>
      <c r="K218" s="67"/>
      <c r="L218" s="67"/>
      <c r="M218" s="67"/>
      <c r="N218" s="215"/>
      <c r="O218" s="215"/>
      <c r="P218" s="215"/>
      <c r="Q218" s="215"/>
      <c r="R218" s="215"/>
      <c r="S218" s="215"/>
      <c r="T218" s="215"/>
      <c r="U218" s="220"/>
      <c r="V218" s="220"/>
      <c r="W218" s="215"/>
      <c r="X218" s="220"/>
      <c r="Y218" s="215"/>
      <c r="Z218" s="215"/>
      <c r="AA218" s="221"/>
      <c r="AB218" s="215"/>
      <c r="AC218" s="215"/>
      <c r="AD218" s="220"/>
      <c r="AE218" s="215"/>
      <c r="AF218" s="215"/>
      <c r="AG218" s="215"/>
      <c r="AH218" s="215"/>
      <c r="AI218" s="35"/>
      <c r="AJ218" s="12"/>
      <c r="AK218" s="12"/>
      <c r="AL218" s="12"/>
      <c r="AM218" s="12"/>
      <c r="AN218" s="12"/>
      <c r="AO218" s="12"/>
      <c r="AP218" s="12"/>
      <c r="AQ218" s="12"/>
      <c r="AR218" s="12"/>
      <c r="AS218" s="12"/>
      <c r="AT218" s="12"/>
      <c r="AU218" s="12"/>
      <c r="AV218" s="12"/>
      <c r="AW218" s="12"/>
      <c r="AX218" s="12"/>
      <c r="AY218" s="35"/>
      <c r="AZ218" s="35"/>
      <c r="BA218" s="35"/>
      <c r="BB218" s="12"/>
      <c r="BC218" s="304"/>
      <c r="BD218" s="35"/>
      <c r="BE218" s="306"/>
      <c r="BF218" s="85"/>
      <c r="BG218" s="46"/>
      <c r="BH218" s="35"/>
      <c r="BI218" s="35"/>
      <c r="BJ218" s="35"/>
      <c r="BK218" s="35"/>
      <c r="BL218" s="35"/>
      <c r="BM218" s="35"/>
      <c r="BN218" s="35"/>
      <c r="BO218" s="35"/>
      <c r="BP218" s="35"/>
      <c r="BQ218" s="35"/>
      <c r="BR218" s="47"/>
      <c r="BS218" s="3"/>
      <c r="BT218" s="3"/>
      <c r="BU218" s="3"/>
      <c r="BV218" s="3"/>
      <c r="BW218" s="3"/>
      <c r="BX218" s="3"/>
      <c r="BY218" s="3"/>
      <c r="BZ218" s="3"/>
      <c r="CA218" s="3"/>
      <c r="CB218" s="3"/>
    </row>
    <row r="219" spans="1:80" ht="10.5" x14ac:dyDescent="0.25">
      <c r="A219" s="42" t="s">
        <v>288</v>
      </c>
      <c r="B219" s="35"/>
      <c r="C219" s="35"/>
      <c r="D219" s="12"/>
      <c r="E219" s="67">
        <f>E173/E200</f>
        <v>9825.414949109414</v>
      </c>
      <c r="F219" s="67">
        <f t="shared" ref="F219:AO219" si="84">F173/F200</f>
        <v>9625.3910630841128</v>
      </c>
      <c r="G219" s="67">
        <f t="shared" si="84"/>
        <v>9284.9218609569125</v>
      </c>
      <c r="H219" s="67">
        <f t="shared" si="84"/>
        <v>8555.555159296242</v>
      </c>
      <c r="I219" s="67">
        <f t="shared" si="84"/>
        <v>5484.5821238938042</v>
      </c>
      <c r="J219" s="67">
        <f t="shared" si="84"/>
        <v>4136.0287339372235</v>
      </c>
      <c r="K219" s="67">
        <f t="shared" si="84"/>
        <v>3839.2870448601889</v>
      </c>
      <c r="L219" s="67">
        <f t="shared" si="84"/>
        <v>3357.4069126213594</v>
      </c>
      <c r="M219" s="67">
        <f t="shared" si="84"/>
        <v>2961.6127424876377</v>
      </c>
      <c r="N219" s="67">
        <f t="shared" si="84"/>
        <v>2528.0155400440854</v>
      </c>
      <c r="O219" s="67">
        <f t="shared" si="84"/>
        <v>2788.2851399220685</v>
      </c>
      <c r="P219" s="67">
        <f t="shared" si="84"/>
        <v>2809.6629730651207</v>
      </c>
      <c r="Q219" s="67">
        <f t="shared" si="84"/>
        <v>3582.0109926715518</v>
      </c>
      <c r="R219" s="67">
        <f t="shared" si="84"/>
        <v>3331.3137914464201</v>
      </c>
      <c r="S219" s="67">
        <f t="shared" si="84"/>
        <v>3351.4583816793893</v>
      </c>
      <c r="T219" s="67">
        <f t="shared" si="84"/>
        <v>2567.0052155024118</v>
      </c>
      <c r="U219" s="67">
        <f t="shared" si="84"/>
        <v>2873.5000831721313</v>
      </c>
      <c r="V219" s="67">
        <f t="shared" si="84"/>
        <v>2685.066610352334</v>
      </c>
      <c r="W219" s="67">
        <f t="shared" si="84"/>
        <v>2201.3653542824945</v>
      </c>
      <c r="X219" s="67">
        <f t="shared" si="84"/>
        <v>1943.67827385129</v>
      </c>
      <c r="Y219" s="67">
        <f t="shared" si="84"/>
        <v>1839.7457670640413</v>
      </c>
      <c r="Z219" s="67">
        <f t="shared" si="84"/>
        <v>2150.0575264599047</v>
      </c>
      <c r="AA219" s="67">
        <f t="shared" si="84"/>
        <v>1991.0705291644263</v>
      </c>
      <c r="AB219" s="67">
        <f t="shared" si="84"/>
        <v>2528.0816197414747</v>
      </c>
      <c r="AC219" s="67">
        <f t="shared" si="84"/>
        <v>2685.7487410267595</v>
      </c>
      <c r="AD219" s="67">
        <f t="shared" si="84"/>
        <v>2633.606669015232</v>
      </c>
      <c r="AE219" s="67">
        <f t="shared" si="84"/>
        <v>2622.3095635286882</v>
      </c>
      <c r="AF219" s="67">
        <f t="shared" si="84"/>
        <v>2451.281731317184</v>
      </c>
      <c r="AG219" s="67">
        <f t="shared" si="84"/>
        <v>2675.9895069014688</v>
      </c>
      <c r="AH219" s="67">
        <f t="shared" si="84"/>
        <v>3078.070451590188</v>
      </c>
      <c r="AI219" s="67">
        <f t="shared" si="84"/>
        <v>3528.5921582237511</v>
      </c>
      <c r="AJ219" s="67">
        <f t="shared" si="84"/>
        <v>4280.7899719777224</v>
      </c>
      <c r="AK219" s="67">
        <f t="shared" si="84"/>
        <v>8263.2142341193958</v>
      </c>
      <c r="AL219" s="67">
        <f t="shared" si="84"/>
        <v>4290.5906053480539</v>
      </c>
      <c r="AM219" s="67">
        <f t="shared" si="84"/>
        <v>3539.9091413230531</v>
      </c>
      <c r="AN219" s="67">
        <f t="shared" si="84"/>
        <v>3678.0285035630527</v>
      </c>
      <c r="AO219" s="67">
        <f t="shared" si="84"/>
        <v>3557.9350984206835</v>
      </c>
      <c r="AP219" s="67">
        <f t="shared" ref="AP219:AV219" si="85">AP173/AP200</f>
        <v>4008.212449741628</v>
      </c>
      <c r="AQ219" s="67">
        <f t="shared" si="85"/>
        <v>3749.4942423475291</v>
      </c>
      <c r="AR219" s="67">
        <f t="shared" si="85"/>
        <v>4220.11196146989</v>
      </c>
      <c r="AS219" s="67">
        <f t="shared" si="85"/>
        <v>4045.5169721627099</v>
      </c>
      <c r="AT219" s="67">
        <f t="shared" si="85"/>
        <v>4494.7618996313195</v>
      </c>
      <c r="AU219" s="67">
        <f t="shared" si="85"/>
        <v>4676.5291111469514</v>
      </c>
      <c r="AV219" s="67">
        <f t="shared" si="85"/>
        <v>5279.2398604804812</v>
      </c>
      <c r="AW219" s="67">
        <f>AW173/AW200</f>
        <v>5202.3315635598001</v>
      </c>
      <c r="AX219" s="67">
        <f>AX173/AX200</f>
        <v>7137.1686103527372</v>
      </c>
      <c r="AY219" s="24" t="s">
        <v>288</v>
      </c>
      <c r="AZ219" s="35"/>
      <c r="BA219" s="35"/>
      <c r="BB219" s="35"/>
      <c r="BC219" s="304"/>
      <c r="BD219" s="35"/>
      <c r="BE219" s="306"/>
      <c r="BF219" s="85">
        <f>(P219-H219)/H219</f>
        <v>-0.67159781910678074</v>
      </c>
      <c r="BG219" s="45"/>
      <c r="BH219" s="86"/>
      <c r="BI219" s="44"/>
      <c r="BJ219" s="44"/>
      <c r="BK219" s="35"/>
      <c r="BL219" s="35"/>
      <c r="BM219" s="35"/>
      <c r="BN219" s="35"/>
      <c r="BO219" s="35"/>
      <c r="BP219" s="35"/>
      <c r="BQ219" s="35"/>
      <c r="BR219" s="47"/>
      <c r="BS219" s="3"/>
      <c r="BT219" s="3"/>
      <c r="BU219" s="3"/>
      <c r="BV219" s="3"/>
      <c r="BW219" s="3"/>
      <c r="BX219" s="3"/>
      <c r="BY219" s="3"/>
      <c r="BZ219" s="3"/>
      <c r="CA219" s="3"/>
      <c r="CB219" s="3"/>
    </row>
    <row r="220" spans="1:80" ht="10.5" x14ac:dyDescent="0.25">
      <c r="A220" s="42" t="str">
        <f>AY220</f>
        <v>TOTAL Energy Technology Deployment</v>
      </c>
      <c r="B220" s="35"/>
      <c r="C220" s="35"/>
      <c r="D220" s="12"/>
      <c r="E220" s="67">
        <f>E174/E200</f>
        <v>0</v>
      </c>
      <c r="F220" s="67">
        <f t="shared" ref="F220:AO220" si="86">F174/F200</f>
        <v>0</v>
      </c>
      <c r="G220" s="67">
        <f t="shared" si="86"/>
        <v>0</v>
      </c>
      <c r="H220" s="67">
        <f t="shared" si="86"/>
        <v>0</v>
      </c>
      <c r="I220" s="67">
        <f t="shared" si="86"/>
        <v>0</v>
      </c>
      <c r="J220" s="67">
        <f t="shared" si="86"/>
        <v>0</v>
      </c>
      <c r="K220" s="67">
        <f t="shared" si="86"/>
        <v>0</v>
      </c>
      <c r="L220" s="67">
        <f t="shared" si="86"/>
        <v>0</v>
      </c>
      <c r="M220" s="67">
        <f t="shared" si="86"/>
        <v>0</v>
      </c>
      <c r="N220" s="67">
        <f t="shared" si="86"/>
        <v>0</v>
      </c>
      <c r="O220" s="67">
        <f t="shared" si="86"/>
        <v>0</v>
      </c>
      <c r="P220" s="67">
        <f t="shared" si="86"/>
        <v>0</v>
      </c>
      <c r="Q220" s="67">
        <f t="shared" si="86"/>
        <v>0</v>
      </c>
      <c r="R220" s="67">
        <f t="shared" si="86"/>
        <v>0</v>
      </c>
      <c r="S220" s="67">
        <f t="shared" si="86"/>
        <v>367.85975572519078</v>
      </c>
      <c r="T220" s="67">
        <f t="shared" si="86"/>
        <v>341.45829027019045</v>
      </c>
      <c r="U220" s="67">
        <f t="shared" si="86"/>
        <v>392.9346103613409</v>
      </c>
      <c r="V220" s="67">
        <f t="shared" si="86"/>
        <v>405.9495561504861</v>
      </c>
      <c r="W220" s="67">
        <f t="shared" si="86"/>
        <v>239.6454646017699</v>
      </c>
      <c r="X220" s="67">
        <f t="shared" si="86"/>
        <v>258.20865800865801</v>
      </c>
      <c r="Y220" s="67">
        <f t="shared" si="86"/>
        <v>265.36162133046054</v>
      </c>
      <c r="Z220" s="67">
        <f t="shared" si="86"/>
        <v>284.64941364605545</v>
      </c>
      <c r="AA220" s="67">
        <f t="shared" si="86"/>
        <v>281.92874365317022</v>
      </c>
      <c r="AB220" s="67">
        <f t="shared" si="86"/>
        <v>334.88768272530825</v>
      </c>
      <c r="AC220" s="67">
        <f t="shared" si="86"/>
        <v>415.05215208934612</v>
      </c>
      <c r="AD220" s="67">
        <f t="shared" si="86"/>
        <v>397.53348077159353</v>
      </c>
      <c r="AE220" s="67">
        <f t="shared" si="86"/>
        <v>393.41275404064646</v>
      </c>
      <c r="AF220" s="67">
        <f t="shared" si="86"/>
        <v>382.6438598533349</v>
      </c>
      <c r="AG220" s="67">
        <f t="shared" si="86"/>
        <v>368.70489289740703</v>
      </c>
      <c r="AH220" s="67">
        <f t="shared" si="86"/>
        <v>332.5635504778644</v>
      </c>
      <c r="AI220" s="67">
        <f t="shared" si="86"/>
        <v>348.18146455521315</v>
      </c>
      <c r="AJ220" s="67">
        <f t="shared" si="86"/>
        <v>9597.459974506055</v>
      </c>
      <c r="AK220" s="67">
        <f t="shared" si="86"/>
        <v>26234.467898874016</v>
      </c>
      <c r="AL220" s="67">
        <f t="shared" si="86"/>
        <v>366.48032564450472</v>
      </c>
      <c r="AM220" s="67">
        <f t="shared" si="86"/>
        <v>499.30932489020529</v>
      </c>
      <c r="AN220" s="67">
        <f t="shared" si="86"/>
        <v>169.82285999999999</v>
      </c>
      <c r="AO220" s="67">
        <f t="shared" si="86"/>
        <v>232.6351018801063</v>
      </c>
      <c r="AP220" s="67">
        <f t="shared" ref="AP220:AV220" si="87">AP174/AP200</f>
        <v>303.49581233036054</v>
      </c>
      <c r="AQ220" s="67">
        <f t="shared" si="87"/>
        <v>315.86747685185185</v>
      </c>
      <c r="AR220" s="67">
        <f t="shared" si="87"/>
        <v>339.49530741237311</v>
      </c>
      <c r="AS220" s="67">
        <f t="shared" si="87"/>
        <v>1738.4262097533419</v>
      </c>
      <c r="AT220" s="67">
        <f t="shared" si="87"/>
        <v>379.27959841576853</v>
      </c>
      <c r="AU220" s="67">
        <f t="shared" si="87"/>
        <v>366.13203549438606</v>
      </c>
      <c r="AV220" s="67">
        <f t="shared" si="87"/>
        <v>446.5</v>
      </c>
      <c r="AW220" s="67">
        <f>AW174/AW200</f>
        <v>-1820.0234709013175</v>
      </c>
      <c r="AX220" s="67">
        <f>AX174/AX200</f>
        <v>1369.0005822416304</v>
      </c>
      <c r="AY220" s="24" t="s">
        <v>144</v>
      </c>
      <c r="AZ220" s="35"/>
      <c r="BA220" s="35"/>
      <c r="BB220" s="35"/>
      <c r="BC220" s="304"/>
      <c r="BD220" s="35"/>
      <c r="BE220" s="306"/>
      <c r="BF220" s="50"/>
      <c r="BG220" s="46"/>
      <c r="BH220" s="35"/>
      <c r="BI220" s="35"/>
      <c r="BJ220" s="35"/>
      <c r="BK220" s="35"/>
      <c r="BL220" s="35"/>
      <c r="BM220" s="35"/>
      <c r="BN220" s="35"/>
      <c r="BO220" s="35"/>
      <c r="BP220" s="35"/>
      <c r="BQ220" s="35"/>
      <c r="BR220" s="47"/>
      <c r="BS220" s="3"/>
      <c r="BT220" s="3"/>
      <c r="BU220" s="3"/>
      <c r="BV220" s="3"/>
      <c r="BW220" s="3"/>
      <c r="BX220" s="3"/>
      <c r="BY220" s="3"/>
      <c r="BZ220" s="3"/>
      <c r="CA220" s="3"/>
      <c r="CB220" s="3"/>
    </row>
    <row r="221" spans="1:80" x14ac:dyDescent="0.2">
      <c r="A221" s="48"/>
      <c r="B221" s="35"/>
      <c r="C221" s="35"/>
      <c r="D221" s="12"/>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12"/>
      <c r="AS221" s="12"/>
      <c r="AT221" s="12"/>
      <c r="AU221" s="12"/>
      <c r="AV221" s="12"/>
      <c r="AW221" s="12"/>
      <c r="AX221" s="12"/>
      <c r="AY221" s="35"/>
      <c r="AZ221" s="35"/>
      <c r="BA221" s="35"/>
      <c r="BB221" s="35"/>
      <c r="BC221" s="304"/>
      <c r="BD221" s="35"/>
      <c r="BE221" s="306"/>
      <c r="BF221" s="46"/>
      <c r="BG221" s="46"/>
      <c r="BH221" s="35"/>
      <c r="BI221" s="35"/>
      <c r="BJ221" s="35"/>
      <c r="BK221" s="35"/>
      <c r="BL221" s="35"/>
      <c r="BM221" s="35"/>
      <c r="BN221" s="35"/>
      <c r="BO221" s="35"/>
      <c r="BP221" s="35"/>
      <c r="BQ221" s="35"/>
      <c r="BR221" s="47"/>
      <c r="BS221" s="3"/>
      <c r="BT221" s="3"/>
      <c r="BU221" s="3"/>
      <c r="BV221" s="3"/>
      <c r="BW221" s="3"/>
      <c r="BX221" s="3"/>
      <c r="BY221" s="3"/>
      <c r="BZ221" s="3"/>
      <c r="CA221" s="3"/>
      <c r="CB221" s="3"/>
    </row>
    <row r="222" spans="1:80" ht="10.5" x14ac:dyDescent="0.25">
      <c r="A222" s="42" t="s">
        <v>93</v>
      </c>
      <c r="B222" s="35"/>
      <c r="C222" s="35"/>
      <c r="D222" s="12"/>
      <c r="E222" s="67">
        <f>E183/E200</f>
        <v>645.74478371501277</v>
      </c>
      <c r="F222" s="67">
        <f t="shared" ref="F222:AO222" si="88">F183/F200</f>
        <v>672.80776869158876</v>
      </c>
      <c r="G222" s="67">
        <f t="shared" si="88"/>
        <v>668.90348929421077</v>
      </c>
      <c r="H222" s="67">
        <f t="shared" si="88"/>
        <v>608.72206371849745</v>
      </c>
      <c r="I222" s="67">
        <f t="shared" si="88"/>
        <v>632.29055309734508</v>
      </c>
      <c r="J222" s="67">
        <f t="shared" si="88"/>
        <v>699.61141773751842</v>
      </c>
      <c r="K222" s="67">
        <f t="shared" si="88"/>
        <v>759.54878294105811</v>
      </c>
      <c r="L222" s="67">
        <f t="shared" si="88"/>
        <v>897.6977087378641</v>
      </c>
      <c r="M222" s="67">
        <f t="shared" si="88"/>
        <v>919.49760365157852</v>
      </c>
      <c r="N222" s="67">
        <f t="shared" si="88"/>
        <v>1099.7663482733285</v>
      </c>
      <c r="O222" s="67">
        <f t="shared" si="88"/>
        <v>1115.2343251859722</v>
      </c>
      <c r="P222" s="67">
        <f t="shared" si="88"/>
        <v>1047.3165018752129</v>
      </c>
      <c r="Q222" s="67">
        <f t="shared" si="88"/>
        <v>1057.358660892738</v>
      </c>
      <c r="R222" s="67">
        <f t="shared" si="88"/>
        <v>1272.3167067115169</v>
      </c>
      <c r="S222" s="67">
        <f t="shared" si="88"/>
        <v>1306.4949007633586</v>
      </c>
      <c r="T222" s="67">
        <f t="shared" si="88"/>
        <v>1415.5149269156946</v>
      </c>
      <c r="U222" s="67">
        <f t="shared" si="88"/>
        <v>1237.5970396168914</v>
      </c>
      <c r="V222" s="67">
        <f t="shared" si="88"/>
        <v>1131.7429618148515</v>
      </c>
      <c r="W222" s="67">
        <f t="shared" si="88"/>
        <v>1204.9187223451327</v>
      </c>
      <c r="X222" s="67">
        <f t="shared" si="88"/>
        <v>989.14012445887442</v>
      </c>
      <c r="Y222" s="67">
        <f t="shared" si="88"/>
        <v>987.79385941287364</v>
      </c>
      <c r="Z222" s="67">
        <f t="shared" si="88"/>
        <v>1174.5912579957355</v>
      </c>
      <c r="AA222" s="67">
        <f t="shared" si="88"/>
        <v>1107.085327431324</v>
      </c>
      <c r="AB222" s="67">
        <f t="shared" si="88"/>
        <v>1393.0526503114274</v>
      </c>
      <c r="AC222" s="67">
        <f t="shared" si="88"/>
        <v>1383.3565365792444</v>
      </c>
      <c r="AD222" s="67">
        <f t="shared" si="88"/>
        <v>1385.3523282958593</v>
      </c>
      <c r="AE222" s="67">
        <f t="shared" si="88"/>
        <v>1043.5478156505039</v>
      </c>
      <c r="AF222" s="67">
        <f t="shared" si="88"/>
        <v>1118.1951344430217</v>
      </c>
      <c r="AG222" s="67">
        <f t="shared" si="88"/>
        <v>1184.9053664036076</v>
      </c>
      <c r="AH222" s="67">
        <f t="shared" si="88"/>
        <v>1355.4746347358014</v>
      </c>
      <c r="AI222" s="67">
        <f t="shared" si="88"/>
        <v>1498.6993304283135</v>
      </c>
      <c r="AJ222" s="67">
        <f t="shared" si="88"/>
        <v>1836.216698534098</v>
      </c>
      <c r="AK222" s="67">
        <f t="shared" si="88"/>
        <v>663.47673677501587</v>
      </c>
      <c r="AL222" s="67">
        <f t="shared" si="88"/>
        <v>1878.2116689280867</v>
      </c>
      <c r="AM222" s="67">
        <f t="shared" si="88"/>
        <v>1709.1919109386172</v>
      </c>
      <c r="AN222" s="67">
        <f t="shared" si="88"/>
        <v>1680.67236</v>
      </c>
      <c r="AO222" s="67">
        <f t="shared" si="88"/>
        <v>1718.508731174328</v>
      </c>
      <c r="AP222" s="67">
        <f t="shared" ref="AP222:AV222" si="89">AP183/AP200</f>
        <v>1756.3920124079098</v>
      </c>
      <c r="AQ222" s="67">
        <f t="shared" si="89"/>
        <v>1826.7126350308642</v>
      </c>
      <c r="AR222" s="67">
        <f t="shared" si="89"/>
        <v>1992.7835663665965</v>
      </c>
      <c r="AS222" s="67">
        <f t="shared" si="89"/>
        <v>1982.8526642816794</v>
      </c>
      <c r="AT222" s="67">
        <f t="shared" si="89"/>
        <v>2166.4235055724416</v>
      </c>
      <c r="AU222" s="67">
        <f t="shared" si="89"/>
        <v>2207.1861644331761</v>
      </c>
      <c r="AV222" s="67">
        <f t="shared" si="89"/>
        <v>2213</v>
      </c>
      <c r="AW222" s="67">
        <f t="shared" ref="AW222:AX222" si="90">AW183/AW200</f>
        <v>2204.452491056627</v>
      </c>
      <c r="AX222" s="67">
        <f t="shared" si="90"/>
        <v>2216.3027656477439</v>
      </c>
      <c r="AY222" s="24" t="s">
        <v>93</v>
      </c>
      <c r="AZ222" s="35"/>
      <c r="BA222" s="35"/>
      <c r="BB222" s="35"/>
      <c r="BC222" s="304"/>
      <c r="BD222" s="35"/>
      <c r="BE222" s="306"/>
      <c r="BF222" s="46"/>
      <c r="BG222" s="46"/>
      <c r="BH222" s="35"/>
      <c r="BI222" s="35"/>
      <c r="BJ222" s="35"/>
      <c r="BK222" s="35"/>
      <c r="BL222" s="35"/>
      <c r="BM222" s="35"/>
      <c r="BN222" s="35"/>
      <c r="BO222" s="35"/>
      <c r="BP222" s="35"/>
      <c r="BQ222" s="35"/>
      <c r="BR222" s="47"/>
      <c r="BS222" s="3"/>
      <c r="BT222" s="3"/>
      <c r="BU222" s="3"/>
      <c r="BV222" s="3"/>
      <c r="BW222" s="3"/>
      <c r="BX222" s="3"/>
      <c r="BY222" s="3"/>
      <c r="BZ222" s="3"/>
      <c r="CA222" s="3"/>
      <c r="CB222" s="3"/>
    </row>
    <row r="223" spans="1:80" ht="10.5" x14ac:dyDescent="0.25">
      <c r="A223" s="42" t="s">
        <v>83</v>
      </c>
      <c r="B223" s="35"/>
      <c r="C223" s="35"/>
      <c r="D223" s="12"/>
      <c r="E223" s="67">
        <f>E186/E200</f>
        <v>2678.1942748091606</v>
      </c>
      <c r="F223" s="67">
        <f t="shared" ref="F223:AO223" si="91">F186/F200</f>
        <v>2671.8389602803741</v>
      </c>
      <c r="G223" s="67">
        <f t="shared" si="91"/>
        <v>2636.0479513613532</v>
      </c>
      <c r="H223" s="67">
        <f t="shared" si="91"/>
        <v>2668.2094151212555</v>
      </c>
      <c r="I223" s="67">
        <f t="shared" si="91"/>
        <v>2494.802654867256</v>
      </c>
      <c r="J223" s="67">
        <f t="shared" si="91"/>
        <v>2425.7621234463872</v>
      </c>
      <c r="K223" s="67">
        <f t="shared" si="91"/>
        <v>2853.4583785958562</v>
      </c>
      <c r="L223" s="67">
        <f t="shared" si="91"/>
        <v>3128.6119999999996</v>
      </c>
      <c r="M223" s="67">
        <f t="shared" si="91"/>
        <v>2939.567059718524</v>
      </c>
      <c r="N223" s="67">
        <f t="shared" si="91"/>
        <v>3233.1476855253491</v>
      </c>
      <c r="O223" s="67">
        <f t="shared" si="91"/>
        <v>3551.4083953241229</v>
      </c>
      <c r="P223" s="67">
        <f t="shared" si="91"/>
        <v>3600.8579270371629</v>
      </c>
      <c r="Q223" s="67">
        <f t="shared" si="91"/>
        <v>3916.0321119253831</v>
      </c>
      <c r="R223" s="67">
        <f t="shared" si="91"/>
        <v>4312.6813390997913</v>
      </c>
      <c r="S223" s="67">
        <f t="shared" si="91"/>
        <v>4733.2090381679382</v>
      </c>
      <c r="T223" s="67">
        <f t="shared" si="91"/>
        <v>4657.2916875830497</v>
      </c>
      <c r="U223" s="67">
        <f t="shared" si="91"/>
        <v>4818.9200116093452</v>
      </c>
      <c r="V223" s="67">
        <f t="shared" si="91"/>
        <v>3795.1526278709316</v>
      </c>
      <c r="W223" s="67">
        <f t="shared" si="91"/>
        <v>3579.1205752212391</v>
      </c>
      <c r="X223" s="67">
        <f t="shared" si="91"/>
        <v>3413.5001893939389</v>
      </c>
      <c r="Y223" s="67">
        <f t="shared" si="91"/>
        <v>987.79385941287364</v>
      </c>
      <c r="Z223" s="67">
        <f t="shared" si="91"/>
        <v>1174.5912579957355</v>
      </c>
      <c r="AA223" s="67">
        <f t="shared" si="91"/>
        <v>1107.085327431324</v>
      </c>
      <c r="AB223" s="67">
        <f t="shared" si="91"/>
        <v>1393.0526503114274</v>
      </c>
      <c r="AC223" s="67">
        <f t="shared" si="91"/>
        <v>1383.3565365792444</v>
      </c>
      <c r="AD223" s="67">
        <f t="shared" si="91"/>
        <v>1385.3523282958593</v>
      </c>
      <c r="AE223" s="67">
        <f t="shared" si="91"/>
        <v>1043.5478156505039</v>
      </c>
      <c r="AF223" s="67">
        <f t="shared" si="91"/>
        <v>1118.1951344430217</v>
      </c>
      <c r="AG223" s="67">
        <f t="shared" si="91"/>
        <v>1184.9053664036076</v>
      </c>
      <c r="AH223" s="67">
        <f t="shared" si="91"/>
        <v>1355.4746347358014</v>
      </c>
      <c r="AI223" s="67">
        <f t="shared" si="91"/>
        <v>1498.6993304283135</v>
      </c>
      <c r="AJ223" s="67">
        <f t="shared" si="91"/>
        <v>1836.216698534098</v>
      </c>
      <c r="AK223" s="67">
        <f t="shared" si="91"/>
        <v>663.47673677501587</v>
      </c>
      <c r="AL223" s="67">
        <f t="shared" si="91"/>
        <v>1878.2116689280867</v>
      </c>
      <c r="AM223" s="67">
        <f t="shared" si="91"/>
        <v>1709.1919109386172</v>
      </c>
      <c r="AN223" s="67">
        <f t="shared" si="91"/>
        <v>1680.67236</v>
      </c>
      <c r="AO223" s="67">
        <f t="shared" si="91"/>
        <v>1718.508731174328</v>
      </c>
      <c r="AP223" s="67">
        <f t="shared" ref="AP223:AV223" si="92">AP186/AP200</f>
        <v>1756.3920124079098</v>
      </c>
      <c r="AQ223" s="67">
        <f t="shared" si="92"/>
        <v>1826.7126350308642</v>
      </c>
      <c r="AR223" s="67">
        <f t="shared" si="92"/>
        <v>1992.7835663665965</v>
      </c>
      <c r="AS223" s="67">
        <f t="shared" si="92"/>
        <v>1982.8526642816794</v>
      </c>
      <c r="AT223" s="67">
        <f t="shared" si="92"/>
        <v>2166.4235055724416</v>
      </c>
      <c r="AU223" s="67">
        <f t="shared" si="92"/>
        <v>2207.1861644331761</v>
      </c>
      <c r="AV223" s="67">
        <f t="shared" si="92"/>
        <v>2213</v>
      </c>
      <c r="AW223" s="67">
        <f t="shared" ref="AW223:AX223" si="93">AW186/AW200</f>
        <v>2204.452491056627</v>
      </c>
      <c r="AX223" s="67">
        <f t="shared" si="93"/>
        <v>2216.3027656477439</v>
      </c>
      <c r="AY223" s="24" t="s">
        <v>83</v>
      </c>
      <c r="AZ223" s="35"/>
      <c r="BA223" s="35"/>
      <c r="BB223" s="35"/>
      <c r="BC223" s="35"/>
      <c r="BD223" s="35"/>
      <c r="BE223" s="306"/>
      <c r="BF223" s="46"/>
      <c r="BG223" s="46"/>
      <c r="BH223" s="35"/>
      <c r="BI223" s="35"/>
      <c r="BJ223" s="35"/>
      <c r="BK223" s="35"/>
      <c r="BL223" s="35"/>
      <c r="BM223" s="35"/>
      <c r="BN223" s="35"/>
      <c r="BO223" s="35"/>
      <c r="BP223" s="35"/>
      <c r="BQ223" s="35"/>
      <c r="BR223" s="47"/>
      <c r="BS223" s="3"/>
      <c r="BT223" s="3"/>
      <c r="BU223" s="3"/>
      <c r="BV223" s="3"/>
      <c r="BW223" s="3"/>
      <c r="BX223" s="3"/>
      <c r="BY223" s="3"/>
      <c r="BZ223" s="3"/>
      <c r="CA223" s="3"/>
      <c r="CB223" s="3"/>
    </row>
    <row r="224" spans="1:80" x14ac:dyDescent="0.2">
      <c r="A224" s="48"/>
      <c r="B224" s="35"/>
      <c r="C224" s="35"/>
      <c r="D224" s="12"/>
      <c r="E224" s="67"/>
      <c r="F224" s="169"/>
      <c r="G224" s="67"/>
      <c r="H224" s="67"/>
      <c r="I224" s="67"/>
      <c r="J224" s="67"/>
      <c r="K224" s="67"/>
      <c r="L224" s="67"/>
      <c r="M224" s="67"/>
      <c r="N224" s="67"/>
      <c r="O224" s="67"/>
      <c r="P224" s="67"/>
      <c r="Q224" s="67"/>
      <c r="R224" s="67"/>
      <c r="S224" s="67"/>
      <c r="T224" s="67"/>
      <c r="U224" s="68"/>
      <c r="V224" s="68"/>
      <c r="W224" s="67"/>
      <c r="X224" s="68"/>
      <c r="Y224" s="67"/>
      <c r="Z224" s="67"/>
      <c r="AA224" s="69"/>
      <c r="AB224" s="67"/>
      <c r="AC224" s="67"/>
      <c r="AD224" s="68"/>
      <c r="AE224" s="67"/>
      <c r="AF224" s="67"/>
      <c r="AG224" s="67"/>
      <c r="AH224" s="67"/>
      <c r="AI224" s="162"/>
      <c r="AJ224" s="162"/>
      <c r="AK224" s="162"/>
      <c r="AL224" s="162"/>
      <c r="AM224" s="162"/>
      <c r="AN224" s="162"/>
      <c r="AO224" s="162"/>
      <c r="AP224" s="35"/>
      <c r="AQ224" s="35"/>
      <c r="AR224" s="35"/>
      <c r="AS224" s="35"/>
      <c r="AT224" s="35"/>
      <c r="AU224" s="35"/>
      <c r="AV224" s="35"/>
      <c r="AW224" s="35"/>
      <c r="AX224" s="35"/>
      <c r="AY224" s="35"/>
      <c r="AZ224" s="35"/>
      <c r="BA224" s="35"/>
      <c r="BB224" s="35"/>
      <c r="BC224" s="52"/>
      <c r="BD224" s="35"/>
      <c r="BE224" s="306"/>
      <c r="BF224" s="46"/>
      <c r="BG224" s="46"/>
      <c r="BH224" s="35"/>
      <c r="BI224" s="35"/>
      <c r="BJ224" s="35"/>
      <c r="BK224" s="35"/>
      <c r="BL224" s="35"/>
      <c r="BM224" s="35"/>
      <c r="BN224" s="35"/>
      <c r="BO224" s="35"/>
      <c r="BP224" s="35"/>
      <c r="BQ224" s="35"/>
      <c r="BR224" s="47"/>
      <c r="BS224" s="3"/>
      <c r="BT224" s="3"/>
      <c r="BU224" s="3"/>
      <c r="BV224" s="3"/>
      <c r="BW224" s="3"/>
      <c r="BX224" s="3"/>
      <c r="BY224" s="3"/>
      <c r="BZ224" s="3"/>
      <c r="CA224" s="3"/>
      <c r="CB224" s="3"/>
    </row>
    <row r="225" spans="1:92" ht="10.5" x14ac:dyDescent="0.25">
      <c r="A225" s="42" t="s">
        <v>163</v>
      </c>
      <c r="B225" s="35"/>
      <c r="C225" s="35"/>
      <c r="D225" s="12"/>
      <c r="E225" s="67">
        <f>E192/E200</f>
        <v>565.9215648854962</v>
      </c>
      <c r="F225" s="67">
        <f t="shared" ref="F225:AO225" si="94">F192/F200</f>
        <v>520.95765186915889</v>
      </c>
      <c r="G225" s="67">
        <f t="shared" si="94"/>
        <v>503.64848004229441</v>
      </c>
      <c r="H225" s="67">
        <f t="shared" si="94"/>
        <v>443.3637184973847</v>
      </c>
      <c r="I225" s="67">
        <f t="shared" si="94"/>
        <v>425.0127876106194</v>
      </c>
      <c r="J225" s="67">
        <f t="shared" si="94"/>
        <v>339.49290077943959</v>
      </c>
      <c r="K225" s="67">
        <f t="shared" si="94"/>
        <v>414.97851538925772</v>
      </c>
      <c r="L225" s="67">
        <f t="shared" si="94"/>
        <v>410.17005825242711</v>
      </c>
      <c r="M225" s="67">
        <f t="shared" si="94"/>
        <v>380.98364397109162</v>
      </c>
      <c r="N225" s="67">
        <f t="shared" si="94"/>
        <v>396.90815576781779</v>
      </c>
      <c r="O225" s="67">
        <f t="shared" si="94"/>
        <v>533.79759121501945</v>
      </c>
      <c r="P225" s="67">
        <f t="shared" si="94"/>
        <v>490.56389362427541</v>
      </c>
      <c r="Q225" s="67">
        <f t="shared" si="94"/>
        <v>572.44696868754158</v>
      </c>
      <c r="R225" s="67">
        <f t="shared" si="94"/>
        <v>704.11859682844795</v>
      </c>
      <c r="S225" s="67">
        <f t="shared" si="94"/>
        <v>605.48238167938916</v>
      </c>
      <c r="T225" s="67">
        <f t="shared" si="94"/>
        <v>585.2146463900782</v>
      </c>
      <c r="U225" s="67">
        <f t="shared" si="94"/>
        <v>645.41877811638358</v>
      </c>
      <c r="V225" s="67">
        <f t="shared" si="94"/>
        <v>663.63237987882201</v>
      </c>
      <c r="W225" s="67">
        <f t="shared" si="94"/>
        <v>639.57328539823004</v>
      </c>
      <c r="X225" s="67">
        <f t="shared" si="94"/>
        <v>592.38790584415585</v>
      </c>
      <c r="Y225" s="67">
        <f t="shared" si="94"/>
        <v>599.67786156746558</v>
      </c>
      <c r="Z225" s="67">
        <f t="shared" si="94"/>
        <v>638.73648720682297</v>
      </c>
      <c r="AA225" s="67">
        <f t="shared" si="94"/>
        <v>618.01031115740136</v>
      </c>
      <c r="AB225" s="67">
        <f t="shared" si="94"/>
        <v>672.49337739926273</v>
      </c>
      <c r="AC225" s="67">
        <f t="shared" si="94"/>
        <v>741.84040657547985</v>
      </c>
      <c r="AD225" s="67">
        <f t="shared" si="94"/>
        <v>683.61931441208992</v>
      </c>
      <c r="AE225" s="67">
        <f t="shared" si="94"/>
        <v>842.83437349975986</v>
      </c>
      <c r="AF225" s="67">
        <f t="shared" si="94"/>
        <v>742.23214992433941</v>
      </c>
      <c r="AG225" s="67">
        <f t="shared" si="94"/>
        <v>715.71379932356263</v>
      </c>
      <c r="AH225" s="67">
        <f t="shared" si="94"/>
        <v>593.54557838075357</v>
      </c>
      <c r="AI225" s="67">
        <f t="shared" si="94"/>
        <v>635.24278881921566</v>
      </c>
      <c r="AJ225" s="67">
        <f t="shared" si="94"/>
        <v>699.57943488421506</v>
      </c>
      <c r="AK225" s="67">
        <f t="shared" si="94"/>
        <v>198.08665816868492</v>
      </c>
      <c r="AL225" s="67">
        <f t="shared" si="94"/>
        <v>690.67445986848963</v>
      </c>
      <c r="AM225" s="67">
        <f t="shared" si="94"/>
        <v>684.13653355122062</v>
      </c>
      <c r="AN225" s="67">
        <f t="shared" si="94"/>
        <v>666.68696</v>
      </c>
      <c r="AO225" s="67">
        <f t="shared" si="94"/>
        <v>621.13572201988381</v>
      </c>
      <c r="AP225" s="67">
        <f t="shared" ref="AP225:AV225" si="95">AP192/AP200</f>
        <v>665.46529662659941</v>
      </c>
      <c r="AQ225" s="67">
        <f t="shared" si="95"/>
        <v>621.53167438271612</v>
      </c>
      <c r="AR225" s="67">
        <f t="shared" si="95"/>
        <v>656.35759433058797</v>
      </c>
      <c r="AS225" s="67">
        <f t="shared" si="95"/>
        <v>648.41348145358688</v>
      </c>
      <c r="AT225" s="67">
        <f t="shared" si="95"/>
        <v>697.60910011973829</v>
      </c>
      <c r="AU225" s="67">
        <f t="shared" si="95"/>
        <v>718.40546903295899</v>
      </c>
      <c r="AV225" s="67">
        <f t="shared" si="95"/>
        <v>750</v>
      </c>
      <c r="AW225" s="67">
        <f t="shared" ref="AW225:AX225" si="96">AW192/AW200</f>
        <v>739.39987784661025</v>
      </c>
      <c r="AX225" s="67">
        <f t="shared" si="96"/>
        <v>797.86899563318775</v>
      </c>
      <c r="AY225" s="24" t="s">
        <v>163</v>
      </c>
      <c r="AZ225" s="35"/>
      <c r="BA225" s="35"/>
      <c r="BB225" s="35"/>
      <c r="BC225" s="304"/>
      <c r="BD225" s="35"/>
      <c r="BE225" s="306"/>
      <c r="BF225" s="46"/>
      <c r="BG225" s="46"/>
      <c r="BH225" s="35"/>
      <c r="BI225" s="35"/>
      <c r="BJ225" s="35"/>
      <c r="BK225" s="35"/>
      <c r="BL225" s="35"/>
      <c r="BM225" s="35"/>
      <c r="BN225" s="35"/>
      <c r="BO225" s="35"/>
      <c r="BP225" s="35"/>
      <c r="BQ225" s="35"/>
      <c r="BR225" s="47"/>
      <c r="BS225" s="3"/>
      <c r="BT225" s="3"/>
      <c r="BU225" s="3"/>
      <c r="BV225" s="3"/>
      <c r="BW225" s="3"/>
      <c r="BX225" s="3"/>
      <c r="BY225" s="3"/>
      <c r="BZ225" s="3"/>
      <c r="CA225" s="3"/>
      <c r="CB225" s="3"/>
    </row>
    <row r="226" spans="1:92" x14ac:dyDescent="0.2">
      <c r="A226" s="48" t="str">
        <f>AY226</f>
        <v>BES and Environmental and Biological R&amp;D</v>
      </c>
      <c r="B226" s="35"/>
      <c r="C226" s="35"/>
      <c r="D226" s="12"/>
      <c r="E226" s="67">
        <f>E222+E225</f>
        <v>1211.6663486005091</v>
      </c>
      <c r="F226" s="67">
        <f t="shared" ref="F226:AO226" si="97">F222+F225</f>
        <v>1193.7654205607478</v>
      </c>
      <c r="G226" s="67">
        <f t="shared" si="97"/>
        <v>1172.5519693365052</v>
      </c>
      <c r="H226" s="67">
        <f t="shared" si="97"/>
        <v>1052.0857822158821</v>
      </c>
      <c r="I226" s="67">
        <f t="shared" si="97"/>
        <v>1057.3033407079645</v>
      </c>
      <c r="J226" s="67">
        <f t="shared" si="97"/>
        <v>1039.1043185169581</v>
      </c>
      <c r="K226" s="67">
        <f t="shared" si="97"/>
        <v>1174.5272983303157</v>
      </c>
      <c r="L226" s="67">
        <f t="shared" si="97"/>
        <v>1307.8677669902913</v>
      </c>
      <c r="M226" s="67">
        <f t="shared" si="97"/>
        <v>1300.4812476226703</v>
      </c>
      <c r="N226" s="67">
        <f t="shared" si="97"/>
        <v>1496.6745040411463</v>
      </c>
      <c r="O226" s="67">
        <f t="shared" si="97"/>
        <v>1649.0319164009916</v>
      </c>
      <c r="P226" s="67">
        <f t="shared" si="97"/>
        <v>1537.8803954994883</v>
      </c>
      <c r="Q226" s="67">
        <f t="shared" si="97"/>
        <v>1629.8056295802796</v>
      </c>
      <c r="R226" s="67">
        <f t="shared" si="97"/>
        <v>1976.4353035399649</v>
      </c>
      <c r="S226" s="67">
        <f t="shared" si="97"/>
        <v>1911.9772824427478</v>
      </c>
      <c r="T226" s="67">
        <f t="shared" si="97"/>
        <v>2000.7295733057726</v>
      </c>
      <c r="U226" s="67">
        <f t="shared" si="97"/>
        <v>1883.0158177332751</v>
      </c>
      <c r="V226" s="67">
        <f t="shared" si="97"/>
        <v>1795.3753416936734</v>
      </c>
      <c r="W226" s="67">
        <f t="shared" si="97"/>
        <v>1844.4920077433626</v>
      </c>
      <c r="X226" s="67">
        <f t="shared" si="97"/>
        <v>1581.5280303030304</v>
      </c>
      <c r="Y226" s="67">
        <f t="shared" si="97"/>
        <v>1587.4717209803393</v>
      </c>
      <c r="Z226" s="67">
        <f t="shared" si="97"/>
        <v>1813.3277452025586</v>
      </c>
      <c r="AA226" s="67">
        <f t="shared" si="97"/>
        <v>1725.0956385887253</v>
      </c>
      <c r="AB226" s="67">
        <f t="shared" si="97"/>
        <v>2065.5460277106904</v>
      </c>
      <c r="AC226" s="67">
        <f t="shared" si="97"/>
        <v>2125.1969431547241</v>
      </c>
      <c r="AD226" s="67">
        <f t="shared" si="97"/>
        <v>2068.9716427079493</v>
      </c>
      <c r="AE226" s="67">
        <f t="shared" si="97"/>
        <v>1886.3821891502639</v>
      </c>
      <c r="AF226" s="67">
        <f t="shared" si="97"/>
        <v>1860.4272843673612</v>
      </c>
      <c r="AG226" s="67">
        <f t="shared" si="97"/>
        <v>1900.6191657271702</v>
      </c>
      <c r="AH226" s="67">
        <f t="shared" si="97"/>
        <v>1949.0202131165549</v>
      </c>
      <c r="AI226" s="67">
        <f t="shared" si="97"/>
        <v>2133.9421192475293</v>
      </c>
      <c r="AJ226" s="67">
        <f t="shared" si="97"/>
        <v>2535.7961334183128</v>
      </c>
      <c r="AK226" s="67">
        <f t="shared" si="97"/>
        <v>861.56339494370081</v>
      </c>
      <c r="AL226" s="67">
        <f t="shared" si="97"/>
        <v>2568.8861287965765</v>
      </c>
      <c r="AM226" s="67">
        <f t="shared" si="97"/>
        <v>2393.3284444898377</v>
      </c>
      <c r="AN226" s="67">
        <f t="shared" si="97"/>
        <v>2347.35932</v>
      </c>
      <c r="AO226" s="67">
        <f t="shared" si="97"/>
        <v>2339.6444531942116</v>
      </c>
      <c r="AP226" s="67">
        <f t="shared" ref="AP226:AW226" si="98">AP222+AP225</f>
        <v>2421.8573090345089</v>
      </c>
      <c r="AQ226" s="67">
        <f t="shared" si="98"/>
        <v>2448.2443094135806</v>
      </c>
      <c r="AR226" s="67">
        <f t="shared" si="98"/>
        <v>2649.1411606971842</v>
      </c>
      <c r="AS226" s="67">
        <f t="shared" si="98"/>
        <v>2631.266145735266</v>
      </c>
      <c r="AT226" s="67">
        <f t="shared" si="98"/>
        <v>2864.0326056921799</v>
      </c>
      <c r="AU226" s="67">
        <f t="shared" si="98"/>
        <v>2925.5916334661351</v>
      </c>
      <c r="AV226" s="67">
        <f t="shared" si="98"/>
        <v>2963</v>
      </c>
      <c r="AW226" s="67">
        <f t="shared" si="98"/>
        <v>2943.8523689032372</v>
      </c>
      <c r="AX226" s="67">
        <f t="shared" ref="AX226" si="99">AX222+AX225</f>
        <v>3014.1717612809316</v>
      </c>
      <c r="AY226" s="35" t="s">
        <v>209</v>
      </c>
      <c r="AZ226" s="35"/>
      <c r="BA226" s="35"/>
      <c r="BB226" s="35"/>
      <c r="BC226" s="304"/>
      <c r="BD226" s="35"/>
      <c r="BE226" s="306"/>
      <c r="BF226" s="46"/>
      <c r="BG226" s="46"/>
      <c r="BH226" s="35"/>
      <c r="BI226" s="35"/>
      <c r="BJ226" s="35"/>
      <c r="BK226" s="35"/>
      <c r="BL226" s="35"/>
      <c r="BM226" s="35"/>
      <c r="BN226" s="35"/>
      <c r="BO226" s="35"/>
      <c r="BP226" s="35"/>
      <c r="BQ226" s="35"/>
      <c r="BR226" s="47"/>
      <c r="BS226" s="3"/>
      <c r="BT226" s="3"/>
      <c r="BU226" s="3"/>
      <c r="BV226" s="3"/>
      <c r="BW226" s="3"/>
      <c r="BX226" s="3"/>
      <c r="BY226" s="3"/>
      <c r="BZ226" s="3"/>
      <c r="CA226" s="3"/>
      <c r="CB226" s="3"/>
    </row>
    <row r="227" spans="1:92" x14ac:dyDescent="0.2">
      <c r="A227" s="48" t="s">
        <v>164</v>
      </c>
      <c r="B227" s="35"/>
      <c r="C227" s="35"/>
      <c r="D227" s="12"/>
      <c r="E227" s="131">
        <f>E197/E199</f>
        <v>9807.2519083969473</v>
      </c>
      <c r="F227" s="131">
        <f t="shared" ref="F227:AJ227" si="100">F197/F199</f>
        <v>9613.6098130841128</v>
      </c>
      <c r="G227" s="131">
        <f t="shared" si="100"/>
        <v>9292.228390166536</v>
      </c>
      <c r="H227" s="131">
        <f t="shared" si="100"/>
        <v>8537.0898716119827</v>
      </c>
      <c r="I227" s="131">
        <f t="shared" si="100"/>
        <v>5812.9424778761049</v>
      </c>
      <c r="J227" s="131">
        <f t="shared" si="100"/>
        <v>4598.4832525805759</v>
      </c>
      <c r="K227" s="131">
        <f t="shared" si="100"/>
        <v>4455.1398109032389</v>
      </c>
      <c r="L227" s="131">
        <f t="shared" si="100"/>
        <v>4145.4368932038833</v>
      </c>
      <c r="M227" s="131">
        <f t="shared" si="100"/>
        <v>3787.181437809053</v>
      </c>
      <c r="N227" s="131">
        <f t="shared" si="100"/>
        <v>3576.2307127112417</v>
      </c>
      <c r="O227" s="131">
        <f t="shared" si="100"/>
        <v>3980.0743889479281</v>
      </c>
      <c r="P227" s="131">
        <f t="shared" si="100"/>
        <v>3863.1094442550288</v>
      </c>
      <c r="Q227" s="131">
        <f t="shared" si="100"/>
        <v>4631.0792804796802</v>
      </c>
      <c r="R227" s="131">
        <f t="shared" si="100"/>
        <v>4732.9809386512898</v>
      </c>
      <c r="S227" s="131">
        <f t="shared" si="100"/>
        <v>4695.7251908396938</v>
      </c>
      <c r="T227" s="131">
        <f t="shared" si="100"/>
        <v>4076.925927047103</v>
      </c>
      <c r="U227" s="131">
        <f t="shared" si="100"/>
        <v>4466.5345932293494</v>
      </c>
      <c r="V227" s="131">
        <f t="shared" si="100"/>
        <v>4174.8024616902003</v>
      </c>
      <c r="W227" s="131">
        <f t="shared" si="100"/>
        <v>3771.754020666177</v>
      </c>
      <c r="X227" s="131">
        <f t="shared" si="100"/>
        <v>3132.4029715250758</v>
      </c>
      <c r="Y227" s="131">
        <f t="shared" si="100"/>
        <v>3045.3327599470235</v>
      </c>
      <c r="Z227" s="131">
        <f t="shared" si="100"/>
        <v>3521.756950117704</v>
      </c>
      <c r="AA227" s="131">
        <f t="shared" si="100"/>
        <v>3302.0847412059284</v>
      </c>
      <c r="AB227" s="131">
        <f t="shared" si="100"/>
        <v>4081.7732783474007</v>
      </c>
      <c r="AC227" s="131">
        <f t="shared" si="100"/>
        <v>4274.8762077319025</v>
      </c>
      <c r="AD227" s="131">
        <f t="shared" si="100"/>
        <v>4178.5838917035562</v>
      </c>
      <c r="AE227" s="131">
        <f t="shared" si="100"/>
        <v>4006.3015396116512</v>
      </c>
      <c r="AF227" s="131">
        <f t="shared" si="100"/>
        <v>3831.2680075391372</v>
      </c>
      <c r="AG227" s="131">
        <f t="shared" si="100"/>
        <v>4066.650677651181</v>
      </c>
      <c r="AH227" s="131">
        <f t="shared" si="100"/>
        <v>4466.936791102491</v>
      </c>
      <c r="AI227" s="131">
        <f t="shared" si="100"/>
        <v>5031.5747978241343</v>
      </c>
      <c r="AJ227" s="131">
        <f t="shared" si="100"/>
        <v>6057.0340371388265</v>
      </c>
      <c r="AK227" s="131">
        <f>AK197/AP199</f>
        <v>7399.088794106241</v>
      </c>
      <c r="AL227" s="131">
        <f>AL197/AQ199</f>
        <v>5661.7080379170839</v>
      </c>
      <c r="AM227" s="131">
        <f>AM197/AR199</f>
        <v>4973.690139710865</v>
      </c>
      <c r="AN227" s="131">
        <f>AN197/AS199</f>
        <v>5065.8036569010301</v>
      </c>
      <c r="AO227" s="131">
        <f>AO197/AT199</f>
        <v>4927.4684559757752</v>
      </c>
      <c r="AP227" s="131">
        <f t="shared" ref="AP227:AV227" si="101">AP197/AP200</f>
        <v>6469.4522132158427</v>
      </c>
      <c r="AQ227" s="131">
        <f t="shared" si="101"/>
        <v>6248.4293117919742</v>
      </c>
      <c r="AR227" s="131">
        <f t="shared" si="101"/>
        <v>6922.386832184312</v>
      </c>
      <c r="AS227" s="131">
        <f t="shared" si="101"/>
        <v>6728.6985763803705</v>
      </c>
      <c r="AT227" s="131">
        <f t="shared" si="101"/>
        <v>7437.780855143892</v>
      </c>
      <c r="AU227" s="131">
        <f t="shared" si="101"/>
        <v>7644.3079593903403</v>
      </c>
      <c r="AV227" s="131">
        <f t="shared" si="101"/>
        <v>8290.1398604804799</v>
      </c>
      <c r="AW227" s="131">
        <f t="shared" ref="AW227:AX227" si="102">AW197/AW200</f>
        <v>8192.3350536566504</v>
      </c>
      <c r="AX227" s="131">
        <f t="shared" si="102"/>
        <v>10199.520866539055</v>
      </c>
      <c r="AY227" s="35" t="s">
        <v>164</v>
      </c>
      <c r="AZ227" s="35"/>
      <c r="BA227" s="35"/>
      <c r="BB227" s="35"/>
      <c r="BC227" s="304"/>
      <c r="BD227" s="35"/>
      <c r="BE227" s="306"/>
      <c r="BF227" s="46"/>
      <c r="BG227" s="46"/>
      <c r="BH227" s="35"/>
      <c r="BI227" s="35"/>
      <c r="BJ227" s="35"/>
      <c r="BK227" s="35"/>
      <c r="BL227" s="35"/>
      <c r="BM227" s="35"/>
      <c r="BN227" s="35"/>
      <c r="BO227" s="35"/>
      <c r="BP227" s="35"/>
      <c r="BQ227" s="35"/>
      <c r="BR227" s="47"/>
      <c r="BS227" s="3"/>
      <c r="BT227" s="3"/>
      <c r="BU227" s="3"/>
      <c r="BV227" s="3"/>
      <c r="BW227" s="3"/>
      <c r="BX227" s="3"/>
      <c r="BY227" s="3"/>
      <c r="BZ227" s="3"/>
      <c r="CA227" s="3"/>
      <c r="CB227" s="3"/>
    </row>
    <row r="228" spans="1:92" ht="12.5" x14ac:dyDescent="0.25">
      <c r="A228" s="48"/>
      <c r="B228" s="35"/>
      <c r="C228" s="35"/>
      <c r="D228" s="12"/>
      <c r="E228" s="67"/>
      <c r="F228" s="67"/>
      <c r="G228" s="67"/>
      <c r="H228" s="67"/>
      <c r="I228" s="67"/>
      <c r="J228" s="67"/>
      <c r="K228" s="67"/>
      <c r="L228" s="67"/>
      <c r="M228" s="67"/>
      <c r="N228" s="67"/>
      <c r="O228" s="67"/>
      <c r="P228" s="67"/>
      <c r="Q228" s="67"/>
      <c r="R228" s="67"/>
      <c r="S228" s="67"/>
      <c r="T228" s="67"/>
      <c r="U228" s="68"/>
      <c r="V228" s="68"/>
      <c r="W228" s="67"/>
      <c r="X228" s="68"/>
      <c r="Y228" s="67"/>
      <c r="Z228" s="67"/>
      <c r="AA228" s="69"/>
      <c r="AB228" s="67"/>
      <c r="AC228" s="67"/>
      <c r="AD228" s="68"/>
      <c r="AE228" s="67"/>
      <c r="AF228" s="67"/>
      <c r="AG228" s="67"/>
      <c r="AH228" s="67"/>
      <c r="AI228" s="170"/>
      <c r="AJ228" s="170"/>
      <c r="AK228" s="170"/>
      <c r="AL228" s="170"/>
      <c r="AM228" s="170"/>
      <c r="AN228" s="170"/>
      <c r="AO228" s="170"/>
      <c r="AP228" s="170"/>
      <c r="AQ228" s="170"/>
      <c r="AR228" s="170"/>
      <c r="AS228" s="170"/>
      <c r="AT228" s="170"/>
      <c r="AU228" s="170"/>
      <c r="AV228" s="170"/>
      <c r="AW228" s="170"/>
      <c r="AX228" s="170"/>
      <c r="AY228" s="35"/>
      <c r="AZ228" s="35"/>
      <c r="BA228" s="35"/>
      <c r="BB228" s="35"/>
      <c r="BC228" s="304"/>
      <c r="BD228" s="35"/>
      <c r="BE228"/>
      <c r="BJ228" s="35"/>
      <c r="BK228" s="35"/>
      <c r="BL228" s="35"/>
      <c r="BM228" s="35"/>
      <c r="BN228" s="35"/>
      <c r="BO228" s="35"/>
      <c r="BP228" s="35"/>
      <c r="BQ228" s="35"/>
      <c r="BR228" s="47"/>
      <c r="BS228" s="3"/>
      <c r="BT228" s="3"/>
      <c r="BU228" s="3"/>
      <c r="BV228" s="3"/>
      <c r="BW228" s="3"/>
      <c r="BX228" s="3"/>
      <c r="BY228" s="3"/>
      <c r="BZ228" s="3"/>
      <c r="CA228" s="3"/>
      <c r="CB228" s="3"/>
    </row>
    <row r="229" spans="1:92" ht="12.5" x14ac:dyDescent="0.25">
      <c r="A229" s="51" t="s">
        <v>402</v>
      </c>
      <c r="B229" s="35"/>
      <c r="C229" s="35"/>
      <c r="D229" s="12"/>
      <c r="E229" s="67"/>
      <c r="F229" s="67"/>
      <c r="G229" s="67"/>
      <c r="H229" s="67"/>
      <c r="I229" s="67"/>
      <c r="J229" s="294"/>
      <c r="K229" s="67"/>
      <c r="L229" s="67"/>
      <c r="M229" s="67"/>
      <c r="N229" s="67"/>
      <c r="O229" s="67"/>
      <c r="P229" s="67"/>
      <c r="Q229" s="67"/>
      <c r="R229" s="67"/>
      <c r="S229" s="67"/>
      <c r="T229" s="67"/>
      <c r="U229" s="68"/>
      <c r="V229" s="68"/>
      <c r="W229" s="67"/>
      <c r="X229" s="68"/>
      <c r="Y229" s="67"/>
      <c r="Z229" s="67"/>
      <c r="AA229" s="69"/>
      <c r="AB229" s="67"/>
      <c r="AC229" s="67"/>
      <c r="AD229" s="68"/>
      <c r="AE229" s="67"/>
      <c r="AF229" s="67"/>
      <c r="AG229" s="67"/>
      <c r="AH229" s="67"/>
      <c r="AI229" s="35"/>
      <c r="AJ229" s="35"/>
      <c r="AK229" s="35"/>
      <c r="AL229" s="35"/>
      <c r="AM229" s="35"/>
      <c r="AN229" s="35"/>
      <c r="AO229" s="35"/>
      <c r="AP229" s="35"/>
      <c r="AQ229" s="35"/>
      <c r="AR229" s="35"/>
      <c r="AS229" s="35"/>
      <c r="AT229" s="35"/>
      <c r="AU229" s="35"/>
      <c r="AV229" s="35"/>
      <c r="AW229" s="35"/>
      <c r="AX229" s="35"/>
      <c r="AY229" s="44" t="s">
        <v>462</v>
      </c>
      <c r="AZ229" s="35"/>
      <c r="BA229" s="35"/>
      <c r="BB229" s="35"/>
      <c r="BC229" s="304"/>
      <c r="BD229" s="35"/>
      <c r="BE229"/>
      <c r="BG229" s="145"/>
      <c r="BH229" s="146"/>
      <c r="BI229" s="146"/>
      <c r="BJ229" s="44"/>
      <c r="BK229" s="44"/>
      <c r="BL229" s="44"/>
      <c r="BM229" s="44"/>
      <c r="BN229" s="44"/>
      <c r="BO229" s="44"/>
      <c r="BP229" s="35"/>
      <c r="BQ229" s="35"/>
      <c r="BR229" s="47"/>
      <c r="BS229" s="3"/>
      <c r="BT229" s="3"/>
      <c r="BU229" s="3"/>
      <c r="BV229" s="3"/>
      <c r="BW229" s="3"/>
      <c r="BX229" s="3"/>
      <c r="BY229" s="3"/>
      <c r="BZ229" s="3"/>
      <c r="CA229" s="3"/>
      <c r="CB229" s="3"/>
    </row>
    <row r="230" spans="1:92" x14ac:dyDescent="0.2">
      <c r="A230" s="48"/>
      <c r="B230" s="35" t="s">
        <v>293</v>
      </c>
      <c r="C230" s="35"/>
      <c r="D230" s="12"/>
      <c r="E230" s="67">
        <f t="shared" ref="E230:AX230" si="103">E15/E200</f>
        <v>2233.2603689567427</v>
      </c>
      <c r="F230" s="67">
        <f t="shared" si="103"/>
        <v>2178.4904205607477</v>
      </c>
      <c r="G230" s="67">
        <f t="shared" si="103"/>
        <v>2168.3956119481886</v>
      </c>
      <c r="H230" s="67">
        <f t="shared" si="103"/>
        <v>1866.8368521160251</v>
      </c>
      <c r="I230" s="67">
        <f t="shared" si="103"/>
        <v>1163.9922566371681</v>
      </c>
      <c r="J230" s="67">
        <f t="shared" si="103"/>
        <v>485.05759427006524</v>
      </c>
      <c r="K230" s="67">
        <f t="shared" si="103"/>
        <v>445.99436733051698</v>
      </c>
      <c r="L230" s="67">
        <f t="shared" si="103"/>
        <v>459.33801941747566</v>
      </c>
      <c r="M230" s="67">
        <f t="shared" si="103"/>
        <v>453.75580068467093</v>
      </c>
      <c r="N230" s="67">
        <f t="shared" si="103"/>
        <v>361.76524614254225</v>
      </c>
      <c r="O230" s="67">
        <f t="shared" si="103"/>
        <v>400.84651080410907</v>
      </c>
      <c r="P230" s="67">
        <f t="shared" si="103"/>
        <v>414.01520627344013</v>
      </c>
      <c r="Q230" s="67">
        <f t="shared" si="103"/>
        <v>446.29870086608923</v>
      </c>
      <c r="R230" s="67">
        <f t="shared" si="103"/>
        <v>444.7159698862726</v>
      </c>
      <c r="S230" s="67">
        <f t="shared" si="103"/>
        <v>387.6186870229007</v>
      </c>
      <c r="T230" s="67">
        <f t="shared" si="103"/>
        <v>309.55561789458142</v>
      </c>
      <c r="U230" s="67">
        <f t="shared" si="103"/>
        <v>270.93870265563777</v>
      </c>
      <c r="V230" s="67">
        <f t="shared" si="103"/>
        <v>229.13949556150487</v>
      </c>
      <c r="W230" s="67">
        <f t="shared" si="103"/>
        <v>186.11426991150441</v>
      </c>
      <c r="X230" s="67">
        <f t="shared" si="103"/>
        <v>153.61588203463202</v>
      </c>
      <c r="Y230" s="67">
        <f t="shared" si="103"/>
        <v>159.58068946943172</v>
      </c>
      <c r="Z230" s="67">
        <f t="shared" si="103"/>
        <v>180.83786247334754</v>
      </c>
      <c r="AA230" s="67">
        <f t="shared" si="103"/>
        <v>177.57906522588206</v>
      </c>
      <c r="AB230" s="67">
        <f t="shared" si="103"/>
        <v>383.81189780094064</v>
      </c>
      <c r="AC230" s="67">
        <f t="shared" si="103"/>
        <v>470.27004642991591</v>
      </c>
      <c r="AD230" s="67">
        <f t="shared" si="103"/>
        <v>468.190735962649</v>
      </c>
      <c r="AE230" s="67">
        <f t="shared" si="103"/>
        <v>432.22275564090251</v>
      </c>
      <c r="AF230" s="67">
        <f t="shared" si="103"/>
        <v>366.53116051681997</v>
      </c>
      <c r="AG230" s="67">
        <f t="shared" si="103"/>
        <v>361.07323449830898</v>
      </c>
      <c r="AH230" s="67">
        <f t="shared" si="103"/>
        <v>327.12384928045691</v>
      </c>
      <c r="AI230" s="67">
        <f t="shared" si="103"/>
        <v>349.25794452120311</v>
      </c>
      <c r="AJ230" s="67">
        <f t="shared" si="103"/>
        <v>640.16539196940721</v>
      </c>
      <c r="AK230" s="67">
        <f t="shared" si="103"/>
        <v>980.27193541533882</v>
      </c>
      <c r="AL230" s="67">
        <f t="shared" si="103"/>
        <v>286.01910030268238</v>
      </c>
      <c r="AM230" s="67">
        <f t="shared" si="103"/>
        <v>288.93274313144724</v>
      </c>
      <c r="AN230" s="67">
        <f t="shared" si="103"/>
        <v>202.68454</v>
      </c>
      <c r="AO230" s="67">
        <f t="shared" si="103"/>
        <v>189.76377596220101</v>
      </c>
      <c r="AP230" s="67">
        <f t="shared" si="103"/>
        <v>208.80337340054282</v>
      </c>
      <c r="AQ230" s="67">
        <f t="shared" si="103"/>
        <v>214.26886574074075</v>
      </c>
      <c r="AR230" s="67">
        <f t="shared" si="103"/>
        <v>224.17467918023365</v>
      </c>
      <c r="AS230" s="67">
        <f t="shared" si="103"/>
        <v>215.60807757484463</v>
      </c>
      <c r="AT230" s="67">
        <f t="shared" si="103"/>
        <v>231.56890485401121</v>
      </c>
      <c r="AU230" s="67">
        <f t="shared" si="103"/>
        <v>293.27247374139802</v>
      </c>
      <c r="AV230" s="67">
        <f t="shared" si="103"/>
        <v>273</v>
      </c>
      <c r="AW230" s="67">
        <f t="shared" si="103"/>
        <v>214.55361661286102</v>
      </c>
      <c r="AX230" s="67">
        <f t="shared" si="103"/>
        <v>114.18777292576419</v>
      </c>
      <c r="AY230" s="35" t="s">
        <v>293</v>
      </c>
      <c r="AZ230" s="35"/>
      <c r="BA230" s="35"/>
      <c r="BB230" s="35"/>
      <c r="BC230" s="304"/>
      <c r="BE230" s="306"/>
      <c r="BF230" s="36"/>
      <c r="BG230" s="36"/>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c r="CG230" s="35"/>
      <c r="CH230" s="35"/>
      <c r="CI230" s="35"/>
      <c r="CJ230" s="35"/>
      <c r="CK230" s="35"/>
      <c r="CL230" s="35"/>
      <c r="CM230" s="35"/>
      <c r="CN230" s="35"/>
    </row>
    <row r="231" spans="1:92" ht="12.5" x14ac:dyDescent="0.25">
      <c r="A231" s="48"/>
      <c r="B231" s="35" t="s">
        <v>292</v>
      </c>
      <c r="C231" s="35"/>
      <c r="D231" s="12"/>
      <c r="E231" s="67">
        <f t="shared" ref="E231:AX231" si="104">E16/E200</f>
        <v>0</v>
      </c>
      <c r="F231" s="67">
        <f t="shared" si="104"/>
        <v>0</v>
      </c>
      <c r="G231" s="67">
        <f t="shared" si="104"/>
        <v>0</v>
      </c>
      <c r="H231" s="67">
        <f t="shared" si="104"/>
        <v>0</v>
      </c>
      <c r="I231" s="67">
        <f t="shared" si="104"/>
        <v>0</v>
      </c>
      <c r="J231" s="67">
        <f t="shared" si="104"/>
        <v>0</v>
      </c>
      <c r="K231" s="67">
        <f t="shared" si="104"/>
        <v>0</v>
      </c>
      <c r="L231" s="67">
        <f t="shared" si="104"/>
        <v>0</v>
      </c>
      <c r="M231" s="67">
        <f t="shared" si="104"/>
        <v>0</v>
      </c>
      <c r="N231" s="67">
        <f t="shared" si="104"/>
        <v>0</v>
      </c>
      <c r="O231" s="67">
        <f t="shared" si="104"/>
        <v>0</v>
      </c>
      <c r="P231" s="67">
        <f t="shared" si="104"/>
        <v>0</v>
      </c>
      <c r="Q231" s="67">
        <f t="shared" si="104"/>
        <v>0</v>
      </c>
      <c r="R231" s="67">
        <f t="shared" si="104"/>
        <v>0</v>
      </c>
      <c r="S231" s="67">
        <f t="shared" si="104"/>
        <v>0</v>
      </c>
      <c r="T231" s="67">
        <f t="shared" si="104"/>
        <v>0</v>
      </c>
      <c r="U231" s="67">
        <f t="shared" si="104"/>
        <v>0</v>
      </c>
      <c r="V231" s="67">
        <f t="shared" si="104"/>
        <v>0</v>
      </c>
      <c r="W231" s="67">
        <f t="shared" si="104"/>
        <v>0</v>
      </c>
      <c r="X231" s="67">
        <f t="shared" si="104"/>
        <v>0</v>
      </c>
      <c r="Y231" s="67">
        <f t="shared" si="104"/>
        <v>0</v>
      </c>
      <c r="Z231" s="67">
        <f t="shared" si="104"/>
        <v>0</v>
      </c>
      <c r="AA231" s="67">
        <f t="shared" si="104"/>
        <v>0</v>
      </c>
      <c r="AB231" s="67">
        <f t="shared" si="104"/>
        <v>0</v>
      </c>
      <c r="AC231" s="67">
        <f t="shared" si="104"/>
        <v>0</v>
      </c>
      <c r="AD231" s="67">
        <f t="shared" si="104"/>
        <v>0</v>
      </c>
      <c r="AE231" s="67">
        <f t="shared" si="104"/>
        <v>11.615986557849254</v>
      </c>
      <c r="AF231" s="67">
        <f t="shared" si="104"/>
        <v>22.662577115586078</v>
      </c>
      <c r="AG231" s="67">
        <f t="shared" si="104"/>
        <v>21.949740698985345</v>
      </c>
      <c r="AH231" s="67">
        <f t="shared" si="104"/>
        <v>64.905525650884314</v>
      </c>
      <c r="AI231" s="67">
        <f t="shared" si="104"/>
        <v>86.47722393453077</v>
      </c>
      <c r="AJ231" s="67">
        <f t="shared" si="104"/>
        <v>0</v>
      </c>
      <c r="AK231" s="67">
        <f t="shared" si="104"/>
        <v>1195.4535797748035</v>
      </c>
      <c r="AL231" s="67">
        <f t="shared" si="104"/>
        <v>0</v>
      </c>
      <c r="AM231" s="67">
        <f t="shared" si="104"/>
        <v>0</v>
      </c>
      <c r="AN231" s="67">
        <f t="shared" si="104"/>
        <v>0</v>
      </c>
      <c r="AO231" s="67">
        <f t="shared" si="104"/>
        <v>0</v>
      </c>
      <c r="AP231" s="67">
        <f t="shared" si="104"/>
        <v>0</v>
      </c>
      <c r="AQ231" s="67">
        <f t="shared" si="104"/>
        <v>0</v>
      </c>
      <c r="AR231" s="67">
        <f t="shared" si="104"/>
        <v>0</v>
      </c>
      <c r="AS231" s="67">
        <f t="shared" si="104"/>
        <v>0</v>
      </c>
      <c r="AT231" s="67">
        <f t="shared" si="104"/>
        <v>0</v>
      </c>
      <c r="AU231" s="67">
        <f t="shared" si="104"/>
        <v>0</v>
      </c>
      <c r="AV231" s="67">
        <f t="shared" si="104"/>
        <v>0</v>
      </c>
      <c r="AW231" s="67">
        <f t="shared" si="104"/>
        <v>0</v>
      </c>
      <c r="AX231" s="67">
        <f t="shared" si="104"/>
        <v>0</v>
      </c>
      <c r="AY231" s="35" t="s">
        <v>292</v>
      </c>
      <c r="AZ231" s="35"/>
      <c r="BA231" s="35"/>
      <c r="BB231" s="35"/>
      <c r="BC231" s="304"/>
      <c r="BE231"/>
      <c r="BF231" s="36"/>
      <c r="BG231" s="36"/>
      <c r="BJ231" s="35"/>
      <c r="BK231" s="35"/>
      <c r="BL231" s="35"/>
      <c r="BM231" s="35"/>
      <c r="BN231" s="35"/>
      <c r="BO231" s="35"/>
      <c r="BP231" s="35"/>
      <c r="BQ231" s="35"/>
      <c r="BR231" s="47"/>
      <c r="BS231" s="3"/>
      <c r="BT231" s="3"/>
      <c r="BU231" s="3"/>
      <c r="BV231" s="3"/>
      <c r="BW231" s="3"/>
      <c r="BX231" s="3"/>
      <c r="BY231" s="3"/>
      <c r="BZ231" s="3"/>
      <c r="CA231" s="3"/>
      <c r="CB231" s="3"/>
    </row>
    <row r="232" spans="1:92" ht="12.5" x14ac:dyDescent="0.25">
      <c r="A232" s="48"/>
      <c r="B232" s="35" t="s">
        <v>273</v>
      </c>
      <c r="C232" s="35"/>
      <c r="D232" s="12"/>
      <c r="E232" s="67">
        <f t="shared" ref="E232:AX232" si="105">E17/E200</f>
        <v>0</v>
      </c>
      <c r="F232" s="67">
        <f t="shared" si="105"/>
        <v>0</v>
      </c>
      <c r="G232" s="67">
        <f t="shared" si="105"/>
        <v>0</v>
      </c>
      <c r="H232" s="67">
        <f t="shared" si="105"/>
        <v>0</v>
      </c>
      <c r="I232" s="67">
        <f t="shared" si="105"/>
        <v>0</v>
      </c>
      <c r="J232" s="67">
        <f t="shared" si="105"/>
        <v>0</v>
      </c>
      <c r="K232" s="67">
        <f t="shared" si="105"/>
        <v>0</v>
      </c>
      <c r="L232" s="67">
        <f t="shared" si="105"/>
        <v>0</v>
      </c>
      <c r="M232" s="67">
        <f t="shared" si="105"/>
        <v>0</v>
      </c>
      <c r="N232" s="67">
        <f t="shared" si="105"/>
        <v>0</v>
      </c>
      <c r="O232" s="67">
        <f t="shared" si="105"/>
        <v>0</v>
      </c>
      <c r="P232" s="67">
        <f t="shared" si="105"/>
        <v>0</v>
      </c>
      <c r="Q232" s="67">
        <f t="shared" si="105"/>
        <v>0</v>
      </c>
      <c r="R232" s="67">
        <f t="shared" si="105"/>
        <v>0</v>
      </c>
      <c r="S232" s="67">
        <f t="shared" si="105"/>
        <v>0</v>
      </c>
      <c r="T232" s="67">
        <f t="shared" si="105"/>
        <v>0</v>
      </c>
      <c r="U232" s="67">
        <f t="shared" si="105"/>
        <v>0</v>
      </c>
      <c r="V232" s="67">
        <f t="shared" si="105"/>
        <v>0</v>
      </c>
      <c r="W232" s="67">
        <f t="shared" si="105"/>
        <v>0</v>
      </c>
      <c r="X232" s="67">
        <f t="shared" si="105"/>
        <v>0</v>
      </c>
      <c r="Y232" s="67">
        <f t="shared" si="105"/>
        <v>0</v>
      </c>
      <c r="Z232" s="67">
        <f t="shared" si="105"/>
        <v>0</v>
      </c>
      <c r="AA232" s="67">
        <f t="shared" si="105"/>
        <v>0</v>
      </c>
      <c r="AB232" s="67">
        <f t="shared" si="105"/>
        <v>0</v>
      </c>
      <c r="AC232" s="67">
        <f t="shared" si="105"/>
        <v>0</v>
      </c>
      <c r="AD232" s="67">
        <f t="shared" si="105"/>
        <v>0</v>
      </c>
      <c r="AE232" s="67">
        <f t="shared" si="105"/>
        <v>53.217426788286119</v>
      </c>
      <c r="AF232" s="67">
        <f t="shared" si="105"/>
        <v>59.472890233965778</v>
      </c>
      <c r="AG232" s="67">
        <f t="shared" si="105"/>
        <v>82.089492671927857</v>
      </c>
      <c r="AH232" s="67">
        <f t="shared" si="105"/>
        <v>120.2915742063056</v>
      </c>
      <c r="AI232" s="67">
        <f t="shared" si="105"/>
        <v>138.26787118716123</v>
      </c>
      <c r="AJ232" s="67">
        <f t="shared" si="105"/>
        <v>174.29713193116635</v>
      </c>
      <c r="AK232" s="67">
        <f t="shared" si="105"/>
        <v>1875.1884852347566</v>
      </c>
      <c r="AL232" s="67">
        <f t="shared" si="105"/>
        <v>176.19246425216573</v>
      </c>
      <c r="AM232" s="67">
        <f t="shared" si="105"/>
        <v>158.98358329077726</v>
      </c>
      <c r="AN232" s="67">
        <f t="shared" si="105"/>
        <v>201.67167999999998</v>
      </c>
      <c r="AO232" s="67">
        <f t="shared" si="105"/>
        <v>199.84463037700561</v>
      </c>
      <c r="AP232" s="67">
        <f t="shared" si="105"/>
        <v>219.05808452888715</v>
      </c>
      <c r="AQ232" s="67">
        <f t="shared" si="105"/>
        <v>208.40740740740742</v>
      </c>
      <c r="AR232" s="67">
        <f t="shared" si="105"/>
        <v>239.26335950967245</v>
      </c>
      <c r="AS232" s="67">
        <f t="shared" si="105"/>
        <v>233.40766334023724</v>
      </c>
      <c r="AT232" s="67">
        <f t="shared" si="105"/>
        <v>206.06937459703414</v>
      </c>
      <c r="AU232" s="67">
        <f t="shared" si="105"/>
        <v>202.58015211879754</v>
      </c>
      <c r="AV232" s="67">
        <f t="shared" si="105"/>
        <v>217.8</v>
      </c>
      <c r="AW232" s="67">
        <f t="shared" si="105"/>
        <v>224.17661635110377</v>
      </c>
      <c r="AX232" s="67">
        <f t="shared" si="105"/>
        <v>293.90101892285298</v>
      </c>
      <c r="AY232" s="35" t="s">
        <v>274</v>
      </c>
      <c r="AZ232" s="35"/>
      <c r="BA232" s="35"/>
      <c r="BB232" s="35"/>
      <c r="BC232" s="304"/>
      <c r="BE232"/>
      <c r="BF232" s="36"/>
      <c r="BG232" s="36"/>
      <c r="BJ232" s="35"/>
      <c r="BK232" s="35"/>
      <c r="BL232" s="35"/>
      <c r="BM232" s="35"/>
      <c r="BN232" s="35"/>
      <c r="BO232" s="35"/>
      <c r="BP232" s="35"/>
      <c r="BQ232" s="35"/>
      <c r="BR232" s="47"/>
      <c r="BS232" s="3"/>
      <c r="BT232" s="3"/>
      <c r="BU232" s="3"/>
      <c r="BV232" s="3"/>
      <c r="BW232" s="3"/>
      <c r="BX232" s="3"/>
      <c r="BY232" s="3"/>
      <c r="BZ232" s="3"/>
      <c r="CA232" s="3"/>
      <c r="CB232" s="3"/>
    </row>
    <row r="233" spans="1:92" x14ac:dyDescent="0.2">
      <c r="A233" s="48"/>
      <c r="B233" s="35" t="s">
        <v>110</v>
      </c>
      <c r="C233" s="35"/>
      <c r="D233" s="12"/>
      <c r="E233" s="67">
        <f t="shared" ref="E233:AX233" si="106">E18/E200</f>
        <v>281.70795165394401</v>
      </c>
      <c r="F233" s="67">
        <f t="shared" si="106"/>
        <v>331.63802570093458</v>
      </c>
      <c r="G233" s="67">
        <f t="shared" si="106"/>
        <v>183.55056833201161</v>
      </c>
      <c r="H233" s="67">
        <f t="shared" si="106"/>
        <v>154.65553970518309</v>
      </c>
      <c r="I233" s="67">
        <f t="shared" si="106"/>
        <v>98.099026548672555</v>
      </c>
      <c r="J233" s="67">
        <f t="shared" si="106"/>
        <v>56.187023383189377</v>
      </c>
      <c r="K233" s="67">
        <f t="shared" si="106"/>
        <v>68.370710118688393</v>
      </c>
      <c r="L233" s="67">
        <f t="shared" si="106"/>
        <v>69.272194174757274</v>
      </c>
      <c r="M233" s="67">
        <f t="shared" si="106"/>
        <v>62.284404716622291</v>
      </c>
      <c r="N233" s="67">
        <f t="shared" si="106"/>
        <v>53.541256429096251</v>
      </c>
      <c r="O233" s="67">
        <f t="shared" si="106"/>
        <v>58.801452355650014</v>
      </c>
      <c r="P233" s="67">
        <f t="shared" si="106"/>
        <v>73.479065802932141</v>
      </c>
      <c r="Q233" s="67">
        <f t="shared" si="106"/>
        <v>73.102265156562282</v>
      </c>
      <c r="R233" s="67">
        <f t="shared" si="106"/>
        <v>106.717411500881</v>
      </c>
      <c r="S233" s="67">
        <f t="shared" si="106"/>
        <v>97.076488549618304</v>
      </c>
      <c r="T233" s="67">
        <f t="shared" si="106"/>
        <v>102.35440720507899</v>
      </c>
      <c r="U233" s="67">
        <f t="shared" si="106"/>
        <v>121.34264983311564</v>
      </c>
      <c r="V233" s="67">
        <f t="shared" si="106"/>
        <v>119.24768211920531</v>
      </c>
      <c r="W233" s="67">
        <f t="shared" si="106"/>
        <v>85.432051991150445</v>
      </c>
      <c r="X233" s="67">
        <f t="shared" si="106"/>
        <v>68.815043290043292</v>
      </c>
      <c r="Y233" s="67">
        <f t="shared" si="106"/>
        <v>72.288688392135739</v>
      </c>
      <c r="Z233" s="67">
        <f t="shared" si="106"/>
        <v>70.937393390191886</v>
      </c>
      <c r="AA233" s="67">
        <f t="shared" si="106"/>
        <v>81.610180966020053</v>
      </c>
      <c r="AB233" s="67">
        <f t="shared" si="106"/>
        <v>93.127672556247603</v>
      </c>
      <c r="AC233" s="67">
        <f t="shared" si="106"/>
        <v>79.366896724808626</v>
      </c>
      <c r="AD233" s="67">
        <f t="shared" si="106"/>
        <v>56.664076667895309</v>
      </c>
      <c r="AE233" s="67">
        <f t="shared" si="106"/>
        <v>45.92366778684589</v>
      </c>
      <c r="AF233" s="67">
        <f t="shared" si="106"/>
        <v>43.229193341869397</v>
      </c>
      <c r="AG233" s="67">
        <f t="shared" si="106"/>
        <v>40.220045095828638</v>
      </c>
      <c r="AH233" s="67">
        <f t="shared" si="106"/>
        <v>3.2143688893771283</v>
      </c>
      <c r="AI233" s="67">
        <f t="shared" si="106"/>
        <v>5.8608353703900526</v>
      </c>
      <c r="AJ233" s="67">
        <f t="shared" si="106"/>
        <v>5.8577225408965372</v>
      </c>
      <c r="AK233" s="67">
        <f t="shared" si="106"/>
        <v>0</v>
      </c>
      <c r="AL233" s="67">
        <f t="shared" si="106"/>
        <v>0</v>
      </c>
      <c r="AM233" s="67">
        <f t="shared" si="106"/>
        <v>0</v>
      </c>
      <c r="AN233" s="67">
        <f t="shared" si="106"/>
        <v>0</v>
      </c>
      <c r="AO233" s="67">
        <f t="shared" si="106"/>
        <v>5.0958165173737564</v>
      </c>
      <c r="AP233" s="67">
        <f t="shared" si="106"/>
        <v>16.363900736719657</v>
      </c>
      <c r="AQ233" s="67">
        <f t="shared" si="106"/>
        <v>4.7760030864197534</v>
      </c>
      <c r="AR233" s="67">
        <f t="shared" si="106"/>
        <v>21.878586477686266</v>
      </c>
      <c r="AS233" s="67">
        <f t="shared" si="106"/>
        <v>22.249482206740726</v>
      </c>
      <c r="AT233" s="67">
        <f t="shared" si="106"/>
        <v>41.462650824352949</v>
      </c>
      <c r="AU233" s="67">
        <f t="shared" si="106"/>
        <v>46.874683085838463</v>
      </c>
      <c r="AV233" s="67">
        <f t="shared" si="106"/>
        <v>46</v>
      </c>
      <c r="AW233" s="67">
        <f t="shared" si="106"/>
        <v>45.169182444812847</v>
      </c>
      <c r="AX233" s="67">
        <f t="shared" si="106"/>
        <v>0</v>
      </c>
      <c r="AY233" s="35" t="s">
        <v>110</v>
      </c>
      <c r="AZ233" s="35"/>
      <c r="BA233" s="35"/>
      <c r="BB233" s="35"/>
      <c r="BC233" s="304"/>
      <c r="BE233" s="306"/>
      <c r="BF233" s="36"/>
      <c r="BG233" s="36"/>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c r="CG233" s="35"/>
      <c r="CH233" s="35"/>
      <c r="CI233" s="35"/>
      <c r="CJ233" s="35"/>
      <c r="CK233" s="35"/>
      <c r="CL233" s="35"/>
      <c r="CM233" s="35"/>
      <c r="CN233" s="35"/>
    </row>
    <row r="234" spans="1:92" x14ac:dyDescent="0.2">
      <c r="A234" s="48"/>
      <c r="B234" s="35" t="s">
        <v>111</v>
      </c>
      <c r="C234" s="35"/>
      <c r="D234" s="12"/>
      <c r="E234" s="67">
        <f t="shared" ref="E234:AX234" si="107">E19/E200</f>
        <v>98.078753180661565</v>
      </c>
      <c r="F234" s="67">
        <f t="shared" si="107"/>
        <v>111.09380841121495</v>
      </c>
      <c r="G234" s="67">
        <f t="shared" si="107"/>
        <v>91.329051017710796</v>
      </c>
      <c r="H234" s="67">
        <f t="shared" si="107"/>
        <v>82.946742748454596</v>
      </c>
      <c r="I234" s="67">
        <f t="shared" si="107"/>
        <v>29.130929203539818</v>
      </c>
      <c r="J234" s="67">
        <f t="shared" si="107"/>
        <v>32.479418580155887</v>
      </c>
      <c r="K234" s="67">
        <f t="shared" si="107"/>
        <v>34.864534298933819</v>
      </c>
      <c r="L234" s="67">
        <f t="shared" si="107"/>
        <v>22.070951456310677</v>
      </c>
      <c r="M234" s="67">
        <f t="shared" si="107"/>
        <v>18.193039178394827</v>
      </c>
      <c r="N234" s="67">
        <f t="shared" si="107"/>
        <v>16.537839823659073</v>
      </c>
      <c r="O234" s="67">
        <f t="shared" si="107"/>
        <v>20.929330499468648</v>
      </c>
      <c r="P234" s="67">
        <f t="shared" si="107"/>
        <v>21.871053528810091</v>
      </c>
      <c r="Q234" s="67">
        <f t="shared" si="107"/>
        <v>26.991605596269153</v>
      </c>
      <c r="R234" s="67">
        <f t="shared" si="107"/>
        <v>28.662277751081213</v>
      </c>
      <c r="S234" s="67">
        <f t="shared" si="107"/>
        <v>21.305282442748091</v>
      </c>
      <c r="T234" s="67">
        <f t="shared" si="107"/>
        <v>48.186328067326144</v>
      </c>
      <c r="U234" s="67">
        <f t="shared" si="107"/>
        <v>71.36842258017704</v>
      </c>
      <c r="V234" s="67">
        <f t="shared" si="107"/>
        <v>99.108778357052273</v>
      </c>
      <c r="W234" s="67">
        <f t="shared" si="107"/>
        <v>91.189767699115052</v>
      </c>
      <c r="X234" s="67">
        <f t="shared" si="107"/>
        <v>104.28828463203463</v>
      </c>
      <c r="Y234" s="67">
        <f t="shared" si="107"/>
        <v>105.02318879612173</v>
      </c>
      <c r="Z234" s="67">
        <f t="shared" si="107"/>
        <v>103.93152985074626</v>
      </c>
      <c r="AA234" s="67">
        <f t="shared" si="107"/>
        <v>108.27634422601224</v>
      </c>
      <c r="AB234" s="67">
        <f t="shared" si="107"/>
        <v>62.800381339773736</v>
      </c>
      <c r="AC234" s="67">
        <f t="shared" si="107"/>
        <v>62.279006148826703</v>
      </c>
      <c r="AD234" s="67">
        <f t="shared" si="107"/>
        <v>63.467084408403977</v>
      </c>
      <c r="AE234" s="67">
        <f t="shared" si="107"/>
        <v>56.729236677868457</v>
      </c>
      <c r="AF234" s="67">
        <f t="shared" si="107"/>
        <v>57.114934233500179</v>
      </c>
      <c r="AG234" s="67">
        <f t="shared" si="107"/>
        <v>41.488816234498316</v>
      </c>
      <c r="AH234" s="67">
        <f t="shared" si="107"/>
        <v>14.464660002197077</v>
      </c>
      <c r="AI234" s="67">
        <f t="shared" si="107"/>
        <v>23.084514826230208</v>
      </c>
      <c r="AJ234" s="67">
        <f t="shared" si="107"/>
        <v>23.191799447631183</v>
      </c>
      <c r="AK234" s="67">
        <f t="shared" si="107"/>
        <v>0</v>
      </c>
      <c r="AL234" s="67">
        <f t="shared" si="107"/>
        <v>43.34334620603277</v>
      </c>
      <c r="AM234" s="67">
        <f t="shared" si="107"/>
        <v>0</v>
      </c>
      <c r="AN234" s="67">
        <f t="shared" si="107"/>
        <v>21.9453</v>
      </c>
      <c r="AO234" s="67">
        <f t="shared" si="107"/>
        <v>15.398228172064179</v>
      </c>
      <c r="AP234" s="67">
        <f t="shared" si="107"/>
        <v>22.473090345094999</v>
      </c>
      <c r="AQ234" s="67">
        <f t="shared" si="107"/>
        <v>26.376562500000002</v>
      </c>
      <c r="AR234" s="67">
        <f t="shared" si="107"/>
        <v>46.343803868990612</v>
      </c>
      <c r="AS234" s="67">
        <f t="shared" si="107"/>
        <v>45.558463566183391</v>
      </c>
      <c r="AT234" s="67">
        <f t="shared" si="107"/>
        <v>51.828313530441179</v>
      </c>
      <c r="AU234" s="67">
        <f t="shared" si="107"/>
        <v>51.96975733429916</v>
      </c>
      <c r="AV234" s="67">
        <f t="shared" si="107"/>
        <v>51</v>
      </c>
      <c r="AW234" s="67">
        <f t="shared" si="107"/>
        <v>55.970508681615918</v>
      </c>
      <c r="AX234" s="67">
        <f t="shared" si="107"/>
        <v>125.26928675400292</v>
      </c>
      <c r="AY234" s="35" t="s">
        <v>111</v>
      </c>
      <c r="AZ234" s="35"/>
      <c r="BA234" s="35"/>
      <c r="BB234" s="35"/>
      <c r="BC234" s="304"/>
      <c r="BE234" s="306"/>
      <c r="BF234" s="147"/>
      <c r="BG234" s="147"/>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c r="CM234" s="35"/>
      <c r="CN234" s="35"/>
    </row>
    <row r="235" spans="1:92" x14ac:dyDescent="0.2">
      <c r="A235" s="48"/>
      <c r="B235" s="35" t="s">
        <v>294</v>
      </c>
      <c r="C235" s="35"/>
      <c r="D235" s="12"/>
      <c r="E235" s="67">
        <f t="shared" ref="E235:AX235" si="108">E20/E200</f>
        <v>126.7148854961832</v>
      </c>
      <c r="F235" s="67">
        <f t="shared" si="108"/>
        <v>135.08744158878505</v>
      </c>
      <c r="G235" s="67">
        <f t="shared" si="108"/>
        <v>77.347079037800668</v>
      </c>
      <c r="H235" s="67">
        <f t="shared" si="108"/>
        <v>85.622444127437007</v>
      </c>
      <c r="I235" s="67">
        <f t="shared" si="108"/>
        <v>85.898893805309726</v>
      </c>
      <c r="J235" s="67">
        <f t="shared" si="108"/>
        <v>70.885738361070139</v>
      </c>
      <c r="K235" s="67">
        <f t="shared" si="108"/>
        <v>95.764272782136388</v>
      </c>
      <c r="L235" s="67">
        <f t="shared" si="108"/>
        <v>88.502330097087381</v>
      </c>
      <c r="M235" s="67">
        <f t="shared" si="108"/>
        <v>72.986192468619251</v>
      </c>
      <c r="N235" s="67">
        <f t="shared" si="108"/>
        <v>58.089162380602502</v>
      </c>
      <c r="O235" s="67">
        <f t="shared" si="108"/>
        <v>65.179914984059508</v>
      </c>
      <c r="P235" s="67">
        <f t="shared" si="108"/>
        <v>50.840606887146265</v>
      </c>
      <c r="Q235" s="67">
        <f t="shared" si="108"/>
        <v>71.22784810126582</v>
      </c>
      <c r="R235" s="67">
        <f t="shared" si="108"/>
        <v>77.334070158577603</v>
      </c>
      <c r="S235" s="67">
        <f t="shared" si="108"/>
        <v>87.282931297709908</v>
      </c>
      <c r="T235" s="67">
        <f t="shared" si="108"/>
        <v>83.744514985973709</v>
      </c>
      <c r="U235" s="67">
        <f t="shared" si="108"/>
        <v>83.453693223044553</v>
      </c>
      <c r="V235" s="67">
        <f t="shared" si="108"/>
        <v>74.450514301817677</v>
      </c>
      <c r="W235" s="67">
        <f t="shared" si="108"/>
        <v>79.674336283185838</v>
      </c>
      <c r="X235" s="67">
        <f t="shared" si="108"/>
        <v>74.295887445887431</v>
      </c>
      <c r="Y235" s="67">
        <f t="shared" si="108"/>
        <v>59.407056288715324</v>
      </c>
      <c r="Z235" s="67">
        <f t="shared" si="108"/>
        <v>64.638512793176972</v>
      </c>
      <c r="AA235" s="67">
        <f t="shared" si="108"/>
        <v>63.58854315844291</v>
      </c>
      <c r="AB235" s="67">
        <f t="shared" si="108"/>
        <v>73.38632261344857</v>
      </c>
      <c r="AC235" s="67">
        <f t="shared" si="108"/>
        <v>80.073007905634327</v>
      </c>
      <c r="AD235" s="67">
        <f t="shared" si="108"/>
        <v>85.728959331613211</v>
      </c>
      <c r="AE235" s="67">
        <f t="shared" si="108"/>
        <v>93.198031685069608</v>
      </c>
      <c r="AF235" s="67">
        <f t="shared" si="108"/>
        <v>0</v>
      </c>
      <c r="AG235" s="67">
        <f t="shared" si="108"/>
        <v>0</v>
      </c>
      <c r="AH235" s="67">
        <f t="shared" si="108"/>
        <v>0</v>
      </c>
      <c r="AI235" s="67">
        <f t="shared" si="108"/>
        <v>0</v>
      </c>
      <c r="AJ235" s="67">
        <f t="shared" si="108"/>
        <v>0</v>
      </c>
      <c r="AK235" s="67">
        <f t="shared" si="108"/>
        <v>0</v>
      </c>
      <c r="AL235" s="67">
        <f t="shared" si="108"/>
        <v>0</v>
      </c>
      <c r="AM235" s="67">
        <f t="shared" si="108"/>
        <v>0</v>
      </c>
      <c r="AN235" s="67">
        <f t="shared" si="108"/>
        <v>0</v>
      </c>
      <c r="AO235" s="67">
        <f t="shared" si="108"/>
        <v>0</v>
      </c>
      <c r="AP235" s="67">
        <f t="shared" si="108"/>
        <v>0</v>
      </c>
      <c r="AQ235" s="67">
        <f t="shared" si="108"/>
        <v>0</v>
      </c>
      <c r="AR235" s="67">
        <f t="shared" si="108"/>
        <v>0</v>
      </c>
      <c r="AS235" s="67">
        <f t="shared" si="108"/>
        <v>0</v>
      </c>
      <c r="AT235" s="67">
        <f t="shared" si="108"/>
        <v>0</v>
      </c>
      <c r="AU235" s="67">
        <f t="shared" si="108"/>
        <v>0</v>
      </c>
      <c r="AV235" s="67">
        <f t="shared" si="108"/>
        <v>0</v>
      </c>
      <c r="AW235" s="67">
        <f t="shared" si="108"/>
        <v>0</v>
      </c>
      <c r="AX235" s="67">
        <f t="shared" si="108"/>
        <v>0</v>
      </c>
      <c r="AY235" s="35" t="s">
        <v>294</v>
      </c>
      <c r="AZ235" s="35"/>
      <c r="BA235" s="35"/>
      <c r="BB235" s="35"/>
      <c r="BC235" s="304"/>
      <c r="BE235" s="306"/>
      <c r="BF235" s="147"/>
      <c r="BG235" s="147"/>
      <c r="BJ235" s="35"/>
      <c r="BK235" s="35"/>
      <c r="BL235" s="35"/>
      <c r="BM235" s="35"/>
      <c r="BN235" s="35"/>
      <c r="BO235" s="35"/>
      <c r="BP235" s="35"/>
      <c r="BQ235" s="35"/>
      <c r="BR235" s="47"/>
      <c r="BS235" s="3"/>
      <c r="BT235" s="3"/>
      <c r="BU235" s="3"/>
      <c r="BV235" s="3"/>
      <c r="BW235" s="3"/>
      <c r="BX235" s="3"/>
      <c r="BY235" s="3"/>
      <c r="BZ235" s="3"/>
      <c r="CA235" s="3"/>
      <c r="CB235" s="3"/>
    </row>
    <row r="236" spans="1:92" ht="12.5" x14ac:dyDescent="0.25">
      <c r="A236" s="48"/>
      <c r="B236" s="35" t="s">
        <v>58</v>
      </c>
      <c r="C236" s="35"/>
      <c r="D236" s="12"/>
      <c r="E236" s="67">
        <f t="shared" ref="E236:AX236" si="109">E24/E200</f>
        <v>0</v>
      </c>
      <c r="F236" s="67">
        <f t="shared" si="109"/>
        <v>0</v>
      </c>
      <c r="G236" s="67">
        <f t="shared" si="109"/>
        <v>0</v>
      </c>
      <c r="H236" s="67">
        <f t="shared" si="109"/>
        <v>0</v>
      </c>
      <c r="I236" s="67">
        <f t="shared" si="109"/>
        <v>34.359557522123893</v>
      </c>
      <c r="J236" s="67">
        <f t="shared" si="109"/>
        <v>92.459658731830629</v>
      </c>
      <c r="K236" s="67">
        <f t="shared" si="109"/>
        <v>103.91442365721183</v>
      </c>
      <c r="L236" s="67">
        <f t="shared" si="109"/>
        <v>100.95821359223301</v>
      </c>
      <c r="M236" s="67">
        <f t="shared" si="109"/>
        <v>107.2319132750095</v>
      </c>
      <c r="N236" s="67">
        <f t="shared" si="109"/>
        <v>121.13967670830272</v>
      </c>
      <c r="O236" s="67">
        <f t="shared" si="109"/>
        <v>117.60290471130003</v>
      </c>
      <c r="P236" s="67">
        <f t="shared" si="109"/>
        <v>123.36041595635866</v>
      </c>
      <c r="Q236" s="67">
        <f t="shared" si="109"/>
        <v>120.52501665556294</v>
      </c>
      <c r="R236" s="67">
        <f t="shared" si="109"/>
        <v>117.35309947140797</v>
      </c>
      <c r="S236" s="67">
        <f t="shared" si="109"/>
        <v>101.20009160305342</v>
      </c>
      <c r="T236" s="67">
        <f t="shared" si="109"/>
        <v>117.47494463310201</v>
      </c>
      <c r="U236" s="67">
        <f t="shared" si="109"/>
        <v>120.68939196052823</v>
      </c>
      <c r="V236" s="67">
        <f t="shared" si="109"/>
        <v>115.28333098492321</v>
      </c>
      <c r="W236" s="67">
        <f t="shared" si="109"/>
        <v>104.10572455752214</v>
      </c>
      <c r="X236" s="67">
        <f t="shared" si="109"/>
        <v>104.59277597402597</v>
      </c>
      <c r="Y236" s="67">
        <f t="shared" si="109"/>
        <v>101.23447347158631</v>
      </c>
      <c r="Z236" s="67">
        <f t="shared" si="109"/>
        <v>104.20148187633262</v>
      </c>
      <c r="AA236" s="67">
        <f t="shared" si="109"/>
        <v>110.62062231480276</v>
      </c>
      <c r="AB236" s="67">
        <f t="shared" si="109"/>
        <v>114.58566162450742</v>
      </c>
      <c r="AC236" s="67">
        <f t="shared" si="109"/>
        <v>121.45112310202032</v>
      </c>
      <c r="AD236" s="67">
        <f t="shared" si="109"/>
        <v>120.57363312446246</v>
      </c>
      <c r="AE236" s="67">
        <f t="shared" si="109"/>
        <v>143.17378780604895</v>
      </c>
      <c r="AF236" s="67">
        <f t="shared" si="109"/>
        <v>138.33341869398205</v>
      </c>
      <c r="AG236" s="67">
        <f t="shared" si="109"/>
        <v>134.36286358511839</v>
      </c>
      <c r="AH236" s="67">
        <f t="shared" si="109"/>
        <v>160.47118532351971</v>
      </c>
      <c r="AI236" s="67">
        <f t="shared" si="109"/>
        <v>177.73880327346157</v>
      </c>
      <c r="AJ236" s="67">
        <f t="shared" si="109"/>
        <v>181.70894412577013</v>
      </c>
      <c r="AK236" s="67">
        <f t="shared" si="109"/>
        <v>11.954535797748035</v>
      </c>
      <c r="AL236" s="67">
        <f t="shared" si="109"/>
        <v>185.58939567894791</v>
      </c>
      <c r="AM236" s="67">
        <f t="shared" si="109"/>
        <v>189.3099581248085</v>
      </c>
      <c r="AN236" s="67">
        <f t="shared" si="109"/>
        <v>135.048</v>
      </c>
      <c r="AO236" s="67">
        <f t="shared" si="109"/>
        <v>126.50918397480066</v>
      </c>
      <c r="AP236" s="67">
        <f t="shared" si="109"/>
        <v>130.91120589375726</v>
      </c>
      <c r="AQ236" s="67">
        <f t="shared" si="109"/>
        <v>129.16917438271605</v>
      </c>
      <c r="AR236" s="67">
        <f t="shared" si="109"/>
        <v>123.08052097299368</v>
      </c>
      <c r="AS236" s="67">
        <f t="shared" si="109"/>
        <v>63.569949162116359</v>
      </c>
      <c r="AT236" s="67">
        <f t="shared" si="109"/>
        <v>62.193976236529416</v>
      </c>
      <c r="AU236" s="67">
        <f t="shared" si="109"/>
        <v>62.261807316189781</v>
      </c>
      <c r="AV236" s="67">
        <f t="shared" si="109"/>
        <v>59.1</v>
      </c>
      <c r="AW236" s="67">
        <f t="shared" si="109"/>
        <v>60.389233051217175</v>
      </c>
      <c r="AX236" s="67">
        <f t="shared" si="109"/>
        <v>64.36914119359534</v>
      </c>
      <c r="AY236" s="35" t="s">
        <v>58</v>
      </c>
      <c r="AZ236" s="35"/>
      <c r="BA236" s="35"/>
      <c r="BB236" s="35"/>
      <c r="BC236" s="304"/>
      <c r="BE236"/>
      <c r="BF236" s="36"/>
      <c r="BG236" s="36"/>
      <c r="BH236" s="53"/>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c r="CM236" s="35"/>
      <c r="CN236" s="35"/>
    </row>
    <row r="237" spans="1:92" ht="12.5" x14ac:dyDescent="0.25">
      <c r="A237" s="48"/>
      <c r="B237" s="35" t="s">
        <v>59</v>
      </c>
      <c r="C237" s="35"/>
      <c r="D237" s="12"/>
      <c r="E237" s="67">
        <f t="shared" ref="E237:AX237" si="110">E25/E200</f>
        <v>0</v>
      </c>
      <c r="F237" s="67">
        <f t="shared" si="110"/>
        <v>0</v>
      </c>
      <c r="G237" s="67">
        <f t="shared" si="110"/>
        <v>0</v>
      </c>
      <c r="H237" s="67">
        <f t="shared" si="110"/>
        <v>0</v>
      </c>
      <c r="I237" s="67">
        <f t="shared" si="110"/>
        <v>0</v>
      </c>
      <c r="J237" s="67">
        <f t="shared" si="110"/>
        <v>0</v>
      </c>
      <c r="K237" s="67">
        <f t="shared" si="110"/>
        <v>0.33958961979480989</v>
      </c>
      <c r="L237" s="67">
        <f t="shared" si="110"/>
        <v>20.3227572815534</v>
      </c>
      <c r="M237" s="67">
        <f t="shared" si="110"/>
        <v>13.270216812476226</v>
      </c>
      <c r="N237" s="67">
        <f t="shared" si="110"/>
        <v>7.0285819250551063</v>
      </c>
      <c r="O237" s="67">
        <f t="shared" si="110"/>
        <v>36.277506199078992</v>
      </c>
      <c r="P237" s="67">
        <f t="shared" si="110"/>
        <v>41.8235935901807</v>
      </c>
      <c r="Q237" s="67">
        <f t="shared" si="110"/>
        <v>22.493004663557628</v>
      </c>
      <c r="R237" s="67">
        <f t="shared" si="110"/>
        <v>28.482011853275672</v>
      </c>
      <c r="S237" s="67">
        <f t="shared" si="110"/>
        <v>17.868946564885494</v>
      </c>
      <c r="T237" s="67">
        <f t="shared" si="110"/>
        <v>7.4771888380333671</v>
      </c>
      <c r="U237" s="67">
        <f t="shared" si="110"/>
        <v>6.2059497895806119</v>
      </c>
      <c r="V237" s="67">
        <f t="shared" si="110"/>
        <v>7.9287022685641819</v>
      </c>
      <c r="W237" s="67">
        <f t="shared" si="110"/>
        <v>6.2245575221238933</v>
      </c>
      <c r="X237" s="67">
        <f t="shared" si="110"/>
        <v>3.0449134199134198</v>
      </c>
      <c r="Y237" s="67">
        <f t="shared" si="110"/>
        <v>3.7887153245354162</v>
      </c>
      <c r="Z237" s="67">
        <f t="shared" si="110"/>
        <v>3.8993070362473348</v>
      </c>
      <c r="AA237" s="67">
        <f t="shared" si="110"/>
        <v>3.8094518942845985</v>
      </c>
      <c r="AB237" s="67">
        <f t="shared" si="110"/>
        <v>5.5790771577475526</v>
      </c>
      <c r="AC237" s="67">
        <f t="shared" si="110"/>
        <v>19.065001882293888</v>
      </c>
      <c r="AD237" s="67">
        <f t="shared" si="110"/>
        <v>9.60993979604374</v>
      </c>
      <c r="AE237" s="67">
        <f t="shared" si="110"/>
        <v>9.3198031685069616</v>
      </c>
      <c r="AF237" s="67">
        <f t="shared" si="110"/>
        <v>9.0388313351181466</v>
      </c>
      <c r="AG237" s="67">
        <f t="shared" si="110"/>
        <v>25.121668545659528</v>
      </c>
      <c r="AH237" s="67">
        <f t="shared" si="110"/>
        <v>14.83554872020213</v>
      </c>
      <c r="AI237" s="67">
        <f t="shared" si="110"/>
        <v>15.429546179190138</v>
      </c>
      <c r="AJ237" s="67">
        <f t="shared" si="110"/>
        <v>21.51816443594646</v>
      </c>
      <c r="AK237" s="67">
        <f t="shared" si="110"/>
        <v>0</v>
      </c>
      <c r="AL237" s="67">
        <f t="shared" si="110"/>
        <v>23.492328566955432</v>
      </c>
      <c r="AM237" s="67">
        <f t="shared" si="110"/>
        <v>22.988458788683484</v>
      </c>
      <c r="AN237" s="67">
        <f t="shared" si="110"/>
        <v>18.90672</v>
      </c>
      <c r="AO237" s="67">
        <f t="shared" si="110"/>
        <v>17.724579190865242</v>
      </c>
      <c r="AP237" s="67">
        <f t="shared" si="110"/>
        <v>17.454827452500968</v>
      </c>
      <c r="AQ237" s="67">
        <f t="shared" si="110"/>
        <v>17.150192901234568</v>
      </c>
      <c r="AR237" s="67">
        <f t="shared" si="110"/>
        <v>17.028653514652365</v>
      </c>
      <c r="AS237" s="67">
        <f t="shared" si="110"/>
        <v>42.909715684428541</v>
      </c>
      <c r="AT237" s="67">
        <f t="shared" si="110"/>
        <v>46.645482177397064</v>
      </c>
      <c r="AU237" s="67">
        <f t="shared" si="110"/>
        <v>45.855668236146322</v>
      </c>
      <c r="AV237" s="67">
        <f t="shared" si="110"/>
        <v>50</v>
      </c>
      <c r="AW237" s="67">
        <f t="shared" si="110"/>
        <v>54.006631184015362</v>
      </c>
      <c r="AX237" s="67">
        <f t="shared" si="110"/>
        <v>75.161572052401752</v>
      </c>
      <c r="AY237" s="35" t="s">
        <v>59</v>
      </c>
      <c r="AZ237" s="35"/>
      <c r="BA237" s="35"/>
      <c r="BB237" s="35"/>
      <c r="BC237" s="304"/>
      <c r="BE237"/>
      <c r="BF237" s="36"/>
      <c r="BG237" s="36"/>
      <c r="BH237" s="53"/>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c r="CM237" s="35"/>
      <c r="CN237" s="35"/>
    </row>
    <row r="238" spans="1:92" ht="12.5" x14ac:dyDescent="0.25">
      <c r="A238" s="48"/>
      <c r="B238" s="35" t="s">
        <v>174</v>
      </c>
      <c r="C238" s="35"/>
      <c r="D238" s="12"/>
      <c r="E238" s="67">
        <f t="shared" ref="E238:AX238" si="111">E26/E200</f>
        <v>0</v>
      </c>
      <c r="F238" s="67">
        <f t="shared" si="111"/>
        <v>0</v>
      </c>
      <c r="G238" s="67">
        <f t="shared" si="111"/>
        <v>0</v>
      </c>
      <c r="H238" s="67">
        <f t="shared" si="111"/>
        <v>0</v>
      </c>
      <c r="I238" s="67">
        <f t="shared" si="111"/>
        <v>0</v>
      </c>
      <c r="J238" s="67">
        <f t="shared" si="111"/>
        <v>0</v>
      </c>
      <c r="K238" s="67">
        <f t="shared" si="111"/>
        <v>0</v>
      </c>
      <c r="L238" s="67">
        <f t="shared" si="111"/>
        <v>0</v>
      </c>
      <c r="M238" s="67">
        <f t="shared" si="111"/>
        <v>0</v>
      </c>
      <c r="N238" s="67">
        <f t="shared" si="111"/>
        <v>0</v>
      </c>
      <c r="O238" s="67">
        <f t="shared" si="111"/>
        <v>0</v>
      </c>
      <c r="P238" s="67">
        <f t="shared" si="111"/>
        <v>0</v>
      </c>
      <c r="Q238" s="67">
        <f t="shared" si="111"/>
        <v>0</v>
      </c>
      <c r="R238" s="67">
        <f t="shared" si="111"/>
        <v>0</v>
      </c>
      <c r="S238" s="67">
        <f t="shared" si="111"/>
        <v>0</v>
      </c>
      <c r="T238" s="67">
        <f t="shared" si="111"/>
        <v>0</v>
      </c>
      <c r="U238" s="67">
        <f t="shared" si="111"/>
        <v>0</v>
      </c>
      <c r="V238" s="67">
        <f t="shared" si="111"/>
        <v>0</v>
      </c>
      <c r="W238" s="67">
        <f t="shared" si="111"/>
        <v>0</v>
      </c>
      <c r="X238" s="67">
        <f t="shared" si="111"/>
        <v>7.612283549783549</v>
      </c>
      <c r="Y238" s="67">
        <f t="shared" si="111"/>
        <v>7.5774306490708323</v>
      </c>
      <c r="Z238" s="67">
        <f t="shared" si="111"/>
        <v>7.4986673773987205</v>
      </c>
      <c r="AA238" s="67">
        <f t="shared" si="111"/>
        <v>7.3258690274703815</v>
      </c>
      <c r="AB238" s="67">
        <f t="shared" si="111"/>
        <v>7.4387695436634038</v>
      </c>
      <c r="AC238" s="67">
        <f t="shared" si="111"/>
        <v>7.3435562805872756</v>
      </c>
      <c r="AD238" s="67">
        <f t="shared" si="111"/>
        <v>8.2963509030593432</v>
      </c>
      <c r="AE238" s="67">
        <f t="shared" si="111"/>
        <v>13.371891502640421</v>
      </c>
      <c r="AF238" s="67">
        <f t="shared" si="111"/>
        <v>12.96875800256082</v>
      </c>
      <c r="AG238" s="67">
        <f t="shared" si="111"/>
        <v>10.150169109357384</v>
      </c>
      <c r="AH238" s="67">
        <f t="shared" si="111"/>
        <v>0</v>
      </c>
      <c r="AI238" s="67">
        <f t="shared" si="111"/>
        <v>0</v>
      </c>
      <c r="AJ238" s="67">
        <f t="shared" si="111"/>
        <v>0</v>
      </c>
      <c r="AK238" s="67">
        <f t="shared" si="111"/>
        <v>0</v>
      </c>
      <c r="AL238" s="67">
        <f t="shared" si="111"/>
        <v>0</v>
      </c>
      <c r="AM238" s="67">
        <f t="shared" si="111"/>
        <v>0</v>
      </c>
      <c r="AN238" s="67">
        <f t="shared" si="111"/>
        <v>0</v>
      </c>
      <c r="AO238" s="67">
        <f t="shared" si="111"/>
        <v>0</v>
      </c>
      <c r="AP238" s="67">
        <f t="shared" si="111"/>
        <v>0</v>
      </c>
      <c r="AQ238" s="67">
        <f t="shared" si="111"/>
        <v>0</v>
      </c>
      <c r="AR238" s="67">
        <f t="shared" si="111"/>
        <v>0</v>
      </c>
      <c r="AS238" s="67">
        <f t="shared" si="111"/>
        <v>0</v>
      </c>
      <c r="AT238" s="67">
        <f t="shared" si="111"/>
        <v>0</v>
      </c>
      <c r="AU238" s="67">
        <f t="shared" si="111"/>
        <v>0</v>
      </c>
      <c r="AV238" s="67">
        <f t="shared" si="111"/>
        <v>0</v>
      </c>
      <c r="AW238" s="67">
        <f t="shared" si="111"/>
        <v>0</v>
      </c>
      <c r="AX238" s="67">
        <f t="shared" si="111"/>
        <v>0</v>
      </c>
      <c r="AY238" s="35" t="s">
        <v>174</v>
      </c>
      <c r="AZ238" s="35"/>
      <c r="BA238" s="35"/>
      <c r="BB238" s="35"/>
      <c r="BC238" s="304"/>
      <c r="BE238"/>
      <c r="BF238" s="36"/>
      <c r="BG238" s="36"/>
      <c r="BH238" s="53"/>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c r="CM238" s="35"/>
      <c r="CN238" s="35"/>
    </row>
    <row r="239" spans="1:92" ht="12.5" x14ac:dyDescent="0.25">
      <c r="A239" s="48"/>
      <c r="B239" s="35" t="s">
        <v>60</v>
      </c>
      <c r="C239" s="35"/>
      <c r="D239" s="12"/>
      <c r="E239" s="67">
        <f t="shared" ref="E239:AX239" si="112">E27/E200</f>
        <v>0</v>
      </c>
      <c r="F239" s="67">
        <f t="shared" si="112"/>
        <v>0</v>
      </c>
      <c r="G239" s="67">
        <f t="shared" si="112"/>
        <v>0</v>
      </c>
      <c r="H239" s="67">
        <f t="shared" si="112"/>
        <v>0</v>
      </c>
      <c r="I239" s="67">
        <f t="shared" si="112"/>
        <v>0</v>
      </c>
      <c r="J239" s="67">
        <f t="shared" si="112"/>
        <v>0</v>
      </c>
      <c r="K239" s="67">
        <f t="shared" si="112"/>
        <v>0</v>
      </c>
      <c r="L239" s="67">
        <f t="shared" si="112"/>
        <v>0</v>
      </c>
      <c r="M239" s="67">
        <f t="shared" si="112"/>
        <v>0</v>
      </c>
      <c r="N239" s="67">
        <f t="shared" si="112"/>
        <v>0</v>
      </c>
      <c r="O239" s="67">
        <f t="shared" si="112"/>
        <v>0</v>
      </c>
      <c r="P239" s="67">
        <f t="shared" si="112"/>
        <v>0</v>
      </c>
      <c r="Q239" s="67">
        <f t="shared" si="112"/>
        <v>8.6223184543637554</v>
      </c>
      <c r="R239" s="67">
        <f t="shared" si="112"/>
        <v>21.451641838859523</v>
      </c>
      <c r="S239" s="67">
        <f t="shared" si="112"/>
        <v>18.38439694656488</v>
      </c>
      <c r="T239" s="67">
        <f t="shared" si="112"/>
        <v>16.449815443673408</v>
      </c>
      <c r="U239" s="67">
        <f t="shared" si="112"/>
        <v>15.678188942098387</v>
      </c>
      <c r="V239" s="67">
        <f t="shared" si="112"/>
        <v>14.113090038044245</v>
      </c>
      <c r="W239" s="67">
        <f t="shared" si="112"/>
        <v>9.6480641592920353</v>
      </c>
      <c r="X239" s="67">
        <f t="shared" si="112"/>
        <v>8.221266233766233</v>
      </c>
      <c r="Y239" s="67">
        <f t="shared" si="112"/>
        <v>8.6382709399407496</v>
      </c>
      <c r="Z239" s="67">
        <f t="shared" si="112"/>
        <v>10.048214285714286</v>
      </c>
      <c r="AA239" s="67">
        <f t="shared" si="112"/>
        <v>10.549251399557349</v>
      </c>
      <c r="AB239" s="67">
        <f t="shared" si="112"/>
        <v>11.301207575950171</v>
      </c>
      <c r="AC239" s="67">
        <f t="shared" si="112"/>
        <v>11.297778893211193</v>
      </c>
      <c r="AD239" s="67">
        <f t="shared" si="112"/>
        <v>11.061801204079124</v>
      </c>
      <c r="AE239" s="67">
        <f t="shared" si="112"/>
        <v>10.940638502160345</v>
      </c>
      <c r="AF239" s="67">
        <f t="shared" si="112"/>
        <v>10.610802002095216</v>
      </c>
      <c r="AG239" s="67">
        <f t="shared" si="112"/>
        <v>7.3588726042841035</v>
      </c>
      <c r="AH239" s="67">
        <f t="shared" si="112"/>
        <v>0</v>
      </c>
      <c r="AI239" s="67">
        <f t="shared" si="112"/>
        <v>5.741226485280051</v>
      </c>
      <c r="AJ239" s="67">
        <f t="shared" si="112"/>
        <v>5.8577225408965372</v>
      </c>
      <c r="AK239" s="67">
        <f t="shared" si="112"/>
        <v>0</v>
      </c>
      <c r="AL239" s="67">
        <f t="shared" si="112"/>
        <v>5.8730821417388581</v>
      </c>
      <c r="AM239" s="67">
        <f t="shared" si="112"/>
        <v>0</v>
      </c>
      <c r="AN239" s="67">
        <f t="shared" si="112"/>
        <v>0</v>
      </c>
      <c r="AO239" s="67">
        <f t="shared" si="112"/>
        <v>0</v>
      </c>
      <c r="AP239" s="67">
        <f t="shared" si="112"/>
        <v>0</v>
      </c>
      <c r="AQ239" s="67">
        <f t="shared" si="112"/>
        <v>0</v>
      </c>
      <c r="AR239" s="67">
        <f t="shared" si="112"/>
        <v>0</v>
      </c>
      <c r="AS239" s="67">
        <f t="shared" si="112"/>
        <v>0</v>
      </c>
      <c r="AT239" s="67">
        <f t="shared" si="112"/>
        <v>0</v>
      </c>
      <c r="AU239" s="67">
        <f t="shared" si="112"/>
        <v>0</v>
      </c>
      <c r="AV239" s="67">
        <f t="shared" si="112"/>
        <v>0</v>
      </c>
      <c r="AW239" s="67">
        <f t="shared" si="112"/>
        <v>0</v>
      </c>
      <c r="AX239" s="67">
        <f t="shared" si="112"/>
        <v>0</v>
      </c>
      <c r="AY239" s="35" t="s">
        <v>60</v>
      </c>
      <c r="AZ239" s="35"/>
      <c r="BA239" s="35"/>
      <c r="BB239" s="35"/>
      <c r="BC239" s="304"/>
      <c r="BE239"/>
      <c r="BF239" s="36"/>
      <c r="BG239" s="36"/>
      <c r="BH239" s="53"/>
      <c r="BJ239" s="35"/>
      <c r="BK239" s="35"/>
      <c r="BL239" s="35"/>
      <c r="BM239" s="35"/>
      <c r="BN239" s="35"/>
      <c r="BO239" s="35"/>
      <c r="BP239" s="35"/>
      <c r="BQ239" s="35"/>
      <c r="BR239" s="47"/>
      <c r="BS239" s="3"/>
      <c r="BT239" s="3"/>
      <c r="BU239" s="3"/>
      <c r="BV239" s="3"/>
      <c r="BW239" s="3"/>
      <c r="BX239" s="3"/>
      <c r="BY239" s="3"/>
      <c r="BZ239" s="3"/>
      <c r="CA239" s="3"/>
      <c r="CB239" s="3"/>
    </row>
    <row r="240" spans="1:92" ht="12.5" x14ac:dyDescent="0.25">
      <c r="A240" s="48"/>
      <c r="B240" s="35" t="s">
        <v>61</v>
      </c>
      <c r="C240" s="35"/>
      <c r="D240" s="12"/>
      <c r="E240" s="67">
        <f t="shared" ref="E240:AX240" si="113">E28/E200</f>
        <v>0</v>
      </c>
      <c r="F240" s="67">
        <f t="shared" si="113"/>
        <v>0</v>
      </c>
      <c r="G240" s="67">
        <f t="shared" si="113"/>
        <v>0</v>
      </c>
      <c r="H240" s="67">
        <f t="shared" si="113"/>
        <v>0</v>
      </c>
      <c r="I240" s="67">
        <f t="shared" si="113"/>
        <v>0</v>
      </c>
      <c r="J240" s="67">
        <f t="shared" si="113"/>
        <v>0</v>
      </c>
      <c r="K240" s="67">
        <f t="shared" si="113"/>
        <v>0</v>
      </c>
      <c r="L240" s="67">
        <f t="shared" si="113"/>
        <v>3.0593398058252426</v>
      </c>
      <c r="M240" s="67">
        <f t="shared" si="113"/>
        <v>1.0701787751996956</v>
      </c>
      <c r="N240" s="67">
        <f t="shared" si="113"/>
        <v>0.41344599559147688</v>
      </c>
      <c r="O240" s="67">
        <f t="shared" si="113"/>
        <v>0.39865391427559332</v>
      </c>
      <c r="P240" s="67">
        <f t="shared" si="113"/>
        <v>0.38370269348789632</v>
      </c>
      <c r="Q240" s="67">
        <f t="shared" si="113"/>
        <v>0.37488341105929379</v>
      </c>
      <c r="R240" s="67">
        <f t="shared" si="113"/>
        <v>0.54079769341662665</v>
      </c>
      <c r="S240" s="67">
        <f t="shared" si="113"/>
        <v>0.34363358778625952</v>
      </c>
      <c r="T240" s="67">
        <f t="shared" si="113"/>
        <v>0</v>
      </c>
      <c r="U240" s="67">
        <f t="shared" si="113"/>
        <v>0</v>
      </c>
      <c r="V240" s="67">
        <f t="shared" si="113"/>
        <v>0</v>
      </c>
      <c r="W240" s="67">
        <f t="shared" si="113"/>
        <v>0</v>
      </c>
      <c r="X240" s="67">
        <f t="shared" si="113"/>
        <v>0</v>
      </c>
      <c r="Y240" s="67">
        <f t="shared" si="113"/>
        <v>0</v>
      </c>
      <c r="Z240" s="67">
        <f t="shared" si="113"/>
        <v>0</v>
      </c>
      <c r="AA240" s="67">
        <f t="shared" si="113"/>
        <v>0</v>
      </c>
      <c r="AB240" s="67">
        <f t="shared" si="113"/>
        <v>0</v>
      </c>
      <c r="AC240" s="67">
        <f t="shared" si="113"/>
        <v>0</v>
      </c>
      <c r="AD240" s="67">
        <f t="shared" si="113"/>
        <v>0</v>
      </c>
      <c r="AE240" s="67">
        <f t="shared" si="113"/>
        <v>0</v>
      </c>
      <c r="AF240" s="67">
        <f t="shared" si="113"/>
        <v>0</v>
      </c>
      <c r="AG240" s="67">
        <f t="shared" si="113"/>
        <v>0</v>
      </c>
      <c r="AH240" s="67">
        <f t="shared" si="113"/>
        <v>0</v>
      </c>
      <c r="AI240" s="67">
        <f t="shared" si="113"/>
        <v>0</v>
      </c>
      <c r="AJ240" s="67">
        <f t="shared" si="113"/>
        <v>0</v>
      </c>
      <c r="AK240" s="67">
        <f t="shared" si="113"/>
        <v>0</v>
      </c>
      <c r="AL240" s="67">
        <f t="shared" si="113"/>
        <v>0</v>
      </c>
      <c r="AM240" s="67">
        <f t="shared" si="113"/>
        <v>0</v>
      </c>
      <c r="AN240" s="67">
        <f t="shared" si="113"/>
        <v>0</v>
      </c>
      <c r="AO240" s="67">
        <f t="shared" si="113"/>
        <v>0</v>
      </c>
      <c r="AP240" s="67">
        <f t="shared" si="113"/>
        <v>0</v>
      </c>
      <c r="AQ240" s="67">
        <f t="shared" si="113"/>
        <v>0</v>
      </c>
      <c r="AR240" s="67">
        <f t="shared" si="113"/>
        <v>0</v>
      </c>
      <c r="AS240" s="67">
        <f t="shared" si="113"/>
        <v>0</v>
      </c>
      <c r="AT240" s="67">
        <f t="shared" si="113"/>
        <v>0</v>
      </c>
      <c r="AU240" s="67">
        <f t="shared" si="113"/>
        <v>0</v>
      </c>
      <c r="AV240" s="67">
        <f t="shared" si="113"/>
        <v>0</v>
      </c>
      <c r="AW240" s="67">
        <f t="shared" si="113"/>
        <v>0</v>
      </c>
      <c r="AX240" s="67">
        <f t="shared" si="113"/>
        <v>0</v>
      </c>
      <c r="AY240" s="35" t="s">
        <v>61</v>
      </c>
      <c r="AZ240" s="35"/>
      <c r="BA240" s="35"/>
      <c r="BB240" s="35"/>
      <c r="BC240" s="304"/>
      <c r="BE240"/>
      <c r="BF240" s="36"/>
      <c r="BG240" s="36"/>
      <c r="BH240" s="53"/>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c r="CG240" s="35"/>
      <c r="CH240" s="35"/>
      <c r="CI240" s="35"/>
      <c r="CJ240" s="35"/>
      <c r="CK240" s="35"/>
      <c r="CL240" s="35"/>
      <c r="CM240" s="35"/>
      <c r="CN240" s="35"/>
    </row>
    <row r="241" spans="1:92" x14ac:dyDescent="0.2">
      <c r="A241" s="48"/>
      <c r="B241" s="35" t="s">
        <v>62</v>
      </c>
      <c r="C241" s="35"/>
      <c r="D241" s="12"/>
      <c r="E241" s="67">
        <f t="shared" ref="E241:AX241" si="114">E29/E200</f>
        <v>0</v>
      </c>
      <c r="F241" s="67">
        <f t="shared" si="114"/>
        <v>0</v>
      </c>
      <c r="G241" s="67">
        <f t="shared" si="114"/>
        <v>0</v>
      </c>
      <c r="H241" s="67">
        <f t="shared" si="114"/>
        <v>7.4919638611507375</v>
      </c>
      <c r="I241" s="67">
        <f t="shared" si="114"/>
        <v>0</v>
      </c>
      <c r="J241" s="67">
        <f t="shared" si="114"/>
        <v>0</v>
      </c>
      <c r="K241" s="67">
        <f t="shared" si="114"/>
        <v>0</v>
      </c>
      <c r="L241" s="67">
        <f t="shared" si="114"/>
        <v>0</v>
      </c>
      <c r="M241" s="67">
        <f t="shared" si="114"/>
        <v>0</v>
      </c>
      <c r="N241" s="67">
        <f t="shared" si="114"/>
        <v>0</v>
      </c>
      <c r="O241" s="67">
        <f t="shared" si="114"/>
        <v>0</v>
      </c>
      <c r="P241" s="67">
        <f t="shared" si="114"/>
        <v>0</v>
      </c>
      <c r="Q241" s="67">
        <f t="shared" si="114"/>
        <v>0</v>
      </c>
      <c r="R241" s="67">
        <f t="shared" si="114"/>
        <v>0</v>
      </c>
      <c r="S241" s="67">
        <f t="shared" si="114"/>
        <v>0</v>
      </c>
      <c r="T241" s="67">
        <f t="shared" si="114"/>
        <v>0</v>
      </c>
      <c r="U241" s="67">
        <f t="shared" si="114"/>
        <v>0</v>
      </c>
      <c r="V241" s="67">
        <f t="shared" si="114"/>
        <v>0</v>
      </c>
      <c r="W241" s="67">
        <f t="shared" si="114"/>
        <v>0</v>
      </c>
      <c r="X241" s="67">
        <f t="shared" si="114"/>
        <v>0</v>
      </c>
      <c r="Y241" s="67">
        <f t="shared" si="114"/>
        <v>0</v>
      </c>
      <c r="Z241" s="67">
        <f t="shared" si="114"/>
        <v>0</v>
      </c>
      <c r="AA241" s="67">
        <f t="shared" si="114"/>
        <v>0</v>
      </c>
      <c r="AB241" s="67">
        <f t="shared" si="114"/>
        <v>0</v>
      </c>
      <c r="AC241" s="67">
        <f t="shared" si="114"/>
        <v>0</v>
      </c>
      <c r="AD241" s="67">
        <f t="shared" si="114"/>
        <v>0</v>
      </c>
      <c r="AE241" s="67">
        <f t="shared" si="114"/>
        <v>0</v>
      </c>
      <c r="AF241" s="67">
        <f t="shared" si="114"/>
        <v>0</v>
      </c>
      <c r="AG241" s="67">
        <f t="shared" si="114"/>
        <v>0</v>
      </c>
      <c r="AH241" s="67">
        <f t="shared" si="114"/>
        <v>0</v>
      </c>
      <c r="AI241" s="67">
        <f t="shared" si="114"/>
        <v>0</v>
      </c>
      <c r="AJ241" s="67">
        <f t="shared" si="114"/>
        <v>0</v>
      </c>
      <c r="AK241" s="67">
        <f t="shared" si="114"/>
        <v>0</v>
      </c>
      <c r="AL241" s="67">
        <f t="shared" si="114"/>
        <v>0</v>
      </c>
      <c r="AM241" s="67">
        <f t="shared" si="114"/>
        <v>0</v>
      </c>
      <c r="AN241" s="67">
        <f t="shared" si="114"/>
        <v>0</v>
      </c>
      <c r="AO241" s="67">
        <f t="shared" si="114"/>
        <v>0</v>
      </c>
      <c r="AP241" s="67">
        <f t="shared" si="114"/>
        <v>0</v>
      </c>
      <c r="AQ241" s="67">
        <f t="shared" si="114"/>
        <v>0</v>
      </c>
      <c r="AR241" s="67">
        <f t="shared" si="114"/>
        <v>0</v>
      </c>
      <c r="AS241" s="67">
        <f t="shared" si="114"/>
        <v>0</v>
      </c>
      <c r="AT241" s="67">
        <f t="shared" si="114"/>
        <v>0</v>
      </c>
      <c r="AU241" s="67">
        <f t="shared" si="114"/>
        <v>0</v>
      </c>
      <c r="AV241" s="67">
        <f t="shared" si="114"/>
        <v>0</v>
      </c>
      <c r="AW241" s="67">
        <f t="shared" si="114"/>
        <v>0</v>
      </c>
      <c r="AX241" s="67">
        <f t="shared" si="114"/>
        <v>0</v>
      </c>
      <c r="AY241" s="35" t="s">
        <v>62</v>
      </c>
      <c r="AZ241" s="35"/>
      <c r="BA241" s="35"/>
      <c r="BB241" s="35"/>
      <c r="BC241" s="304"/>
      <c r="BE241" s="306"/>
      <c r="BF241" s="36"/>
      <c r="BG241" s="36"/>
      <c r="BH241" s="53"/>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c r="CL241" s="35"/>
      <c r="CM241" s="35"/>
      <c r="CN241" s="35"/>
    </row>
    <row r="242" spans="1:92" ht="12.5" x14ac:dyDescent="0.25">
      <c r="A242" s="48"/>
      <c r="B242" s="35" t="s">
        <v>168</v>
      </c>
      <c r="C242" s="35"/>
      <c r="D242" s="12"/>
      <c r="E242" s="67"/>
      <c r="F242" s="67"/>
      <c r="G242" s="67"/>
      <c r="H242" s="67"/>
      <c r="I242" s="67"/>
      <c r="J242" s="67"/>
      <c r="K242" s="67"/>
      <c r="L242" s="67"/>
      <c r="M242" s="67"/>
      <c r="N242" s="67"/>
      <c r="O242" s="67"/>
      <c r="P242" s="67"/>
      <c r="Q242" s="67"/>
      <c r="R242" s="67"/>
      <c r="S242" s="67"/>
      <c r="T242" s="67"/>
      <c r="U242" s="68"/>
      <c r="V242" s="68"/>
      <c r="W242" s="67"/>
      <c r="X242" s="68"/>
      <c r="Y242" s="67"/>
      <c r="Z242" s="67"/>
      <c r="AA242" s="69"/>
      <c r="AB242" s="67"/>
      <c r="AC242" s="67"/>
      <c r="AD242" s="68"/>
      <c r="AE242" s="67"/>
      <c r="AF242" s="67"/>
      <c r="AG242" s="67"/>
      <c r="AH242" s="67"/>
      <c r="AI242" s="67"/>
      <c r="AJ242" s="67"/>
      <c r="AK242" s="67"/>
      <c r="AL242" s="67"/>
      <c r="AM242" s="67"/>
      <c r="AN242" s="67"/>
      <c r="AO242" s="67"/>
      <c r="AP242" s="67"/>
      <c r="AQ242" s="67"/>
      <c r="AR242" s="67"/>
      <c r="AS242" s="67"/>
      <c r="AT242" s="12"/>
      <c r="AU242" s="12"/>
      <c r="AV242" s="12"/>
      <c r="AW242" s="12"/>
      <c r="AX242" s="12"/>
      <c r="AY242" s="35" t="s">
        <v>168</v>
      </c>
      <c r="AZ242" s="35"/>
      <c r="BA242" s="35"/>
      <c r="BB242" s="35"/>
      <c r="BC242" s="304"/>
      <c r="BE242"/>
      <c r="BF242" s="36"/>
      <c r="BG242" s="36"/>
      <c r="BH242" s="53"/>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c r="CL242" s="35"/>
      <c r="CM242" s="35"/>
      <c r="CN242" s="35"/>
    </row>
    <row r="243" spans="1:92" ht="12.5" x14ac:dyDescent="0.25">
      <c r="A243" s="48"/>
      <c r="B243" s="35" t="s">
        <v>165</v>
      </c>
      <c r="C243" s="35"/>
      <c r="D243" s="12"/>
      <c r="E243" s="67"/>
      <c r="F243" s="67"/>
      <c r="G243" s="67"/>
      <c r="H243" s="67"/>
      <c r="I243" s="67"/>
      <c r="J243" s="67"/>
      <c r="K243" s="67"/>
      <c r="L243" s="67"/>
      <c r="M243" s="67"/>
      <c r="N243" s="67"/>
      <c r="O243" s="67"/>
      <c r="P243" s="67"/>
      <c r="Q243" s="67"/>
      <c r="R243" s="67"/>
      <c r="S243" s="67"/>
      <c r="T243" s="67"/>
      <c r="U243" s="68"/>
      <c r="V243" s="68"/>
      <c r="W243" s="67"/>
      <c r="X243" s="68"/>
      <c r="Y243" s="67"/>
      <c r="Z243" s="67"/>
      <c r="AA243" s="69"/>
      <c r="AB243" s="67"/>
      <c r="AC243" s="67"/>
      <c r="AD243" s="68"/>
      <c r="AE243" s="67"/>
      <c r="AF243" s="67"/>
      <c r="AG243" s="67"/>
      <c r="AH243" s="67"/>
      <c r="AI243" s="67"/>
      <c r="AJ243" s="67"/>
      <c r="AK243" s="67"/>
      <c r="AL243" s="67"/>
      <c r="AM243" s="67"/>
      <c r="AN243" s="67"/>
      <c r="AO243" s="67"/>
      <c r="AP243" s="67"/>
      <c r="AQ243" s="67"/>
      <c r="AR243" s="67"/>
      <c r="AS243" s="67"/>
      <c r="AT243" s="12"/>
      <c r="AU243" s="12"/>
      <c r="AV243" s="12"/>
      <c r="AW243" s="12"/>
      <c r="AX243" s="12"/>
      <c r="AY243" s="35" t="s">
        <v>165</v>
      </c>
      <c r="AZ243" s="35"/>
      <c r="BA243" s="35"/>
      <c r="BB243" s="35"/>
      <c r="BC243" s="304"/>
      <c r="BD243" s="35"/>
      <c r="BE243"/>
      <c r="BF243" s="36"/>
      <c r="BG243" s="36"/>
      <c r="BH243" s="53"/>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c r="CL243" s="35"/>
      <c r="CM243" s="35"/>
      <c r="CN243" s="35"/>
    </row>
    <row r="244" spans="1:92" ht="12.5" x14ac:dyDescent="0.25">
      <c r="A244" s="48"/>
      <c r="B244" s="35" t="s">
        <v>255</v>
      </c>
      <c r="C244" s="35"/>
      <c r="D244" s="12"/>
      <c r="E244" s="67">
        <f t="shared" ref="E244:AP244" si="115">E32/E200</f>
        <v>0</v>
      </c>
      <c r="F244" s="67">
        <f t="shared" si="115"/>
        <v>0</v>
      </c>
      <c r="G244" s="67">
        <f t="shared" si="115"/>
        <v>0</v>
      </c>
      <c r="H244" s="67">
        <f t="shared" si="115"/>
        <v>0</v>
      </c>
      <c r="I244" s="67">
        <f t="shared" si="115"/>
        <v>0</v>
      </c>
      <c r="J244" s="67">
        <f t="shared" si="115"/>
        <v>0</v>
      </c>
      <c r="K244" s="67">
        <f t="shared" si="115"/>
        <v>0</v>
      </c>
      <c r="L244" s="67">
        <f t="shared" si="115"/>
        <v>0</v>
      </c>
      <c r="M244" s="67">
        <f t="shared" si="115"/>
        <v>0</v>
      </c>
      <c r="N244" s="67">
        <f t="shared" si="115"/>
        <v>0</v>
      </c>
      <c r="O244" s="67">
        <f t="shared" si="115"/>
        <v>0</v>
      </c>
      <c r="P244" s="67">
        <f t="shared" si="115"/>
        <v>0</v>
      </c>
      <c r="Q244" s="67">
        <f t="shared" si="115"/>
        <v>0</v>
      </c>
      <c r="R244" s="67">
        <f t="shared" si="115"/>
        <v>0</v>
      </c>
      <c r="S244" s="67">
        <f t="shared" si="115"/>
        <v>0</v>
      </c>
      <c r="T244" s="67">
        <f t="shared" si="115"/>
        <v>0</v>
      </c>
      <c r="U244" s="67">
        <f t="shared" si="115"/>
        <v>0</v>
      </c>
      <c r="V244" s="67">
        <f t="shared" si="115"/>
        <v>0</v>
      </c>
      <c r="W244" s="67">
        <f t="shared" si="115"/>
        <v>0</v>
      </c>
      <c r="X244" s="67">
        <f t="shared" si="115"/>
        <v>0</v>
      </c>
      <c r="Y244" s="67">
        <f t="shared" si="115"/>
        <v>0</v>
      </c>
      <c r="Z244" s="67">
        <f t="shared" si="115"/>
        <v>0</v>
      </c>
      <c r="AA244" s="67">
        <f t="shared" si="115"/>
        <v>0</v>
      </c>
      <c r="AB244" s="67">
        <f t="shared" si="115"/>
        <v>0</v>
      </c>
      <c r="AC244" s="67">
        <f t="shared" si="115"/>
        <v>0</v>
      </c>
      <c r="AD244" s="67">
        <f t="shared" si="115"/>
        <v>0</v>
      </c>
      <c r="AE244" s="67">
        <f t="shared" si="115"/>
        <v>0</v>
      </c>
      <c r="AF244" s="67">
        <f t="shared" si="115"/>
        <v>0</v>
      </c>
      <c r="AG244" s="67">
        <f t="shared" si="115"/>
        <v>0</v>
      </c>
      <c r="AH244" s="67">
        <f t="shared" si="115"/>
        <v>0</v>
      </c>
      <c r="AI244" s="67">
        <f t="shared" si="115"/>
        <v>55.976958231480495</v>
      </c>
      <c r="AJ244" s="67">
        <f t="shared" si="115"/>
        <v>50.926322498406627</v>
      </c>
      <c r="AK244" s="67">
        <f t="shared" si="115"/>
        <v>0</v>
      </c>
      <c r="AL244" s="67">
        <f t="shared" si="115"/>
        <v>42.168729777684995</v>
      </c>
      <c r="AM244" s="67">
        <f t="shared" si="115"/>
        <v>0</v>
      </c>
      <c r="AN244" s="67">
        <f t="shared" si="115"/>
        <v>0</v>
      </c>
      <c r="AO244" s="67">
        <f t="shared" si="115"/>
        <v>0</v>
      </c>
      <c r="AP244" s="67">
        <f t="shared" si="115"/>
        <v>0</v>
      </c>
      <c r="AQ244" s="67">
        <f>AQ32/AR200</f>
        <v>0</v>
      </c>
      <c r="AR244" s="67">
        <f>AR32/AS200</f>
        <v>0</v>
      </c>
      <c r="AS244" s="67">
        <f t="shared" ref="AS244:AX244" si="116">AS32/AS200</f>
        <v>0</v>
      </c>
      <c r="AT244" s="67">
        <f t="shared" si="116"/>
        <v>0</v>
      </c>
      <c r="AU244" s="67">
        <f t="shared" si="116"/>
        <v>0</v>
      </c>
      <c r="AV244" s="67">
        <f t="shared" si="116"/>
        <v>0</v>
      </c>
      <c r="AW244" s="67">
        <f t="shared" si="116"/>
        <v>0</v>
      </c>
      <c r="AX244" s="67">
        <f t="shared" si="116"/>
        <v>0</v>
      </c>
      <c r="AY244" s="35" t="s">
        <v>255</v>
      </c>
      <c r="AZ244" s="35"/>
      <c r="BA244" s="35"/>
      <c r="BB244" s="35"/>
      <c r="BC244" s="304"/>
      <c r="BD244" s="35"/>
      <c r="BE244"/>
      <c r="BF244" s="36"/>
      <c r="BG244" s="36"/>
      <c r="BH244" s="53"/>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c r="CG244" s="35"/>
      <c r="CH244" s="35"/>
      <c r="CI244" s="35"/>
      <c r="CJ244" s="35"/>
      <c r="CK244" s="35"/>
      <c r="CL244" s="35"/>
      <c r="CM244" s="35"/>
      <c r="CN244" s="35"/>
    </row>
    <row r="245" spans="1:92" ht="12.5" x14ac:dyDescent="0.25">
      <c r="A245" s="48"/>
      <c r="B245" s="35"/>
      <c r="C245" s="35"/>
      <c r="D245" s="12"/>
      <c r="E245" s="153"/>
      <c r="F245" s="153"/>
      <c r="G245" s="153"/>
      <c r="H245" s="153"/>
      <c r="I245" s="153"/>
      <c r="J245" s="153"/>
      <c r="K245" s="153"/>
      <c r="L245" s="153"/>
      <c r="M245" s="153"/>
      <c r="N245" s="153"/>
      <c r="O245" s="153"/>
      <c r="P245" s="153"/>
      <c r="Q245" s="153"/>
      <c r="R245" s="153"/>
      <c r="S245" s="153"/>
      <c r="T245" s="153"/>
      <c r="U245" s="154"/>
      <c r="V245" s="154"/>
      <c r="W245" s="153"/>
      <c r="X245" s="154"/>
      <c r="Y245" s="153"/>
      <c r="Z245" s="153"/>
      <c r="AA245" s="155"/>
      <c r="AB245" s="153"/>
      <c r="AC245" s="153"/>
      <c r="AD245" s="154"/>
      <c r="AE245" s="153"/>
      <c r="AF245" s="153"/>
      <c r="AG245" s="153"/>
      <c r="AH245" s="153"/>
      <c r="AI245" s="156"/>
      <c r="AJ245" s="156"/>
      <c r="AK245" s="156"/>
      <c r="AL245" s="156"/>
      <c r="AM245" s="156"/>
      <c r="AN245" s="156"/>
      <c r="AO245" s="35"/>
      <c r="AP245" s="35"/>
      <c r="AQ245" s="35"/>
      <c r="AR245" s="35"/>
      <c r="AS245" s="35"/>
      <c r="AT245" s="35"/>
      <c r="AU245" s="35"/>
      <c r="AV245" s="35"/>
      <c r="AW245" s="35"/>
      <c r="AX245" s="35"/>
      <c r="AY245" s="35"/>
      <c r="AZ245" s="35"/>
      <c r="BA245" s="35"/>
      <c r="BB245" s="35"/>
      <c r="BC245" s="304"/>
      <c r="BD245" s="35"/>
      <c r="BE245"/>
      <c r="BJ245" s="35"/>
      <c r="BK245" s="35"/>
      <c r="BL245" s="35"/>
      <c r="BM245" s="35"/>
      <c r="BN245" s="35"/>
      <c r="BO245" s="35"/>
      <c r="BP245" s="35"/>
      <c r="BQ245" s="35"/>
      <c r="BR245" s="47"/>
      <c r="BS245" s="3"/>
      <c r="BT245" s="3"/>
      <c r="BU245" s="3"/>
      <c r="BV245" s="3"/>
      <c r="BW245" s="3"/>
      <c r="BX245" s="3"/>
      <c r="BY245" s="3"/>
      <c r="BZ245" s="3"/>
      <c r="CA245" s="3"/>
      <c r="CB245" s="3"/>
    </row>
    <row r="246" spans="1:92" ht="12.5" x14ac:dyDescent="0.25">
      <c r="A246" s="48"/>
      <c r="B246" s="35"/>
      <c r="C246" s="35"/>
      <c r="D246" s="12"/>
      <c r="E246" s="12"/>
      <c r="F246" s="12"/>
      <c r="G246" s="12"/>
      <c r="H246" s="12"/>
      <c r="I246" s="12"/>
      <c r="J246" s="12"/>
      <c r="K246" s="12"/>
      <c r="L246" s="12"/>
      <c r="M246" s="12"/>
      <c r="N246" s="12"/>
      <c r="O246" s="12"/>
      <c r="P246" s="12"/>
      <c r="Q246" s="12"/>
      <c r="R246" s="12"/>
      <c r="S246" s="12"/>
      <c r="T246" s="12"/>
      <c r="U246" s="43"/>
      <c r="V246" s="43"/>
      <c r="W246" s="12"/>
      <c r="X246" s="43"/>
      <c r="Y246" s="12"/>
      <c r="Z246" s="12"/>
      <c r="AA246" s="157"/>
      <c r="AB246" s="12"/>
      <c r="AC246" s="12"/>
      <c r="AD246" s="43"/>
      <c r="AE246" s="12"/>
      <c r="AF246" s="12"/>
      <c r="AG246" s="12"/>
      <c r="AH246" s="12"/>
      <c r="AI246" s="35"/>
      <c r="AJ246" s="35"/>
      <c r="AK246" s="35"/>
      <c r="AL246" s="35"/>
      <c r="AM246" s="35"/>
      <c r="AN246" s="35"/>
      <c r="AO246" s="35"/>
      <c r="AP246" s="35"/>
      <c r="AQ246" s="35"/>
      <c r="AR246" s="35"/>
      <c r="AS246" s="35"/>
      <c r="AT246" s="35"/>
      <c r="AU246" s="35"/>
      <c r="AV246" s="35"/>
      <c r="AW246" s="35"/>
      <c r="AX246" s="35"/>
      <c r="AY246" s="35"/>
      <c r="AZ246" s="35"/>
      <c r="BA246" s="35"/>
      <c r="BB246" s="35"/>
      <c r="BC246" s="304"/>
      <c r="BD246" s="35"/>
      <c r="BE246"/>
      <c r="BF246" s="46"/>
      <c r="BG246" s="46"/>
      <c r="BH246" s="35"/>
      <c r="BI246" s="35"/>
      <c r="BJ246" s="35"/>
      <c r="BK246" s="35"/>
      <c r="BL246" s="35"/>
      <c r="BM246" s="35"/>
      <c r="BN246" s="35"/>
      <c r="BO246" s="35"/>
      <c r="BP246" s="35"/>
      <c r="BQ246" s="35"/>
      <c r="BR246" s="47"/>
      <c r="BS246" s="3"/>
      <c r="BT246" s="3"/>
      <c r="BU246" s="3"/>
      <c r="BV246" s="3"/>
      <c r="BW246" s="3"/>
      <c r="BX246" s="3"/>
      <c r="BY246" s="3"/>
      <c r="BZ246" s="3"/>
      <c r="CA246" s="3"/>
      <c r="CB246" s="3"/>
    </row>
    <row r="247" spans="1:92" ht="12.5" x14ac:dyDescent="0.25">
      <c r="A247" s="51" t="s">
        <v>401</v>
      </c>
      <c r="B247" s="35"/>
      <c r="C247" s="35"/>
      <c r="D247" s="12"/>
      <c r="E247" s="158"/>
      <c r="F247" s="158"/>
      <c r="G247" s="158"/>
      <c r="H247" s="158"/>
      <c r="I247" s="158"/>
      <c r="J247" s="158"/>
      <c r="K247" s="158"/>
      <c r="L247" s="158"/>
      <c r="M247" s="158"/>
      <c r="N247" s="158"/>
      <c r="O247" s="158"/>
      <c r="P247" s="158"/>
      <c r="Q247" s="158"/>
      <c r="R247" s="158"/>
      <c r="S247" s="158"/>
      <c r="T247" s="158"/>
      <c r="U247" s="159"/>
      <c r="V247" s="159"/>
      <c r="W247" s="158"/>
      <c r="X247" s="159"/>
      <c r="Y247" s="158"/>
      <c r="Z247" s="158"/>
      <c r="AA247" s="160"/>
      <c r="AB247" s="158"/>
      <c r="AC247" s="158"/>
      <c r="AD247" s="159"/>
      <c r="AE247" s="158"/>
      <c r="AF247" s="158"/>
      <c r="AG247" s="158"/>
      <c r="AH247" s="158"/>
      <c r="AI247" s="161"/>
      <c r="AJ247" s="161"/>
      <c r="AK247" s="161"/>
      <c r="AL247" s="161"/>
      <c r="AM247" s="161"/>
      <c r="AN247" s="161"/>
      <c r="AO247" s="35"/>
      <c r="AP247" s="35"/>
      <c r="AQ247" s="35"/>
      <c r="AR247" s="35"/>
      <c r="AS247" s="35"/>
      <c r="AT247" s="35"/>
      <c r="AU247" s="35"/>
      <c r="AV247" s="35"/>
      <c r="AW247" s="35"/>
      <c r="AX247" s="35"/>
      <c r="AY247" s="44" t="s">
        <v>463</v>
      </c>
      <c r="AZ247" s="35"/>
      <c r="BA247" s="35"/>
      <c r="BB247" s="35"/>
      <c r="BC247" s="304"/>
      <c r="BD247" s="35"/>
      <c r="BE247"/>
      <c r="BF247" s="46"/>
      <c r="BG247" s="46"/>
      <c r="BH247" s="35"/>
      <c r="BI247" s="35"/>
      <c r="BJ247" s="35"/>
      <c r="BK247" s="35"/>
      <c r="BL247" s="35"/>
      <c r="BM247" s="35"/>
      <c r="BN247" s="35"/>
      <c r="BO247" s="35"/>
      <c r="BP247" s="35"/>
      <c r="BQ247" s="35"/>
      <c r="BR247" s="47"/>
      <c r="BS247" s="3"/>
      <c r="BT247" s="3"/>
      <c r="BU247" s="3"/>
      <c r="BV247" s="3"/>
      <c r="BW247" s="3"/>
      <c r="BX247" s="3"/>
      <c r="BY247" s="3"/>
      <c r="BZ247" s="3"/>
      <c r="CA247" s="3"/>
      <c r="CB247" s="3"/>
    </row>
    <row r="248" spans="1:92" x14ac:dyDescent="0.2">
      <c r="A248" s="48"/>
      <c r="B248" s="35" t="s">
        <v>68</v>
      </c>
      <c r="C248" s="35"/>
      <c r="D248" s="12"/>
      <c r="E248" s="67">
        <f t="shared" ref="E248:AX248" si="117">E43/E200</f>
        <v>240.90146310432567</v>
      </c>
      <c r="F248" s="67">
        <f t="shared" si="117"/>
        <v>325.72178738317757</v>
      </c>
      <c r="G248" s="67">
        <f t="shared" si="117"/>
        <v>337.35226011102293</v>
      </c>
      <c r="H248" s="67">
        <f t="shared" si="117"/>
        <v>281.2162149310509</v>
      </c>
      <c r="I248" s="67">
        <f t="shared" si="117"/>
        <v>146.65057522123891</v>
      </c>
      <c r="J248" s="67">
        <f t="shared" si="117"/>
        <v>127.54691384032019</v>
      </c>
      <c r="K248" s="67">
        <f t="shared" si="117"/>
        <v>146.47632267149467</v>
      </c>
      <c r="L248" s="67">
        <f t="shared" si="117"/>
        <v>133.95537864077667</v>
      </c>
      <c r="M248" s="67">
        <f t="shared" si="117"/>
        <v>123.070559147965</v>
      </c>
      <c r="N248" s="67">
        <f t="shared" si="117"/>
        <v>114.52454077883908</v>
      </c>
      <c r="O248" s="67">
        <f t="shared" si="117"/>
        <v>102.45405596882748</v>
      </c>
      <c r="P248" s="67">
        <f t="shared" si="117"/>
        <v>104.17528128196385</v>
      </c>
      <c r="Q248" s="67">
        <f t="shared" si="117"/>
        <v>121.46222518321117</v>
      </c>
      <c r="R248" s="67">
        <f t="shared" si="117"/>
        <v>143.31138875540606</v>
      </c>
      <c r="S248" s="67">
        <f t="shared" si="117"/>
        <v>187.79575572519082</v>
      </c>
      <c r="T248" s="67">
        <f t="shared" si="117"/>
        <v>232.29133323490328</v>
      </c>
      <c r="U248" s="67">
        <f t="shared" si="117"/>
        <v>288.90329415179218</v>
      </c>
      <c r="V248" s="67">
        <f t="shared" si="117"/>
        <v>303.03500070452304</v>
      </c>
      <c r="W248" s="67">
        <f t="shared" si="117"/>
        <v>271.23509402654867</v>
      </c>
      <c r="X248" s="67">
        <f t="shared" si="117"/>
        <v>262.62378246753246</v>
      </c>
      <c r="Y248" s="67">
        <f t="shared" si="117"/>
        <v>287.94236466469164</v>
      </c>
      <c r="Z248" s="67">
        <f t="shared" si="117"/>
        <v>297.99704157782514</v>
      </c>
      <c r="AA248" s="67">
        <f t="shared" si="117"/>
        <v>335.17315974482489</v>
      </c>
      <c r="AB248" s="67">
        <f t="shared" si="117"/>
        <v>359.77895004448965</v>
      </c>
      <c r="AC248" s="67">
        <f t="shared" si="117"/>
        <v>256.17713640356379</v>
      </c>
      <c r="AD248" s="67">
        <f t="shared" si="117"/>
        <v>240.87072121882292</v>
      </c>
      <c r="AE248" s="67">
        <f t="shared" si="117"/>
        <v>232.31973115698511</v>
      </c>
      <c r="AF248" s="67">
        <f t="shared" si="117"/>
        <v>211.29905715283437</v>
      </c>
      <c r="AG248" s="67">
        <f t="shared" si="117"/>
        <v>226.34877113866969</v>
      </c>
      <c r="AH248" s="67">
        <f t="shared" si="117"/>
        <v>226.98389541909259</v>
      </c>
      <c r="AI248" s="67">
        <f t="shared" si="117"/>
        <v>249.26491656924225</v>
      </c>
      <c r="AJ248" s="67">
        <f t="shared" si="117"/>
        <v>319.30565115785004</v>
      </c>
      <c r="AK248" s="67">
        <f t="shared" si="117"/>
        <v>130.54353091140854</v>
      </c>
      <c r="AL248" s="67">
        <f t="shared" si="117"/>
        <v>357.31831750339211</v>
      </c>
      <c r="AM248" s="67">
        <f t="shared" si="117"/>
        <v>336.89586354815651</v>
      </c>
      <c r="AN248" s="67">
        <f t="shared" si="117"/>
        <v>361.14085999999998</v>
      </c>
      <c r="AO248" s="67">
        <f t="shared" si="117"/>
        <v>335.88077566689634</v>
      </c>
      <c r="AP248" s="67">
        <f t="shared" si="117"/>
        <v>316.04146956184564</v>
      </c>
      <c r="AQ248" s="67">
        <f t="shared" si="117"/>
        <v>295.89510030864199</v>
      </c>
      <c r="AR248" s="67">
        <f t="shared" si="117"/>
        <v>334.10649300900212</v>
      </c>
      <c r="AS248" s="67">
        <f t="shared" si="117"/>
        <v>325.26623987949534</v>
      </c>
      <c r="AT248" s="67">
        <f t="shared" si="117"/>
        <v>349.84111633047797</v>
      </c>
      <c r="AU248" s="67">
        <f t="shared" si="117"/>
        <v>350.54110829409632</v>
      </c>
      <c r="AV248" s="67">
        <f t="shared" si="117"/>
        <v>396</v>
      </c>
      <c r="AW248" s="67">
        <f t="shared" si="117"/>
        <v>392.77549952011168</v>
      </c>
      <c r="AX248" s="67">
        <f t="shared" si="117"/>
        <v>573.3478893740903</v>
      </c>
      <c r="AY248" s="35" t="s">
        <v>68</v>
      </c>
      <c r="AZ248" s="35"/>
      <c r="BA248" s="35"/>
      <c r="BB248" s="12"/>
      <c r="BC248" s="304"/>
      <c r="BD248" s="35"/>
      <c r="BE248" s="306"/>
      <c r="BF248" s="50"/>
      <c r="BG248" s="43"/>
      <c r="BH248" s="52"/>
      <c r="BI248" s="12"/>
      <c r="BJ248" s="12"/>
      <c r="BK248" s="12"/>
      <c r="BL248" s="12"/>
      <c r="BM248" s="12"/>
      <c r="BN248" s="12"/>
      <c r="BO248" s="12"/>
      <c r="BP248" s="35"/>
      <c r="BQ248" s="35"/>
      <c r="BR248" s="47"/>
      <c r="BS248" s="3"/>
      <c r="BT248" s="3"/>
      <c r="BU248" s="3"/>
      <c r="BV248" s="3"/>
      <c r="BW248" s="3"/>
      <c r="BX248" s="3"/>
      <c r="BY248" s="3"/>
      <c r="BZ248" s="3"/>
      <c r="CA248" s="3"/>
      <c r="CB248" s="3"/>
    </row>
    <row r="249" spans="1:92" ht="12.5" x14ac:dyDescent="0.25">
      <c r="A249" s="48"/>
      <c r="B249" s="35" t="s">
        <v>69</v>
      </c>
      <c r="C249" s="35"/>
      <c r="D249" s="12"/>
      <c r="E249" s="67">
        <f t="shared" ref="E249:AX249" si="118">E44/E200</f>
        <v>0</v>
      </c>
      <c r="F249" s="67">
        <f t="shared" si="118"/>
        <v>0</v>
      </c>
      <c r="G249" s="67">
        <f t="shared" si="118"/>
        <v>0</v>
      </c>
      <c r="H249" s="67">
        <f t="shared" si="118"/>
        <v>0</v>
      </c>
      <c r="I249" s="67">
        <f t="shared" si="118"/>
        <v>0</v>
      </c>
      <c r="J249" s="67">
        <f t="shared" si="118"/>
        <v>0</v>
      </c>
      <c r="K249" s="67">
        <f t="shared" si="118"/>
        <v>0</v>
      </c>
      <c r="L249" s="67">
        <f t="shared" si="118"/>
        <v>0</v>
      </c>
      <c r="M249" s="67">
        <f t="shared" si="118"/>
        <v>0</v>
      </c>
      <c r="N249" s="67">
        <f t="shared" si="118"/>
        <v>0</v>
      </c>
      <c r="O249" s="67">
        <f t="shared" si="118"/>
        <v>0</v>
      </c>
      <c r="P249" s="67">
        <f t="shared" si="118"/>
        <v>0</v>
      </c>
      <c r="Q249" s="67">
        <f t="shared" si="118"/>
        <v>0</v>
      </c>
      <c r="R249" s="67">
        <f t="shared" si="118"/>
        <v>0</v>
      </c>
      <c r="S249" s="67">
        <f t="shared" si="118"/>
        <v>8.0753893129770979</v>
      </c>
      <c r="T249" s="67">
        <f t="shared" si="118"/>
        <v>8.3079875978148525</v>
      </c>
      <c r="U249" s="67">
        <f t="shared" si="118"/>
        <v>10.942069365839501</v>
      </c>
      <c r="V249" s="67">
        <f t="shared" si="118"/>
        <v>13.637367901930393</v>
      </c>
      <c r="W249" s="67">
        <f t="shared" si="118"/>
        <v>0</v>
      </c>
      <c r="X249" s="67">
        <f t="shared" si="118"/>
        <v>0</v>
      </c>
      <c r="Y249" s="67">
        <f t="shared" si="118"/>
        <v>0</v>
      </c>
      <c r="Z249" s="67">
        <f t="shared" si="118"/>
        <v>0</v>
      </c>
      <c r="AA249" s="67">
        <f t="shared" si="118"/>
        <v>0</v>
      </c>
      <c r="AB249" s="67">
        <f t="shared" si="118"/>
        <v>0</v>
      </c>
      <c r="AC249" s="67">
        <f t="shared" si="118"/>
        <v>0</v>
      </c>
      <c r="AD249" s="67">
        <f t="shared" si="118"/>
        <v>0</v>
      </c>
      <c r="AE249" s="67">
        <f t="shared" si="118"/>
        <v>0</v>
      </c>
      <c r="AF249" s="67">
        <f t="shared" si="118"/>
        <v>0</v>
      </c>
      <c r="AG249" s="67">
        <f t="shared" si="118"/>
        <v>0</v>
      </c>
      <c r="AH249" s="67">
        <f t="shared" si="118"/>
        <v>0</v>
      </c>
      <c r="AI249" s="67">
        <f t="shared" si="118"/>
        <v>0</v>
      </c>
      <c r="AJ249" s="67">
        <f t="shared" si="118"/>
        <v>0</v>
      </c>
      <c r="AK249" s="67">
        <f t="shared" si="118"/>
        <v>0</v>
      </c>
      <c r="AL249" s="67">
        <f t="shared" si="118"/>
        <v>0</v>
      </c>
      <c r="AM249" s="67">
        <f t="shared" si="118"/>
        <v>0</v>
      </c>
      <c r="AN249" s="67">
        <f t="shared" si="118"/>
        <v>0</v>
      </c>
      <c r="AO249" s="67">
        <f t="shared" si="118"/>
        <v>0</v>
      </c>
      <c r="AP249" s="67">
        <f t="shared" si="118"/>
        <v>0</v>
      </c>
      <c r="AQ249" s="67">
        <f t="shared" si="118"/>
        <v>0</v>
      </c>
      <c r="AR249" s="67">
        <f t="shared" si="118"/>
        <v>0</v>
      </c>
      <c r="AS249" s="67">
        <f t="shared" si="118"/>
        <v>0</v>
      </c>
      <c r="AT249" s="67">
        <f t="shared" si="118"/>
        <v>0</v>
      </c>
      <c r="AU249" s="67">
        <f t="shared" si="118"/>
        <v>0</v>
      </c>
      <c r="AV249" s="67">
        <f t="shared" si="118"/>
        <v>0</v>
      </c>
      <c r="AW249" s="67">
        <f t="shared" si="118"/>
        <v>0</v>
      </c>
      <c r="AX249" s="67">
        <f t="shared" si="118"/>
        <v>0</v>
      </c>
      <c r="AY249" s="35" t="s">
        <v>69</v>
      </c>
      <c r="AZ249" s="35"/>
      <c r="BA249" s="35"/>
      <c r="BB249" s="12"/>
      <c r="BC249" s="304"/>
      <c r="BD249" s="35"/>
      <c r="BE249"/>
      <c r="BF249" s="50"/>
      <c r="BG249" s="43"/>
      <c r="BH249" s="12"/>
      <c r="BI249" s="12"/>
      <c r="BJ249" s="12"/>
      <c r="BK249" s="12"/>
      <c r="BL249" s="12"/>
      <c r="BM249" s="12"/>
      <c r="BN249" s="12"/>
      <c r="BO249" s="12"/>
      <c r="BP249" s="35"/>
      <c r="BQ249" s="35"/>
      <c r="BR249" s="47"/>
      <c r="BS249" s="3"/>
      <c r="BT249" s="3"/>
      <c r="BU249" s="3"/>
      <c r="BV249" s="3"/>
      <c r="BW249" s="3"/>
      <c r="BX249" s="3"/>
      <c r="BY249" s="3"/>
      <c r="BZ249" s="3"/>
      <c r="CA249" s="3"/>
      <c r="CB249" s="3"/>
    </row>
    <row r="250" spans="1:92" x14ac:dyDescent="0.2">
      <c r="A250" s="48"/>
      <c r="B250" s="35" t="s">
        <v>70</v>
      </c>
      <c r="C250" s="35"/>
      <c r="D250" s="12"/>
      <c r="E250" s="67">
        <f t="shared" ref="E250:AX250" si="119">E45/E200</f>
        <v>114.18657760814249</v>
      </c>
      <c r="F250" s="67">
        <f t="shared" si="119"/>
        <v>131.47196261682242</v>
      </c>
      <c r="G250" s="67">
        <f t="shared" si="119"/>
        <v>179.08823684906156</v>
      </c>
      <c r="H250" s="67">
        <f t="shared" si="119"/>
        <v>186.22881597717546</v>
      </c>
      <c r="I250" s="67">
        <f t="shared" si="119"/>
        <v>71.70690265486725</v>
      </c>
      <c r="J250" s="67">
        <f t="shared" si="119"/>
        <v>66.144217400463447</v>
      </c>
      <c r="K250" s="67">
        <f t="shared" si="119"/>
        <v>75.841681754174203</v>
      </c>
      <c r="L250" s="67">
        <f t="shared" si="119"/>
        <v>69.272194174757274</v>
      </c>
      <c r="M250" s="67">
        <f t="shared" si="119"/>
        <v>87.112552301255235</v>
      </c>
      <c r="N250" s="67">
        <f t="shared" si="119"/>
        <v>71.319434239529755</v>
      </c>
      <c r="O250" s="67">
        <f t="shared" si="119"/>
        <v>65.379241941197293</v>
      </c>
      <c r="P250" s="67">
        <f t="shared" si="119"/>
        <v>58.130958063416294</v>
      </c>
      <c r="Q250" s="67">
        <f t="shared" si="119"/>
        <v>96.157594936708847</v>
      </c>
      <c r="R250" s="67">
        <f t="shared" si="119"/>
        <v>108.52007047893642</v>
      </c>
      <c r="S250" s="67">
        <f t="shared" si="119"/>
        <v>166.14683969465648</v>
      </c>
      <c r="T250" s="67">
        <f t="shared" si="119"/>
        <v>187.42820020670305</v>
      </c>
      <c r="U250" s="67">
        <f t="shared" si="119"/>
        <v>202.34662603395734</v>
      </c>
      <c r="V250" s="67">
        <f t="shared" si="119"/>
        <v>208.52486966323798</v>
      </c>
      <c r="W250" s="67">
        <f t="shared" si="119"/>
        <v>168.52989491150441</v>
      </c>
      <c r="X250" s="67">
        <f t="shared" si="119"/>
        <v>175.69150432900432</v>
      </c>
      <c r="Y250" s="67">
        <f t="shared" si="119"/>
        <v>202.92359278211688</v>
      </c>
      <c r="Z250" s="67">
        <f t="shared" si="119"/>
        <v>244.15660980810236</v>
      </c>
      <c r="AA250" s="67">
        <f t="shared" si="119"/>
        <v>232.91867985939331</v>
      </c>
      <c r="AB250" s="67">
        <f t="shared" si="119"/>
        <v>245.47939494089232</v>
      </c>
      <c r="AC250" s="67">
        <f t="shared" si="119"/>
        <v>142.49323629062619</v>
      </c>
      <c r="AD250" s="67">
        <f t="shared" si="119"/>
        <v>133.8477945693574</v>
      </c>
      <c r="AE250" s="67">
        <f t="shared" si="119"/>
        <v>122.23799807969274</v>
      </c>
      <c r="AF250" s="67">
        <f t="shared" si="119"/>
        <v>96.152205796764065</v>
      </c>
      <c r="AG250" s="67">
        <f t="shared" si="119"/>
        <v>70.924306651634723</v>
      </c>
      <c r="AH250" s="67">
        <f t="shared" si="119"/>
        <v>68.985301548939901</v>
      </c>
      <c r="AI250" s="67">
        <f t="shared" si="119"/>
        <v>75.59281538952068</v>
      </c>
      <c r="AJ250" s="67">
        <f t="shared" si="119"/>
        <v>105.1999150201827</v>
      </c>
      <c r="AK250" s="67">
        <f t="shared" si="119"/>
        <v>254.51206713405566</v>
      </c>
      <c r="AL250" s="67">
        <f t="shared" si="119"/>
        <v>110.76632919319485</v>
      </c>
      <c r="AM250" s="67">
        <f t="shared" si="119"/>
        <v>121.72388928607906</v>
      </c>
      <c r="AN250" s="67">
        <f t="shared" si="119"/>
        <v>126.83257999999999</v>
      </c>
      <c r="AO250" s="67">
        <f t="shared" si="119"/>
        <v>126.61996259474357</v>
      </c>
      <c r="AP250" s="67">
        <f t="shared" si="119"/>
        <v>196.91227219852655</v>
      </c>
      <c r="AQ250" s="67">
        <f t="shared" si="119"/>
        <v>210.79540895061729</v>
      </c>
      <c r="AR250" s="67">
        <f t="shared" si="119"/>
        <v>246.80769967439187</v>
      </c>
      <c r="AS250" s="67">
        <f t="shared" si="119"/>
        <v>272.82103182074934</v>
      </c>
      <c r="AT250" s="67">
        <f t="shared" si="119"/>
        <v>316.15271253569119</v>
      </c>
      <c r="AU250" s="67">
        <f t="shared" si="119"/>
        <v>326.08475190148494</v>
      </c>
      <c r="AV250" s="67">
        <f t="shared" si="119"/>
        <v>395</v>
      </c>
      <c r="AW250" s="67">
        <f t="shared" si="119"/>
        <v>388.84774452491058</v>
      </c>
      <c r="AX250" s="67">
        <f t="shared" si="119"/>
        <v>530.46724890829694</v>
      </c>
      <c r="AY250" s="35" t="s">
        <v>70</v>
      </c>
      <c r="AZ250" s="35"/>
      <c r="BA250" s="35"/>
      <c r="BB250" s="12"/>
      <c r="BC250" s="304"/>
      <c r="BD250" s="35"/>
      <c r="BE250" s="306"/>
      <c r="BF250" s="50"/>
      <c r="BG250" s="43"/>
      <c r="BH250" s="12"/>
      <c r="BI250" s="12"/>
      <c r="BJ250" s="12"/>
      <c r="BK250" s="12"/>
      <c r="BL250" s="12"/>
      <c r="BM250" s="12"/>
      <c r="BN250" s="12"/>
      <c r="BO250" s="12"/>
      <c r="BP250" s="35"/>
      <c r="BQ250" s="35"/>
      <c r="BR250" s="47"/>
      <c r="BS250" s="3"/>
      <c r="BT250" s="3"/>
      <c r="BU250" s="3"/>
      <c r="BV250" s="3"/>
      <c r="BW250" s="3"/>
      <c r="BX250" s="3"/>
      <c r="BY250" s="3"/>
      <c r="BZ250" s="3"/>
      <c r="CA250" s="3"/>
      <c r="CB250" s="3"/>
    </row>
    <row r="251" spans="1:92" x14ac:dyDescent="0.2">
      <c r="A251" s="48"/>
      <c r="B251" s="35" t="s">
        <v>71</v>
      </c>
      <c r="C251" s="35"/>
      <c r="D251" s="12"/>
      <c r="E251" s="67">
        <f t="shared" ref="E251:AX251" si="120">E46/E200</f>
        <v>226.94134860050889</v>
      </c>
      <c r="F251" s="67">
        <f t="shared" si="120"/>
        <v>260.64316588785044</v>
      </c>
      <c r="G251" s="67">
        <f t="shared" si="120"/>
        <v>310.57827121332275</v>
      </c>
      <c r="H251" s="67">
        <f t="shared" si="120"/>
        <v>244.29153590109368</v>
      </c>
      <c r="I251" s="67">
        <f t="shared" si="120"/>
        <v>118.76455752212388</v>
      </c>
      <c r="J251" s="67">
        <f t="shared" si="120"/>
        <v>92.459658731830629</v>
      </c>
      <c r="K251" s="67">
        <f t="shared" si="120"/>
        <v>84.218225709112858</v>
      </c>
      <c r="L251" s="67">
        <f t="shared" si="120"/>
        <v>89.594951456310682</v>
      </c>
      <c r="M251" s="67">
        <f t="shared" si="120"/>
        <v>81.119551160136922</v>
      </c>
      <c r="N251" s="67">
        <f t="shared" si="120"/>
        <v>62.430345334313003</v>
      </c>
      <c r="O251" s="67">
        <f t="shared" si="120"/>
        <v>68.56847325540204</v>
      </c>
      <c r="P251" s="67">
        <f t="shared" si="120"/>
        <v>62.543539038527101</v>
      </c>
      <c r="Q251" s="67">
        <f t="shared" si="120"/>
        <v>66.541805463024644</v>
      </c>
      <c r="R251" s="67">
        <f t="shared" si="120"/>
        <v>88.871087618132307</v>
      </c>
      <c r="S251" s="67">
        <f t="shared" si="120"/>
        <v>74.053038167938922</v>
      </c>
      <c r="T251" s="67">
        <f t="shared" si="120"/>
        <v>80.089000442935173</v>
      </c>
      <c r="U251" s="67">
        <f t="shared" si="120"/>
        <v>106.48103323175155</v>
      </c>
      <c r="V251" s="67">
        <f t="shared" si="120"/>
        <v>138.11799351838803</v>
      </c>
      <c r="W251" s="67">
        <f t="shared" si="120"/>
        <v>110.79712389380531</v>
      </c>
      <c r="X251" s="67">
        <f t="shared" si="120"/>
        <v>121.94878246753245</v>
      </c>
      <c r="Y251" s="67">
        <f t="shared" si="120"/>
        <v>117.75327228656073</v>
      </c>
      <c r="Z251" s="67">
        <f t="shared" si="120"/>
        <v>126.4211306815227</v>
      </c>
      <c r="AA251" s="67">
        <f t="shared" si="120"/>
        <v>117.19538551410352</v>
      </c>
      <c r="AB251" s="67">
        <f t="shared" si="120"/>
        <v>130.51152922316908</v>
      </c>
      <c r="AC251" s="67">
        <f t="shared" si="120"/>
        <v>89.111231020203277</v>
      </c>
      <c r="AD251" s="67">
        <f t="shared" si="120"/>
        <v>80.612876274726617</v>
      </c>
      <c r="AE251" s="67">
        <f t="shared" si="120"/>
        <v>78.070235237638016</v>
      </c>
      <c r="AF251" s="67">
        <f t="shared" si="120"/>
        <v>85.410406239087422</v>
      </c>
      <c r="AG251" s="67">
        <f t="shared" si="120"/>
        <v>86.5301916572717</v>
      </c>
      <c r="AH251" s="67">
        <f t="shared" si="120"/>
        <v>127.33845984840161</v>
      </c>
      <c r="AI251" s="67">
        <f t="shared" si="120"/>
        <v>128.45994260814115</v>
      </c>
      <c r="AJ251" s="67">
        <f t="shared" si="120"/>
        <v>165.09213936690034</v>
      </c>
      <c r="AK251" s="67">
        <f t="shared" si="120"/>
        <v>381.58878266411722</v>
      </c>
      <c r="AL251" s="67">
        <f t="shared" si="120"/>
        <v>257.24099780816198</v>
      </c>
      <c r="AM251" s="67">
        <f t="shared" si="120"/>
        <v>238.27537534470434</v>
      </c>
      <c r="AN251" s="67">
        <f t="shared" si="120"/>
        <v>241.62337999999997</v>
      </c>
      <c r="AO251" s="67">
        <f t="shared" si="120"/>
        <v>226.65305640318928</v>
      </c>
      <c r="AP251" s="67">
        <f t="shared" si="120"/>
        <v>194.07586273749513</v>
      </c>
      <c r="AQ251" s="67">
        <f t="shared" si="120"/>
        <v>182.5735725308642</v>
      </c>
      <c r="AR251" s="67">
        <f t="shared" si="120"/>
        <v>216.63033901551427</v>
      </c>
      <c r="AS251" s="67">
        <f t="shared" si="120"/>
        <v>210.94628130295609</v>
      </c>
      <c r="AT251" s="67">
        <f t="shared" si="120"/>
        <v>228.77017592336736</v>
      </c>
      <c r="AU251" s="67">
        <f t="shared" si="120"/>
        <v>230.29735603042374</v>
      </c>
      <c r="AV251" s="67">
        <f t="shared" si="120"/>
        <v>285</v>
      </c>
      <c r="AW251" s="67">
        <f t="shared" si="120"/>
        <v>284.76223715208096</v>
      </c>
      <c r="AX251" s="67">
        <f t="shared" si="120"/>
        <v>368.09898107714702</v>
      </c>
      <c r="AY251" s="35" t="s">
        <v>71</v>
      </c>
      <c r="AZ251" s="35"/>
      <c r="BA251" s="35"/>
      <c r="BB251" s="12"/>
      <c r="BC251" s="304"/>
      <c r="BD251" s="35"/>
      <c r="BE251" s="306"/>
      <c r="BF251" s="50"/>
      <c r="BG251" s="43"/>
      <c r="BH251" s="12"/>
      <c r="BI251" s="12"/>
      <c r="BJ251" s="12"/>
      <c r="BK251" s="12"/>
      <c r="BL251" s="12"/>
      <c r="BM251" s="12"/>
      <c r="BN251" s="12"/>
      <c r="BO251" s="12"/>
      <c r="BP251" s="35"/>
      <c r="BQ251" s="35"/>
      <c r="BR251" s="47"/>
      <c r="BS251" s="3"/>
      <c r="BT251" s="3"/>
      <c r="BU251" s="3"/>
      <c r="BV251" s="3"/>
      <c r="BW251" s="3"/>
      <c r="BX251" s="3"/>
      <c r="BY251" s="3"/>
      <c r="BZ251" s="3"/>
      <c r="CA251" s="3"/>
      <c r="CB251" s="3"/>
    </row>
    <row r="252" spans="1:92" x14ac:dyDescent="0.2">
      <c r="A252" s="48"/>
      <c r="B252" s="35" t="s">
        <v>52</v>
      </c>
      <c r="C252" s="35"/>
      <c r="D252" s="12"/>
      <c r="E252" s="67">
        <f t="shared" ref="E252:AX252" si="121">E47/E200</f>
        <v>37.584923664122137</v>
      </c>
      <c r="F252" s="67">
        <f t="shared" si="121"/>
        <v>33.525350467289719</v>
      </c>
      <c r="G252" s="67">
        <f t="shared" si="121"/>
        <v>49.978112609040437</v>
      </c>
      <c r="H252" s="67">
        <f t="shared" si="121"/>
        <v>70.906086543033766</v>
      </c>
      <c r="I252" s="67">
        <f t="shared" si="121"/>
        <v>41.082079646017696</v>
      </c>
      <c r="J252" s="67">
        <f t="shared" si="121"/>
        <v>30.108658099852533</v>
      </c>
      <c r="K252" s="67">
        <f t="shared" si="121"/>
        <v>28.751921142627236</v>
      </c>
      <c r="L252" s="67">
        <f t="shared" si="121"/>
        <v>52.008776699029127</v>
      </c>
      <c r="M252" s="67">
        <f t="shared" si="121"/>
        <v>55.435260555344229</v>
      </c>
      <c r="N252" s="67">
        <f t="shared" si="121"/>
        <v>58.709331373989713</v>
      </c>
      <c r="O252" s="67">
        <f t="shared" si="121"/>
        <v>57.40616365568544</v>
      </c>
      <c r="P252" s="67">
        <f t="shared" si="121"/>
        <v>61.96798499829525</v>
      </c>
      <c r="Q252" s="67">
        <f t="shared" si="121"/>
        <v>67.291572285143232</v>
      </c>
      <c r="R252" s="67">
        <f t="shared" si="121"/>
        <v>63.453596027550866</v>
      </c>
      <c r="S252" s="67">
        <f t="shared" si="121"/>
        <v>0</v>
      </c>
      <c r="T252" s="67">
        <f t="shared" si="121"/>
        <v>0</v>
      </c>
      <c r="U252" s="67">
        <f t="shared" si="121"/>
        <v>0</v>
      </c>
      <c r="V252" s="67">
        <f t="shared" si="121"/>
        <v>0</v>
      </c>
      <c r="W252" s="67">
        <f t="shared" si="121"/>
        <v>0</v>
      </c>
      <c r="X252" s="67">
        <f t="shared" si="121"/>
        <v>0</v>
      </c>
      <c r="Y252" s="67">
        <f t="shared" si="121"/>
        <v>0</v>
      </c>
      <c r="Z252" s="67">
        <f t="shared" si="121"/>
        <v>0</v>
      </c>
      <c r="AA252" s="67">
        <f t="shared" si="121"/>
        <v>0</v>
      </c>
      <c r="AB252" s="67">
        <f t="shared" si="121"/>
        <v>0</v>
      </c>
      <c r="AC252" s="67">
        <f t="shared" si="121"/>
        <v>0</v>
      </c>
      <c r="AD252" s="67">
        <f t="shared" si="121"/>
        <v>0</v>
      </c>
      <c r="AE252" s="67">
        <f t="shared" si="121"/>
        <v>0</v>
      </c>
      <c r="AF252" s="67">
        <f t="shared" si="121"/>
        <v>0</v>
      </c>
      <c r="AG252" s="67">
        <f t="shared" si="121"/>
        <v>0</v>
      </c>
      <c r="AH252" s="67">
        <f t="shared" si="121"/>
        <v>0</v>
      </c>
      <c r="AI252" s="67">
        <f t="shared" si="121"/>
        <v>0</v>
      </c>
      <c r="AJ252" s="67">
        <f t="shared" si="121"/>
        <v>0</v>
      </c>
      <c r="AK252" s="67">
        <f t="shared" si="121"/>
        <v>0</v>
      </c>
      <c r="AL252" s="67">
        <f t="shared" si="121"/>
        <v>0</v>
      </c>
      <c r="AM252" s="67">
        <f t="shared" si="121"/>
        <v>0</v>
      </c>
      <c r="AN252" s="67">
        <f t="shared" si="121"/>
        <v>0</v>
      </c>
      <c r="AO252" s="67">
        <f t="shared" si="121"/>
        <v>0</v>
      </c>
      <c r="AP252" s="67">
        <f t="shared" si="121"/>
        <v>0</v>
      </c>
      <c r="AQ252" s="67">
        <f t="shared" si="121"/>
        <v>0</v>
      </c>
      <c r="AR252" s="67">
        <f t="shared" si="121"/>
        <v>0</v>
      </c>
      <c r="AS252" s="67">
        <f t="shared" si="121"/>
        <v>0</v>
      </c>
      <c r="AT252" s="67">
        <f t="shared" si="121"/>
        <v>0</v>
      </c>
      <c r="AU252" s="67">
        <f t="shared" si="121"/>
        <v>0</v>
      </c>
      <c r="AV252" s="67">
        <f t="shared" si="121"/>
        <v>0</v>
      </c>
      <c r="AW252" s="67">
        <f t="shared" si="121"/>
        <v>0</v>
      </c>
      <c r="AX252" s="67">
        <f t="shared" si="121"/>
        <v>0</v>
      </c>
      <c r="AY252" s="35" t="s">
        <v>52</v>
      </c>
      <c r="AZ252" s="35"/>
      <c r="BA252" s="35"/>
      <c r="BB252" s="12"/>
      <c r="BC252" s="304"/>
      <c r="BD252" s="35"/>
      <c r="BE252" s="306"/>
      <c r="BF252" s="50"/>
      <c r="BG252" s="43"/>
      <c r="BH252" s="12"/>
      <c r="BI252" s="12"/>
      <c r="BJ252" s="12"/>
      <c r="BK252" s="12"/>
      <c r="BL252" s="12"/>
      <c r="BM252" s="12"/>
      <c r="BN252" s="12"/>
      <c r="BO252" s="12"/>
      <c r="BP252" s="35"/>
      <c r="BQ252" s="35"/>
      <c r="BR252" s="47"/>
      <c r="BS252" s="3"/>
      <c r="BT252" s="3"/>
      <c r="BU252" s="3"/>
      <c r="BV252" s="3"/>
      <c r="BW252" s="3"/>
      <c r="BX252" s="3"/>
      <c r="BY252" s="3"/>
      <c r="BZ252" s="3"/>
      <c r="CA252" s="3"/>
      <c r="CB252" s="3"/>
    </row>
    <row r="253" spans="1:92" ht="12.5" x14ac:dyDescent="0.25">
      <c r="A253" s="48"/>
      <c r="B253" s="35" t="s">
        <v>53</v>
      </c>
      <c r="C253" s="35"/>
      <c r="D253" s="12"/>
      <c r="E253" s="67">
        <f>E112/E200</f>
        <v>0</v>
      </c>
      <c r="F253" s="67">
        <f t="shared" ref="F253:AP253" si="122">F112/F200</f>
        <v>0</v>
      </c>
      <c r="G253" s="67">
        <f t="shared" si="122"/>
        <v>0</v>
      </c>
      <c r="H253" s="67">
        <f t="shared" si="122"/>
        <v>0</v>
      </c>
      <c r="I253" s="67">
        <f t="shared" si="122"/>
        <v>0</v>
      </c>
      <c r="J253" s="67">
        <f t="shared" si="122"/>
        <v>0</v>
      </c>
      <c r="K253" s="67">
        <f t="shared" si="122"/>
        <v>0</v>
      </c>
      <c r="L253" s="67">
        <f t="shared" si="122"/>
        <v>34.308310679611644</v>
      </c>
      <c r="M253" s="67">
        <f t="shared" si="122"/>
        <v>20.975503993914035</v>
      </c>
      <c r="N253" s="67">
        <f t="shared" si="122"/>
        <v>20.672299779573841</v>
      </c>
      <c r="O253" s="67">
        <f t="shared" si="122"/>
        <v>11.9596174282678</v>
      </c>
      <c r="P253" s="67">
        <f t="shared" si="122"/>
        <v>24.940675076713262</v>
      </c>
      <c r="Q253" s="67">
        <f t="shared" si="122"/>
        <v>0</v>
      </c>
      <c r="R253" s="67">
        <f t="shared" si="122"/>
        <v>0</v>
      </c>
      <c r="S253" s="67">
        <f t="shared" si="122"/>
        <v>0</v>
      </c>
      <c r="T253" s="67">
        <f t="shared" si="122"/>
        <v>0</v>
      </c>
      <c r="U253" s="67">
        <f t="shared" si="122"/>
        <v>0</v>
      </c>
      <c r="V253" s="67">
        <f t="shared" si="122"/>
        <v>13.161645765816543</v>
      </c>
      <c r="W253" s="67">
        <f t="shared" si="122"/>
        <v>0</v>
      </c>
      <c r="X253" s="67">
        <f t="shared" si="122"/>
        <v>0</v>
      </c>
      <c r="Y253" s="67">
        <f t="shared" si="122"/>
        <v>0</v>
      </c>
      <c r="Z253" s="67">
        <f t="shared" si="122"/>
        <v>0</v>
      </c>
      <c r="AA253" s="67">
        <f t="shared" si="122"/>
        <v>0</v>
      </c>
      <c r="AB253" s="67">
        <f t="shared" si="122"/>
        <v>0</v>
      </c>
      <c r="AC253" s="67">
        <f t="shared" si="122"/>
        <v>0</v>
      </c>
      <c r="AD253" s="67">
        <f t="shared" si="122"/>
        <v>0</v>
      </c>
      <c r="AE253" s="67">
        <f t="shared" si="122"/>
        <v>0</v>
      </c>
      <c r="AF253" s="67">
        <f t="shared" si="122"/>
        <v>0</v>
      </c>
      <c r="AG253" s="67">
        <f t="shared" si="122"/>
        <v>0</v>
      </c>
      <c r="AH253" s="67">
        <f t="shared" si="122"/>
        <v>102.61254531473139</v>
      </c>
      <c r="AI253" s="67">
        <f t="shared" si="122"/>
        <v>82.888957381230739</v>
      </c>
      <c r="AJ253" s="67">
        <f t="shared" si="122"/>
        <v>64.55449330783938</v>
      </c>
      <c r="AK253" s="67">
        <f t="shared" si="122"/>
        <v>119.78444869343529</v>
      </c>
      <c r="AL253" s="67">
        <f t="shared" si="122"/>
        <v>0</v>
      </c>
      <c r="AM253" s="67">
        <f t="shared" si="122"/>
        <v>58.620569911142887</v>
      </c>
      <c r="AN253" s="67">
        <f t="shared" si="122"/>
        <v>29.598019999999998</v>
      </c>
      <c r="AO253" s="67">
        <f t="shared" si="122"/>
        <v>27.583876365784029</v>
      </c>
      <c r="AP253" s="67">
        <f t="shared" si="122"/>
        <v>50.182628925940278</v>
      </c>
      <c r="AQ253" s="67">
        <f t="shared" ref="AQ253:AV253" si="123">AQ112/AQ200</f>
        <v>60.785493827160494</v>
      </c>
      <c r="AR253" s="67">
        <f t="shared" si="123"/>
        <v>66.821298601800422</v>
      </c>
      <c r="AS253" s="67">
        <f t="shared" si="123"/>
        <v>97.473922048578416</v>
      </c>
      <c r="AT253" s="67">
        <f t="shared" si="123"/>
        <v>95.364096896011773</v>
      </c>
      <c r="AU253" s="67">
        <f t="shared" si="123"/>
        <v>98.84444042013763</v>
      </c>
      <c r="AV253" s="67">
        <f t="shared" si="123"/>
        <v>130</v>
      </c>
      <c r="AW253" s="67">
        <f t="shared" ref="AW253:AX253" si="124">AW112/AW200</f>
        <v>127.6520373440363</v>
      </c>
      <c r="AX253" s="67">
        <f t="shared" si="124"/>
        <v>168.63173216885008</v>
      </c>
      <c r="AY253" s="35" t="s">
        <v>53</v>
      </c>
      <c r="AZ253" s="35"/>
      <c r="BA253" s="35"/>
      <c r="BB253" s="12"/>
      <c r="BC253" s="304"/>
      <c r="BD253" s="35"/>
      <c r="BE253"/>
      <c r="BF253" s="50"/>
      <c r="BG253" s="43"/>
      <c r="BH253" s="12"/>
      <c r="BI253" s="12"/>
      <c r="BJ253" s="12"/>
      <c r="BK253" s="12"/>
      <c r="BL253" s="12"/>
      <c r="BM253" s="12"/>
      <c r="BN253" s="12"/>
      <c r="BO253" s="12"/>
      <c r="BP253" s="35"/>
      <c r="BQ253" s="35"/>
      <c r="BR253" s="47"/>
      <c r="BS253" s="3"/>
      <c r="BT253" s="3"/>
      <c r="BU253" s="3"/>
      <c r="BV253" s="3"/>
      <c r="BW253" s="3"/>
      <c r="BX253" s="3"/>
      <c r="BY253" s="3"/>
      <c r="BZ253" s="3"/>
      <c r="CA253" s="3"/>
      <c r="CB253" s="3"/>
    </row>
    <row r="254" spans="1:92" ht="12.5" x14ac:dyDescent="0.25">
      <c r="A254" s="48"/>
      <c r="B254" s="35" t="s">
        <v>344</v>
      </c>
      <c r="C254" s="35"/>
      <c r="D254" s="12"/>
      <c r="E254" s="67">
        <f t="shared" ref="E254:AX254" si="125">E48/E200</f>
        <v>0</v>
      </c>
      <c r="F254" s="67">
        <f t="shared" si="125"/>
        <v>0</v>
      </c>
      <c r="G254" s="67">
        <f t="shared" si="125"/>
        <v>0</v>
      </c>
      <c r="H254" s="67">
        <f t="shared" si="125"/>
        <v>0</v>
      </c>
      <c r="I254" s="67">
        <f t="shared" si="125"/>
        <v>0</v>
      </c>
      <c r="J254" s="67">
        <f t="shared" si="125"/>
        <v>2.8449125763640191</v>
      </c>
      <c r="K254" s="67">
        <f t="shared" si="125"/>
        <v>4.5278615972641321</v>
      </c>
      <c r="L254" s="67">
        <f t="shared" si="125"/>
        <v>4.3704854368932038</v>
      </c>
      <c r="M254" s="67">
        <f t="shared" si="125"/>
        <v>3.6386078356789651</v>
      </c>
      <c r="N254" s="67">
        <f t="shared" si="125"/>
        <v>3.9277369581190298</v>
      </c>
      <c r="O254" s="67">
        <f t="shared" si="125"/>
        <v>3.3885582713425433</v>
      </c>
      <c r="P254" s="67">
        <f t="shared" si="125"/>
        <v>3.453324241391067</v>
      </c>
      <c r="Q254" s="67">
        <f t="shared" si="125"/>
        <v>3.3739506995336441</v>
      </c>
      <c r="R254" s="67">
        <f t="shared" si="125"/>
        <v>4.1461156495274709</v>
      </c>
      <c r="S254" s="67">
        <f t="shared" si="125"/>
        <v>4.6390534351145032</v>
      </c>
      <c r="T254" s="67">
        <f t="shared" si="125"/>
        <v>5.6494315665140995</v>
      </c>
      <c r="U254" s="67">
        <f t="shared" si="125"/>
        <v>7.6757800029023358</v>
      </c>
      <c r="V254" s="67">
        <f t="shared" si="125"/>
        <v>0</v>
      </c>
      <c r="W254" s="67">
        <f t="shared" si="125"/>
        <v>12.604728982300884</v>
      </c>
      <c r="X254" s="67">
        <f t="shared" si="125"/>
        <v>40.192857142857136</v>
      </c>
      <c r="Y254" s="67">
        <f t="shared" si="125"/>
        <v>43.797549151629404</v>
      </c>
      <c r="Z254" s="67">
        <f t="shared" si="125"/>
        <v>56.989872068230277</v>
      </c>
      <c r="AA254" s="67">
        <f t="shared" si="125"/>
        <v>62.812001041531047</v>
      </c>
      <c r="AB254" s="67">
        <f t="shared" si="125"/>
        <v>61.942061777043342</v>
      </c>
      <c r="AC254" s="67">
        <f t="shared" si="125"/>
        <v>59.980761957307919</v>
      </c>
      <c r="AD254" s="67">
        <f t="shared" si="125"/>
        <v>106.46983658926158</v>
      </c>
      <c r="AE254" s="67">
        <f t="shared" si="125"/>
        <v>124.66925108017281</v>
      </c>
      <c r="AF254" s="67">
        <f t="shared" si="125"/>
        <v>70.383056769638529</v>
      </c>
      <c r="AG254" s="67">
        <f t="shared" si="125"/>
        <v>68.240375562563202</v>
      </c>
      <c r="AH254" s="67">
        <f t="shared" si="125"/>
        <v>51.703726832174382</v>
      </c>
      <c r="AI254" s="67">
        <f t="shared" si="125"/>
        <v>52.856919621605648</v>
      </c>
      <c r="AJ254" s="67">
        <f t="shared" si="125"/>
        <v>75.290835061415322</v>
      </c>
      <c r="AK254" s="67">
        <f t="shared" si="125"/>
        <v>37.039999238683016</v>
      </c>
      <c r="AL254" s="67">
        <f t="shared" si="125"/>
        <v>94.37701802882161</v>
      </c>
      <c r="AM254" s="67">
        <f t="shared" si="125"/>
        <v>109.40608991384615</v>
      </c>
      <c r="AN254" s="67">
        <f t="shared" si="125"/>
        <v>97.884052958621666</v>
      </c>
      <c r="AO254" s="67">
        <f t="shared" si="125"/>
        <v>94.126577340897001</v>
      </c>
      <c r="AP254" s="67">
        <f t="shared" si="125"/>
        <v>92.173723827643826</v>
      </c>
      <c r="AQ254" s="67">
        <f t="shared" si="125"/>
        <v>92.362504657952698</v>
      </c>
      <c r="AR254" s="67">
        <f t="shared" si="125"/>
        <v>90.911811903502496</v>
      </c>
      <c r="AS254" s="67">
        <f t="shared" si="125"/>
        <v>91.772399482509471</v>
      </c>
      <c r="AT254" s="67">
        <f t="shared" si="125"/>
        <v>92.38053213712351</v>
      </c>
      <c r="AU254" s="67">
        <f t="shared" si="125"/>
        <v>90.769462809123837</v>
      </c>
      <c r="AV254" s="67">
        <f t="shared" si="125"/>
        <v>90.783548766157466</v>
      </c>
      <c r="AW254" s="67">
        <f t="shared" si="125"/>
        <v>89.572388336396841</v>
      </c>
      <c r="AX254" s="67">
        <f t="shared" si="125"/>
        <v>143.22064871875102</v>
      </c>
      <c r="AY254" s="35" t="s">
        <v>344</v>
      </c>
      <c r="AZ254" s="35"/>
      <c r="BA254" s="35"/>
      <c r="BB254" s="12"/>
      <c r="BC254" s="304"/>
      <c r="BD254" s="35"/>
      <c r="BE254"/>
      <c r="BF254" s="50"/>
      <c r="BG254" s="43"/>
      <c r="BH254" s="12"/>
      <c r="BI254" s="12"/>
      <c r="BJ254" s="12"/>
      <c r="BK254" s="12"/>
      <c r="BL254" s="12"/>
      <c r="BM254" s="12"/>
      <c r="BN254" s="12"/>
      <c r="BO254" s="12"/>
      <c r="BP254" s="35"/>
      <c r="BQ254" s="35"/>
      <c r="BR254" s="47"/>
      <c r="BS254" s="3"/>
      <c r="BT254" s="3"/>
      <c r="BU254" s="3"/>
      <c r="BV254" s="3"/>
      <c r="BW254" s="3"/>
      <c r="BX254" s="3"/>
      <c r="BY254" s="3"/>
      <c r="BZ254" s="3"/>
      <c r="CA254" s="3"/>
      <c r="CB254" s="3"/>
    </row>
    <row r="255" spans="1:92" ht="12.5" x14ac:dyDescent="0.25">
      <c r="A255" s="48"/>
      <c r="B255" s="35" t="s">
        <v>173</v>
      </c>
      <c r="C255" s="35"/>
      <c r="D255" s="12"/>
      <c r="E255" s="67">
        <f t="shared" ref="E255:AX255" si="126">E49/E200</f>
        <v>0</v>
      </c>
      <c r="F255" s="67">
        <f t="shared" si="126"/>
        <v>0</v>
      </c>
      <c r="G255" s="67">
        <f t="shared" si="126"/>
        <v>0</v>
      </c>
      <c r="H255" s="67">
        <f t="shared" si="126"/>
        <v>0</v>
      </c>
      <c r="I255" s="67">
        <f t="shared" si="126"/>
        <v>0</v>
      </c>
      <c r="J255" s="67">
        <f t="shared" si="126"/>
        <v>0</v>
      </c>
      <c r="K255" s="67">
        <f t="shared" si="126"/>
        <v>0</v>
      </c>
      <c r="L255" s="67">
        <f t="shared" si="126"/>
        <v>0</v>
      </c>
      <c r="M255" s="67">
        <f t="shared" si="126"/>
        <v>0</v>
      </c>
      <c r="N255" s="67">
        <f t="shared" si="126"/>
        <v>0</v>
      </c>
      <c r="O255" s="67">
        <f t="shared" si="126"/>
        <v>0</v>
      </c>
      <c r="P255" s="67">
        <f t="shared" si="126"/>
        <v>0</v>
      </c>
      <c r="Q255" s="67">
        <f t="shared" si="126"/>
        <v>0</v>
      </c>
      <c r="R255" s="67">
        <f t="shared" si="126"/>
        <v>0</v>
      </c>
      <c r="S255" s="67">
        <f t="shared" si="126"/>
        <v>0</v>
      </c>
      <c r="T255" s="67">
        <f t="shared" si="126"/>
        <v>0</v>
      </c>
      <c r="U255" s="67">
        <f t="shared" si="126"/>
        <v>0</v>
      </c>
      <c r="V255" s="67">
        <f t="shared" si="126"/>
        <v>0</v>
      </c>
      <c r="W255" s="67">
        <f t="shared" si="126"/>
        <v>0</v>
      </c>
      <c r="X255" s="67">
        <f t="shared" si="126"/>
        <v>0</v>
      </c>
      <c r="Y255" s="67">
        <f t="shared" si="126"/>
        <v>0</v>
      </c>
      <c r="Z255" s="67">
        <f t="shared" si="126"/>
        <v>0</v>
      </c>
      <c r="AA255" s="67">
        <f t="shared" si="126"/>
        <v>0</v>
      </c>
      <c r="AB255" s="67">
        <f t="shared" si="126"/>
        <v>0</v>
      </c>
      <c r="AC255" s="67">
        <f t="shared" si="126"/>
        <v>77.81345212699209</v>
      </c>
      <c r="AD255" s="67">
        <f t="shared" si="126"/>
        <v>83.101781545644428</v>
      </c>
      <c r="AE255" s="67">
        <f t="shared" si="126"/>
        <v>80.5014882381181</v>
      </c>
      <c r="AF255" s="67">
        <f t="shared" si="126"/>
        <v>77.419555348620648</v>
      </c>
      <c r="AG255" s="67">
        <f t="shared" si="126"/>
        <v>71.05118376550169</v>
      </c>
      <c r="AH255" s="67">
        <f t="shared" si="126"/>
        <v>29.052949577062506</v>
      </c>
      <c r="AI255" s="67">
        <f t="shared" si="126"/>
        <v>29.663003507280266</v>
      </c>
      <c r="AJ255" s="67">
        <f t="shared" si="126"/>
        <v>35.863607393244102</v>
      </c>
      <c r="AK255" s="67">
        <f t="shared" si="126"/>
        <v>0</v>
      </c>
      <c r="AL255" s="67">
        <f t="shared" si="126"/>
        <v>0</v>
      </c>
      <c r="AM255" s="67">
        <f t="shared" si="126"/>
        <v>0</v>
      </c>
      <c r="AN255" s="67">
        <f t="shared" si="126"/>
        <v>0</v>
      </c>
      <c r="AO255" s="67">
        <f t="shared" si="126"/>
        <v>0</v>
      </c>
      <c r="AP255" s="67">
        <f t="shared" si="126"/>
        <v>0</v>
      </c>
      <c r="AQ255" s="67">
        <f t="shared" si="126"/>
        <v>0</v>
      </c>
      <c r="AR255" s="67">
        <f t="shared" si="126"/>
        <v>0</v>
      </c>
      <c r="AS255" s="67">
        <f t="shared" si="126"/>
        <v>0</v>
      </c>
      <c r="AT255" s="67">
        <f t="shared" si="126"/>
        <v>0</v>
      </c>
      <c r="AU255" s="67">
        <f t="shared" si="126"/>
        <v>0</v>
      </c>
      <c r="AV255" s="67">
        <f t="shared" si="126"/>
        <v>0</v>
      </c>
      <c r="AW255" s="67">
        <f t="shared" si="126"/>
        <v>0</v>
      </c>
      <c r="AX255" s="67">
        <f t="shared" si="126"/>
        <v>0</v>
      </c>
      <c r="AY255" s="35" t="s">
        <v>44</v>
      </c>
      <c r="AZ255" s="35"/>
      <c r="BA255" s="35"/>
      <c r="BB255" s="12"/>
      <c r="BC255" s="304"/>
      <c r="BD255" s="35"/>
      <c r="BE255"/>
      <c r="BF255" s="50"/>
      <c r="BG255" s="43"/>
      <c r="BH255" s="13"/>
      <c r="BI255" s="13"/>
      <c r="BJ255" s="13"/>
      <c r="BK255" s="12"/>
      <c r="BL255" s="12"/>
      <c r="BM255" s="12"/>
      <c r="BN255" s="12"/>
      <c r="BO255" s="12"/>
      <c r="BP255" s="35"/>
      <c r="BQ255" s="35"/>
      <c r="BR255" s="47"/>
      <c r="BS255" s="3"/>
      <c r="BT255" s="3"/>
      <c r="BU255" s="3"/>
      <c r="BV255" s="3"/>
      <c r="BW255" s="3"/>
      <c r="BX255" s="3"/>
      <c r="BY255" s="3"/>
      <c r="BZ255" s="3"/>
      <c r="CA255" s="3"/>
      <c r="CB255" s="3"/>
    </row>
    <row r="256" spans="1:92" ht="12.5" x14ac:dyDescent="0.25">
      <c r="A256" s="48"/>
      <c r="B256" s="35" t="s">
        <v>329</v>
      </c>
      <c r="C256" s="35"/>
      <c r="D256" s="12"/>
      <c r="E256" s="68">
        <f t="shared" ref="E256:AX256" si="127">E50/E200</f>
        <v>0</v>
      </c>
      <c r="F256" s="68">
        <f t="shared" si="127"/>
        <v>0</v>
      </c>
      <c r="G256" s="68">
        <f t="shared" si="127"/>
        <v>0</v>
      </c>
      <c r="H256" s="68">
        <f t="shared" si="127"/>
        <v>0</v>
      </c>
      <c r="I256" s="68">
        <f t="shared" si="127"/>
        <v>0</v>
      </c>
      <c r="J256" s="68">
        <f t="shared" si="127"/>
        <v>0</v>
      </c>
      <c r="K256" s="68">
        <f t="shared" si="127"/>
        <v>0</v>
      </c>
      <c r="L256" s="68">
        <f t="shared" si="127"/>
        <v>0</v>
      </c>
      <c r="M256" s="68">
        <f t="shared" si="127"/>
        <v>0</v>
      </c>
      <c r="N256" s="68">
        <f t="shared" si="127"/>
        <v>0</v>
      </c>
      <c r="O256" s="68">
        <f t="shared" si="127"/>
        <v>0</v>
      </c>
      <c r="P256" s="68">
        <f t="shared" si="127"/>
        <v>0</v>
      </c>
      <c r="Q256" s="68">
        <f t="shared" si="127"/>
        <v>0</v>
      </c>
      <c r="R256" s="68">
        <f t="shared" si="127"/>
        <v>0</v>
      </c>
      <c r="S256" s="68">
        <f t="shared" si="127"/>
        <v>0</v>
      </c>
      <c r="T256" s="68">
        <f t="shared" si="127"/>
        <v>0</v>
      </c>
      <c r="U256" s="68">
        <f t="shared" si="127"/>
        <v>0</v>
      </c>
      <c r="V256" s="68">
        <f t="shared" si="127"/>
        <v>0</v>
      </c>
      <c r="W256" s="68">
        <f t="shared" si="127"/>
        <v>0</v>
      </c>
      <c r="X256" s="68">
        <f t="shared" si="127"/>
        <v>0</v>
      </c>
      <c r="Y256" s="68">
        <f t="shared" si="127"/>
        <v>0</v>
      </c>
      <c r="Z256" s="68">
        <f t="shared" si="127"/>
        <v>0</v>
      </c>
      <c r="AA256" s="68">
        <f t="shared" si="127"/>
        <v>0</v>
      </c>
      <c r="AB256" s="68">
        <f t="shared" si="127"/>
        <v>0</v>
      </c>
      <c r="AC256" s="68">
        <f t="shared" si="127"/>
        <v>35.023114568954696</v>
      </c>
      <c r="AD256" s="68">
        <f t="shared" si="127"/>
        <v>33.323676127288365</v>
      </c>
      <c r="AE256" s="68">
        <f t="shared" si="127"/>
        <v>9.4548727796447434</v>
      </c>
      <c r="AF256" s="68">
        <f t="shared" si="127"/>
        <v>0</v>
      </c>
      <c r="AG256" s="68">
        <f t="shared" si="127"/>
        <v>0</v>
      </c>
      <c r="AH256" s="68">
        <f t="shared" si="127"/>
        <v>0</v>
      </c>
      <c r="AI256" s="68">
        <f t="shared" si="127"/>
        <v>0</v>
      </c>
      <c r="AJ256" s="68">
        <f t="shared" si="127"/>
        <v>0</v>
      </c>
      <c r="AK256" s="68">
        <f t="shared" si="127"/>
        <v>0</v>
      </c>
      <c r="AL256" s="68">
        <f t="shared" si="127"/>
        <v>0</v>
      </c>
      <c r="AM256" s="68">
        <f t="shared" si="127"/>
        <v>0</v>
      </c>
      <c r="AN256" s="68">
        <f t="shared" si="127"/>
        <v>0</v>
      </c>
      <c r="AO256" s="68">
        <f t="shared" si="127"/>
        <v>0</v>
      </c>
      <c r="AP256" s="68">
        <f t="shared" si="127"/>
        <v>0</v>
      </c>
      <c r="AQ256" s="68">
        <f t="shared" si="127"/>
        <v>0</v>
      </c>
      <c r="AR256" s="68">
        <f t="shared" si="127"/>
        <v>0</v>
      </c>
      <c r="AS256" s="68">
        <f t="shared" si="127"/>
        <v>0</v>
      </c>
      <c r="AT256" s="68">
        <f t="shared" si="127"/>
        <v>0</v>
      </c>
      <c r="AU256" s="68">
        <f t="shared" si="127"/>
        <v>0</v>
      </c>
      <c r="AV256" s="68">
        <f t="shared" si="127"/>
        <v>0</v>
      </c>
      <c r="AW256" s="68">
        <f t="shared" si="127"/>
        <v>0</v>
      </c>
      <c r="AX256" s="68">
        <f t="shared" si="127"/>
        <v>0</v>
      </c>
      <c r="AY256" s="35" t="s">
        <v>329</v>
      </c>
      <c r="AZ256" s="35"/>
      <c r="BA256" s="35"/>
      <c r="BB256" s="12"/>
      <c r="BC256" s="304"/>
      <c r="BD256" s="35"/>
      <c r="BE256"/>
      <c r="BF256" s="50"/>
      <c r="BG256" s="43"/>
      <c r="BH256" s="13"/>
      <c r="BI256" s="14"/>
      <c r="BJ256" s="142"/>
      <c r="BK256" s="12"/>
      <c r="BL256" s="12"/>
      <c r="BM256" s="12"/>
      <c r="BN256" s="12"/>
      <c r="BO256" s="12"/>
      <c r="BP256" s="35"/>
      <c r="BQ256" s="35"/>
      <c r="BR256" s="47"/>
      <c r="BS256" s="3"/>
      <c r="BT256" s="3"/>
      <c r="BU256" s="3"/>
      <c r="BV256" s="3"/>
      <c r="BW256" s="3"/>
      <c r="BX256" s="3"/>
      <c r="BY256" s="3"/>
      <c r="BZ256" s="3"/>
      <c r="CA256" s="3"/>
      <c r="CB256" s="3"/>
    </row>
    <row r="257" spans="1:80" ht="12.5" x14ac:dyDescent="0.25">
      <c r="A257" s="48"/>
      <c r="B257" s="35" t="s">
        <v>168</v>
      </c>
      <c r="C257" s="35"/>
      <c r="D257" s="12"/>
      <c r="E257" s="67"/>
      <c r="F257" s="67"/>
      <c r="G257" s="67"/>
      <c r="H257" s="67"/>
      <c r="I257" s="67"/>
      <c r="J257" s="67"/>
      <c r="K257" s="67"/>
      <c r="L257" s="67"/>
      <c r="M257" s="67"/>
      <c r="N257" s="67"/>
      <c r="O257" s="67"/>
      <c r="P257" s="67"/>
      <c r="Q257" s="67"/>
      <c r="R257" s="67"/>
      <c r="S257" s="67"/>
      <c r="T257" s="67"/>
      <c r="U257" s="68"/>
      <c r="V257" s="68"/>
      <c r="W257" s="67"/>
      <c r="X257" s="68"/>
      <c r="Y257" s="67"/>
      <c r="Z257" s="67"/>
      <c r="AA257" s="69"/>
      <c r="AB257" s="67"/>
      <c r="AC257" s="67"/>
      <c r="AD257" s="68"/>
      <c r="AE257" s="67"/>
      <c r="AF257" s="67"/>
      <c r="AG257" s="67"/>
      <c r="AH257" s="67"/>
      <c r="AI257" s="162"/>
      <c r="AJ257" s="162"/>
      <c r="AK257" s="162"/>
      <c r="AL257" s="162"/>
      <c r="AM257" s="162"/>
      <c r="AN257" s="162"/>
      <c r="AO257" s="162"/>
      <c r="AP257" s="162"/>
      <c r="AQ257" s="162"/>
      <c r="AR257" s="162"/>
      <c r="AS257" s="162"/>
      <c r="AT257" s="35"/>
      <c r="AU257" s="35"/>
      <c r="AV257" s="35"/>
      <c r="AW257" s="35"/>
      <c r="AX257" s="35"/>
      <c r="AY257" s="35"/>
      <c r="AZ257" s="35"/>
      <c r="BA257" s="35"/>
      <c r="BB257" s="12"/>
      <c r="BC257" s="304"/>
      <c r="BD257" s="35"/>
      <c r="BE257"/>
      <c r="BF257" s="50"/>
      <c r="BG257" s="46"/>
      <c r="BH257" s="143"/>
      <c r="BI257" s="13"/>
      <c r="BJ257" s="13"/>
      <c r="BK257" s="35"/>
      <c r="BL257" s="35"/>
      <c r="BM257" s="35"/>
      <c r="BN257" s="35"/>
      <c r="BO257" s="35"/>
      <c r="BP257" s="35"/>
      <c r="BQ257" s="35"/>
      <c r="BR257" s="47"/>
      <c r="BS257" s="3"/>
      <c r="BT257" s="3"/>
      <c r="BU257" s="3"/>
      <c r="BV257" s="3"/>
      <c r="BW257" s="3"/>
      <c r="BX257" s="3"/>
      <c r="BY257" s="3"/>
      <c r="BZ257" s="3"/>
      <c r="CA257" s="3"/>
      <c r="CB257" s="3"/>
    </row>
    <row r="258" spans="1:80" ht="12.5" x14ac:dyDescent="0.25">
      <c r="A258" s="48"/>
      <c r="B258" s="35"/>
      <c r="C258" s="35"/>
      <c r="D258" s="12"/>
      <c r="E258" s="67"/>
      <c r="F258" s="67"/>
      <c r="G258" s="67"/>
      <c r="H258" s="67"/>
      <c r="I258" s="67"/>
      <c r="J258" s="67"/>
      <c r="K258" s="67"/>
      <c r="L258" s="67"/>
      <c r="M258" s="67"/>
      <c r="N258" s="67"/>
      <c r="O258" s="67"/>
      <c r="P258" s="67"/>
      <c r="Q258" s="67"/>
      <c r="R258" s="67"/>
      <c r="S258" s="67"/>
      <c r="T258" s="67"/>
      <c r="U258" s="68"/>
      <c r="V258" s="162">
        <f t="shared" ref="V258:AH258" si="128">V52*V199</f>
        <v>0</v>
      </c>
      <c r="W258" s="162">
        <f t="shared" si="128"/>
        <v>0</v>
      </c>
      <c r="X258" s="162">
        <f t="shared" si="128"/>
        <v>0</v>
      </c>
      <c r="Y258" s="162">
        <f t="shared" si="128"/>
        <v>0</v>
      </c>
      <c r="Z258" s="162">
        <f t="shared" si="128"/>
        <v>0</v>
      </c>
      <c r="AA258" s="162">
        <f t="shared" si="128"/>
        <v>0</v>
      </c>
      <c r="AB258" s="162">
        <f t="shared" si="128"/>
        <v>0</v>
      </c>
      <c r="AC258" s="162">
        <f t="shared" si="128"/>
        <v>0</v>
      </c>
      <c r="AD258" s="162">
        <f t="shared" si="128"/>
        <v>0</v>
      </c>
      <c r="AE258" s="162">
        <f t="shared" si="128"/>
        <v>0</v>
      </c>
      <c r="AF258" s="162">
        <f t="shared" si="128"/>
        <v>0</v>
      </c>
      <c r="AG258" s="162">
        <f t="shared" si="128"/>
        <v>0</v>
      </c>
      <c r="AH258" s="162">
        <f t="shared" si="128"/>
        <v>0</v>
      </c>
      <c r="AI258" s="162">
        <f t="shared" ref="AI258:AX258" si="129">AI52/AI200</f>
        <v>63.273100223190568</v>
      </c>
      <c r="AJ258" s="162">
        <f t="shared" si="129"/>
        <v>57.023135755258124</v>
      </c>
      <c r="AK258" s="162">
        <f t="shared" si="129"/>
        <v>0</v>
      </c>
      <c r="AL258" s="162">
        <f t="shared" si="129"/>
        <v>64.134056987788327</v>
      </c>
      <c r="AM258" s="162">
        <f t="shared" si="129"/>
        <v>0</v>
      </c>
      <c r="AN258" s="162">
        <f t="shared" si="129"/>
        <v>0</v>
      </c>
      <c r="AO258" s="162">
        <f t="shared" si="129"/>
        <v>0</v>
      </c>
      <c r="AP258" s="162">
        <f t="shared" si="129"/>
        <v>0</v>
      </c>
      <c r="AQ258" s="162">
        <f t="shared" si="129"/>
        <v>0</v>
      </c>
      <c r="AR258" s="162">
        <f t="shared" si="129"/>
        <v>0</v>
      </c>
      <c r="AS258" s="162">
        <f t="shared" si="129"/>
        <v>0</v>
      </c>
      <c r="AT258" s="162">
        <f t="shared" si="129"/>
        <v>0</v>
      </c>
      <c r="AU258" s="162">
        <f t="shared" si="129"/>
        <v>0</v>
      </c>
      <c r="AV258" s="162">
        <f t="shared" si="129"/>
        <v>0</v>
      </c>
      <c r="AW258" s="162">
        <f t="shared" si="129"/>
        <v>0</v>
      </c>
      <c r="AX258" s="162">
        <f t="shared" si="129"/>
        <v>0</v>
      </c>
      <c r="AY258" s="35" t="s">
        <v>255</v>
      </c>
      <c r="AZ258" s="35"/>
      <c r="BA258" s="35"/>
      <c r="BB258" s="35"/>
      <c r="BC258" s="304"/>
      <c r="BD258" s="35"/>
      <c r="BE258"/>
      <c r="BF258" s="50"/>
      <c r="BG258" s="46"/>
      <c r="BH258" s="143"/>
      <c r="BI258" s="13"/>
      <c r="BJ258" s="13"/>
      <c r="BK258" s="35"/>
      <c r="BL258" s="35"/>
      <c r="BM258" s="35"/>
      <c r="BN258" s="35"/>
      <c r="BO258" s="35"/>
      <c r="BP258" s="35"/>
      <c r="BQ258" s="35"/>
      <c r="BR258" s="47"/>
      <c r="BS258" s="3"/>
      <c r="BT258" s="3"/>
      <c r="BU258" s="3"/>
      <c r="BV258" s="3"/>
      <c r="BW258" s="3"/>
      <c r="BX258" s="3"/>
      <c r="BY258" s="3"/>
      <c r="BZ258" s="3"/>
      <c r="CA258" s="3"/>
      <c r="CB258" s="3"/>
    </row>
    <row r="259" spans="1:80" ht="12.5" x14ac:dyDescent="0.25">
      <c r="A259" s="48"/>
      <c r="B259" s="35"/>
      <c r="C259" s="35"/>
      <c r="D259" s="12"/>
      <c r="E259" s="153"/>
      <c r="F259" s="153"/>
      <c r="G259" s="153"/>
      <c r="H259" s="153"/>
      <c r="I259" s="153"/>
      <c r="J259" s="153"/>
      <c r="K259" s="153"/>
      <c r="L259" s="153"/>
      <c r="M259" s="153"/>
      <c r="N259" s="153"/>
      <c r="O259" s="153"/>
      <c r="P259" s="153"/>
      <c r="Q259" s="153"/>
      <c r="R259" s="153"/>
      <c r="S259" s="153"/>
      <c r="T259" s="153"/>
      <c r="U259" s="154"/>
      <c r="V259" s="156"/>
      <c r="W259" s="156"/>
      <c r="X259" s="156"/>
      <c r="Y259" s="156"/>
      <c r="Z259" s="163"/>
      <c r="AA259" s="163"/>
      <c r="AB259" s="163"/>
      <c r="AC259" s="156"/>
      <c r="AD259" s="156"/>
      <c r="AE259" s="156"/>
      <c r="AF259" s="156"/>
      <c r="AG259" s="156"/>
      <c r="AH259" s="156"/>
      <c r="AI259" s="156"/>
      <c r="AJ259" s="156"/>
      <c r="AK259" s="156"/>
      <c r="AL259" s="156"/>
      <c r="AM259" s="156"/>
      <c r="AN259" s="156"/>
      <c r="AO259" s="35"/>
      <c r="AP259" s="35"/>
      <c r="AQ259" s="35"/>
      <c r="AR259" s="35"/>
      <c r="AS259" s="35"/>
      <c r="AT259" s="35"/>
      <c r="AU259" s="35"/>
      <c r="AV259" s="35"/>
      <c r="AW259" s="35"/>
      <c r="AX259" s="35"/>
      <c r="AY259" s="35"/>
      <c r="AZ259" s="35"/>
      <c r="BA259" s="35"/>
      <c r="BB259" s="35"/>
      <c r="BC259" s="304"/>
      <c r="BD259" s="35"/>
      <c r="BE259"/>
      <c r="BF259" s="50"/>
      <c r="BG259" s="46"/>
      <c r="BH259" s="143"/>
      <c r="BI259" s="13"/>
      <c r="BJ259" s="13"/>
      <c r="BK259" s="35"/>
      <c r="BL259" s="35"/>
      <c r="BM259" s="35"/>
      <c r="BN259" s="35"/>
      <c r="BO259" s="35"/>
      <c r="BP259" s="35"/>
      <c r="BQ259" s="35"/>
      <c r="BR259" s="47"/>
      <c r="BS259" s="3"/>
      <c r="BT259" s="3"/>
      <c r="BU259" s="3"/>
      <c r="BV259" s="3"/>
      <c r="BW259" s="3"/>
      <c r="BX259" s="3"/>
      <c r="BY259" s="3"/>
      <c r="BZ259" s="3"/>
      <c r="CA259" s="3"/>
      <c r="CB259" s="3"/>
    </row>
    <row r="260" spans="1:80" ht="12.5" x14ac:dyDescent="0.25">
      <c r="A260" s="48"/>
      <c r="B260" s="35"/>
      <c r="C260" s="35"/>
      <c r="D260" s="12"/>
      <c r="E260" s="158"/>
      <c r="F260" s="158"/>
      <c r="G260" s="158"/>
      <c r="H260" s="158"/>
      <c r="I260" s="158"/>
      <c r="J260" s="158"/>
      <c r="K260" s="158"/>
      <c r="L260" s="158"/>
      <c r="M260" s="158"/>
      <c r="N260" s="158"/>
      <c r="O260" s="158"/>
      <c r="P260" s="158"/>
      <c r="Q260" s="158"/>
      <c r="R260" s="158"/>
      <c r="S260" s="158"/>
      <c r="T260" s="158"/>
      <c r="U260" s="159"/>
      <c r="V260" s="159"/>
      <c r="W260" s="158"/>
      <c r="X260" s="159"/>
      <c r="Y260" s="158"/>
      <c r="Z260" s="159"/>
      <c r="AA260" s="159"/>
      <c r="AB260" s="159"/>
      <c r="AC260" s="158"/>
      <c r="AD260" s="159"/>
      <c r="AE260" s="158"/>
      <c r="AF260" s="158"/>
      <c r="AG260" s="158"/>
      <c r="AH260" s="158"/>
      <c r="AI260" s="161"/>
      <c r="AJ260" s="161"/>
      <c r="AK260" s="161"/>
      <c r="AL260" s="161"/>
      <c r="AM260" s="161"/>
      <c r="AN260" s="161"/>
      <c r="AO260" s="35"/>
      <c r="AP260" s="35"/>
      <c r="AQ260" s="35"/>
      <c r="AR260" s="35"/>
      <c r="AS260" s="35"/>
      <c r="AT260" s="35"/>
      <c r="AU260" s="35"/>
      <c r="AV260" s="35"/>
      <c r="AW260" s="35"/>
      <c r="AX260" s="35"/>
      <c r="AY260" s="344" t="s">
        <v>451</v>
      </c>
      <c r="AZ260" s="35"/>
      <c r="BA260" s="35"/>
      <c r="BB260" s="35"/>
      <c r="BC260" s="304"/>
      <c r="BD260" s="35"/>
      <c r="BE260"/>
      <c r="BF260" s="50"/>
      <c r="BG260" s="46"/>
      <c r="BH260" s="143"/>
      <c r="BI260" s="13"/>
      <c r="BJ260" s="13"/>
      <c r="BK260" s="35"/>
      <c r="BL260" s="35"/>
      <c r="BM260" s="35"/>
      <c r="BN260" s="35"/>
      <c r="BO260" s="35"/>
      <c r="BP260" s="35"/>
      <c r="BQ260" s="35"/>
      <c r="BR260" s="47"/>
      <c r="BS260" s="3"/>
      <c r="BT260" s="3"/>
      <c r="BU260" s="3"/>
      <c r="BV260" s="3"/>
      <c r="BW260" s="3"/>
      <c r="BX260" s="3"/>
      <c r="BY260" s="3"/>
      <c r="BZ260" s="3"/>
      <c r="CA260" s="3"/>
      <c r="CB260" s="3"/>
    </row>
    <row r="261" spans="1:80" ht="12.5" x14ac:dyDescent="0.25">
      <c r="A261" s="48"/>
      <c r="B261" s="97" t="str">
        <f>AY57</f>
        <v>Conservation Weatherization Program  - excluding training and technical assistance</v>
      </c>
      <c r="C261" s="35"/>
      <c r="D261" s="12"/>
      <c r="E261" s="115">
        <f t="shared" ref="E261:AX261" si="130">E57/E200</f>
        <v>0</v>
      </c>
      <c r="F261" s="115">
        <f t="shared" si="130"/>
        <v>0</v>
      </c>
      <c r="G261" s="115">
        <f t="shared" si="130"/>
        <v>0</v>
      </c>
      <c r="H261" s="115">
        <f t="shared" si="130"/>
        <v>0</v>
      </c>
      <c r="I261" s="115">
        <f t="shared" si="130"/>
        <v>0</v>
      </c>
      <c r="J261" s="115">
        <f t="shared" si="130"/>
        <v>0</v>
      </c>
      <c r="K261" s="115">
        <f t="shared" si="130"/>
        <v>0</v>
      </c>
      <c r="L261" s="115">
        <f t="shared" si="130"/>
        <v>0</v>
      </c>
      <c r="M261" s="115">
        <f t="shared" si="130"/>
        <v>0</v>
      </c>
      <c r="N261" s="115">
        <f t="shared" si="130"/>
        <v>0</v>
      </c>
      <c r="O261" s="115">
        <f t="shared" si="130"/>
        <v>0</v>
      </c>
      <c r="P261" s="115">
        <f t="shared" si="130"/>
        <v>0</v>
      </c>
      <c r="Q261" s="115">
        <f t="shared" si="130"/>
        <v>0</v>
      </c>
      <c r="R261" s="115">
        <f t="shared" si="130"/>
        <v>0</v>
      </c>
      <c r="S261" s="115">
        <f t="shared" si="130"/>
        <v>333.1527633587786</v>
      </c>
      <c r="T261" s="115">
        <f t="shared" si="130"/>
        <v>308.06018012697473</v>
      </c>
      <c r="U261" s="115">
        <f t="shared" si="130"/>
        <v>337.7343201277028</v>
      </c>
      <c r="V261" s="115">
        <f t="shared" si="130"/>
        <v>340.61704945751728</v>
      </c>
      <c r="W261" s="115">
        <f t="shared" si="130"/>
        <v>173.97638274336282</v>
      </c>
      <c r="X261" s="115">
        <f t="shared" si="130"/>
        <v>183.91277056277056</v>
      </c>
      <c r="Y261" s="115">
        <f t="shared" si="130"/>
        <v>189.4357662267708</v>
      </c>
      <c r="Z261" s="115">
        <f t="shared" si="130"/>
        <v>199.46455223880596</v>
      </c>
      <c r="AA261" s="115">
        <f t="shared" si="130"/>
        <v>197.79846374170029</v>
      </c>
      <c r="AB261" s="115">
        <f t="shared" si="130"/>
        <v>218.44232871488495</v>
      </c>
      <c r="AC261" s="115">
        <f t="shared" si="130"/>
        <v>324.81114317982178</v>
      </c>
      <c r="AD261" s="115">
        <f t="shared" si="130"/>
        <v>309.03907113896054</v>
      </c>
      <c r="AE261" s="115">
        <f t="shared" si="130"/>
        <v>306.87815650504075</v>
      </c>
      <c r="AF261" s="115">
        <f t="shared" si="130"/>
        <v>298.67442672564312</v>
      </c>
      <c r="AG261" s="115">
        <f t="shared" si="130"/>
        <v>301.96753100338219</v>
      </c>
      <c r="AH261" s="115">
        <f t="shared" si="130"/>
        <v>247.25914533670218</v>
      </c>
      <c r="AI261" s="115">
        <f t="shared" si="130"/>
        <v>266.36898713997238</v>
      </c>
      <c r="AJ261" s="115">
        <f t="shared" si="130"/>
        <v>533.5309326534948</v>
      </c>
      <c r="AK261" s="115">
        <f t="shared" si="130"/>
        <v>5830.8248353516037</v>
      </c>
      <c r="AL261" s="115">
        <f t="shared" si="130"/>
        <v>246.66944995303203</v>
      </c>
      <c r="AM261" s="115">
        <f t="shared" si="130"/>
        <v>200.34441834337659</v>
      </c>
      <c r="AN261" s="115">
        <f t="shared" si="130"/>
        <v>73.150999999999996</v>
      </c>
      <c r="AO261" s="115">
        <f t="shared" si="130"/>
        <v>142.7936411064081</v>
      </c>
      <c r="AP261" s="115">
        <f t="shared" si="130"/>
        <v>189.82124854594801</v>
      </c>
      <c r="AQ261" s="115">
        <f t="shared" si="130"/>
        <v>209.49286265432099</v>
      </c>
      <c r="AR261" s="115">
        <f t="shared" si="130"/>
        <v>231.71901934495307</v>
      </c>
      <c r="AS261" s="115">
        <f t="shared" si="130"/>
        <v>238.38730935793635</v>
      </c>
      <c r="AT261" s="115">
        <f t="shared" si="130"/>
        <v>257.06843511098828</v>
      </c>
      <c r="AU261" s="115">
        <f t="shared" si="130"/>
        <v>261.88681637088013</v>
      </c>
      <c r="AV261" s="115">
        <f t="shared" si="130"/>
        <v>305</v>
      </c>
      <c r="AW261" s="115">
        <f t="shared" si="130"/>
        <v>304.40101212808656</v>
      </c>
      <c r="AX261" s="115">
        <f t="shared" si="130"/>
        <v>375.80786026200877</v>
      </c>
      <c r="AY261" s="97" t="str">
        <f t="shared" ref="AY261:AY266" si="131">B261</f>
        <v>Conservation Weatherization Program  - excluding training and technical assistance</v>
      </c>
      <c r="AZ261" s="97"/>
      <c r="BA261" s="97"/>
      <c r="BB261" s="97"/>
      <c r="BC261" s="304"/>
      <c r="BD261" s="35"/>
      <c r="BE261"/>
      <c r="BF261" s="50"/>
      <c r="BG261" s="46"/>
      <c r="BH261" s="143"/>
      <c r="BI261" s="13"/>
      <c r="BJ261" s="13"/>
      <c r="BK261" s="35"/>
      <c r="BL261" s="35"/>
      <c r="BM261" s="35"/>
      <c r="BN261" s="35"/>
      <c r="BO261" s="35"/>
      <c r="BP261" s="35"/>
      <c r="BQ261" s="35"/>
      <c r="BR261" s="47"/>
      <c r="BS261" s="3"/>
      <c r="BT261" s="3"/>
      <c r="BU261" s="3"/>
      <c r="BV261" s="3"/>
      <c r="BW261" s="3"/>
      <c r="BX261" s="3"/>
      <c r="BY261" s="3"/>
      <c r="BZ261" s="3"/>
      <c r="CA261" s="3"/>
      <c r="CB261" s="3"/>
    </row>
    <row r="262" spans="1:80" ht="12.5" x14ac:dyDescent="0.25">
      <c r="A262" s="48"/>
      <c r="B262" s="97" t="str">
        <f>AY59</f>
        <v>Federal Energy Management Program</v>
      </c>
      <c r="C262" s="35"/>
      <c r="D262" s="12"/>
      <c r="E262" s="115">
        <f t="shared" ref="E262:AX262" si="132">E59/E200</f>
        <v>0</v>
      </c>
      <c r="F262" s="115">
        <f t="shared" si="132"/>
        <v>0</v>
      </c>
      <c r="G262" s="115">
        <f t="shared" si="132"/>
        <v>0</v>
      </c>
      <c r="H262" s="115">
        <f t="shared" si="132"/>
        <v>0</v>
      </c>
      <c r="I262" s="115">
        <f t="shared" si="132"/>
        <v>0</v>
      </c>
      <c r="J262" s="115">
        <f t="shared" si="132"/>
        <v>0</v>
      </c>
      <c r="K262" s="115">
        <f t="shared" si="132"/>
        <v>0</v>
      </c>
      <c r="L262" s="115">
        <f t="shared" si="132"/>
        <v>0</v>
      </c>
      <c r="M262" s="115">
        <f t="shared" si="132"/>
        <v>0</v>
      </c>
      <c r="N262" s="115">
        <f t="shared" si="132"/>
        <v>0</v>
      </c>
      <c r="O262" s="115">
        <f t="shared" si="132"/>
        <v>0</v>
      </c>
      <c r="P262" s="115">
        <f t="shared" si="132"/>
        <v>0</v>
      </c>
      <c r="Q262" s="115">
        <f t="shared" si="132"/>
        <v>0</v>
      </c>
      <c r="R262" s="115">
        <f t="shared" si="132"/>
        <v>0</v>
      </c>
      <c r="S262" s="115">
        <f t="shared" si="132"/>
        <v>6.8726717557251895</v>
      </c>
      <c r="T262" s="115">
        <f t="shared" si="132"/>
        <v>7.6433485899896629</v>
      </c>
      <c r="U262" s="115">
        <f t="shared" si="132"/>
        <v>25.313742562763021</v>
      </c>
      <c r="V262" s="115">
        <f t="shared" si="132"/>
        <v>27.274735803860786</v>
      </c>
      <c r="W262" s="115">
        <f t="shared" si="132"/>
        <v>25.209457964601768</v>
      </c>
      <c r="X262" s="115">
        <f t="shared" si="132"/>
        <v>30.144642857142856</v>
      </c>
      <c r="Y262" s="115">
        <f t="shared" si="132"/>
        <v>30.006625370320496</v>
      </c>
      <c r="Z262" s="115">
        <f t="shared" si="132"/>
        <v>35.693656716417912</v>
      </c>
      <c r="AA262" s="115">
        <f t="shared" si="132"/>
        <v>35.046957427418306</v>
      </c>
      <c r="AB262" s="115">
        <f t="shared" si="132"/>
        <v>36.621634676496761</v>
      </c>
      <c r="AC262" s="115">
        <f t="shared" si="132"/>
        <v>26.69100263521144</v>
      </c>
      <c r="AD262" s="115">
        <f t="shared" si="132"/>
        <v>26.68659540484089</v>
      </c>
      <c r="AE262" s="115">
        <f t="shared" si="132"/>
        <v>26.203504560729712</v>
      </c>
      <c r="AF262" s="115">
        <f t="shared" si="132"/>
        <v>26.06851356070306</v>
      </c>
      <c r="AG262" s="115">
        <f t="shared" si="132"/>
        <v>21.569109357384441</v>
      </c>
      <c r="AH262" s="115">
        <f t="shared" si="132"/>
        <v>24.107766670328463</v>
      </c>
      <c r="AI262" s="115">
        <f t="shared" si="132"/>
        <v>23.682559251780212</v>
      </c>
      <c r="AJ262" s="115">
        <f t="shared" si="132"/>
        <v>26.299978755045675</v>
      </c>
      <c r="AK262" s="115">
        <f t="shared" si="132"/>
        <v>26.778160186955596</v>
      </c>
      <c r="AL262" s="115">
        <f t="shared" si="132"/>
        <v>37.587725707128691</v>
      </c>
      <c r="AM262" s="115">
        <f t="shared" si="132"/>
        <v>34.942457358798897</v>
      </c>
      <c r="AN262" s="115">
        <f t="shared" si="132"/>
        <v>33.649459999999998</v>
      </c>
      <c r="AO262" s="115">
        <f t="shared" si="132"/>
        <v>31.350349443842898</v>
      </c>
      <c r="AP262" s="115">
        <f t="shared" si="132"/>
        <v>30.764133385032956</v>
      </c>
      <c r="AQ262" s="115">
        <f t="shared" si="132"/>
        <v>29.307291666666668</v>
      </c>
      <c r="AR262" s="115">
        <f t="shared" si="132"/>
        <v>29.099597778203407</v>
      </c>
      <c r="AS262" s="115">
        <f t="shared" si="132"/>
        <v>28.606477122952359</v>
      </c>
      <c r="AT262" s="115">
        <f t="shared" si="132"/>
        <v>27.987289306438239</v>
      </c>
      <c r="AU262" s="115">
        <f t="shared" si="132"/>
        <v>30.570445490764214</v>
      </c>
      <c r="AV262" s="115">
        <f t="shared" si="132"/>
        <v>40</v>
      </c>
      <c r="AW262" s="115">
        <f t="shared" si="132"/>
        <v>39.277549952011171</v>
      </c>
      <c r="AX262" s="115">
        <f t="shared" si="132"/>
        <v>422.25385735080056</v>
      </c>
      <c r="AY262" s="97" t="str">
        <f t="shared" si="131"/>
        <v>Federal Energy Management Program</v>
      </c>
      <c r="AZ262" s="97"/>
      <c r="BA262" s="97"/>
      <c r="BB262" s="97"/>
      <c r="BC262" s="304"/>
      <c r="BD262" s="35"/>
      <c r="BE262"/>
      <c r="BF262" s="50"/>
      <c r="BG262" s="46"/>
      <c r="BH262" s="143"/>
      <c r="BI262" s="13"/>
      <c r="BJ262" s="13"/>
      <c r="BK262" s="35"/>
      <c r="BL262" s="35"/>
      <c r="BM262" s="35"/>
      <c r="BN262" s="35"/>
      <c r="BO262" s="35"/>
      <c r="BP262" s="35"/>
      <c r="BQ262" s="35"/>
      <c r="BR262" s="47"/>
      <c r="BS262" s="3"/>
      <c r="BT262" s="3"/>
      <c r="BU262" s="3"/>
      <c r="BV262" s="3"/>
      <c r="BW262" s="3"/>
      <c r="BX262" s="3"/>
      <c r="BY262" s="3"/>
      <c r="BZ262" s="3"/>
      <c r="CA262" s="3"/>
      <c r="CB262" s="3"/>
    </row>
    <row r="263" spans="1:80" ht="12.5" x14ac:dyDescent="0.25">
      <c r="A263" s="48"/>
      <c r="B263" s="97" t="str">
        <f>AY60</f>
        <v>State energy program grants (FY17 on inc. Cities, Counties and Communities)</v>
      </c>
      <c r="C263" s="35"/>
      <c r="D263" s="12"/>
      <c r="E263" s="115">
        <f t="shared" ref="E263:AX263" si="133">E60/E200</f>
        <v>0</v>
      </c>
      <c r="F263" s="115">
        <f t="shared" si="133"/>
        <v>0</v>
      </c>
      <c r="G263" s="115">
        <f t="shared" si="133"/>
        <v>0</v>
      </c>
      <c r="H263" s="115">
        <f t="shared" si="133"/>
        <v>0</v>
      </c>
      <c r="I263" s="115">
        <f t="shared" si="133"/>
        <v>0</v>
      </c>
      <c r="J263" s="115">
        <f t="shared" si="133"/>
        <v>0</v>
      </c>
      <c r="K263" s="115">
        <f t="shared" si="133"/>
        <v>0</v>
      </c>
      <c r="L263" s="115">
        <f t="shared" si="133"/>
        <v>0</v>
      </c>
      <c r="M263" s="115">
        <f t="shared" si="133"/>
        <v>0</v>
      </c>
      <c r="N263" s="115">
        <f t="shared" si="133"/>
        <v>0</v>
      </c>
      <c r="O263" s="115">
        <f t="shared" si="133"/>
        <v>0</v>
      </c>
      <c r="P263" s="115">
        <f t="shared" si="133"/>
        <v>0</v>
      </c>
      <c r="Q263" s="115">
        <f t="shared" si="133"/>
        <v>0</v>
      </c>
      <c r="R263" s="115">
        <f t="shared" si="133"/>
        <v>0</v>
      </c>
      <c r="S263" s="115">
        <f t="shared" si="133"/>
        <v>27.834320610687019</v>
      </c>
      <c r="T263" s="115">
        <f t="shared" si="133"/>
        <v>25.754761553226043</v>
      </c>
      <c r="U263" s="115">
        <f t="shared" si="133"/>
        <v>29.886547670875053</v>
      </c>
      <c r="V263" s="115">
        <f t="shared" si="133"/>
        <v>38.057770889108077</v>
      </c>
      <c r="W263" s="115">
        <f t="shared" si="133"/>
        <v>40.459623893805308</v>
      </c>
      <c r="X263" s="115">
        <f t="shared" si="133"/>
        <v>44.151244588744589</v>
      </c>
      <c r="Y263" s="115">
        <f t="shared" si="133"/>
        <v>45.919229733369242</v>
      </c>
      <c r="Z263" s="115">
        <f t="shared" si="133"/>
        <v>49.491204690831552</v>
      </c>
      <c r="AA263" s="115">
        <f t="shared" si="133"/>
        <v>49.083322484051557</v>
      </c>
      <c r="AB263" s="115">
        <f t="shared" si="133"/>
        <v>79.823719333926519</v>
      </c>
      <c r="AC263" s="115">
        <f t="shared" si="133"/>
        <v>63.550006274312956</v>
      </c>
      <c r="AD263" s="115">
        <f t="shared" si="133"/>
        <v>61.807814227792115</v>
      </c>
      <c r="AE263" s="115">
        <f t="shared" si="133"/>
        <v>60.331092974875972</v>
      </c>
      <c r="AF263" s="115">
        <f t="shared" si="133"/>
        <v>57.900919566988712</v>
      </c>
      <c r="AG263" s="115">
        <f t="shared" si="133"/>
        <v>45.16825253664036</v>
      </c>
      <c r="AH263" s="115">
        <f t="shared" si="133"/>
        <v>61.196638470833783</v>
      </c>
      <c r="AI263" s="115">
        <f t="shared" si="133"/>
        <v>52.74751833351047</v>
      </c>
      <c r="AJ263" s="115">
        <f t="shared" si="133"/>
        <v>59.772678988740168</v>
      </c>
      <c r="AK263" s="115">
        <f t="shared" si="133"/>
        <v>3687.376566815381</v>
      </c>
      <c r="AL263" s="115">
        <f t="shared" si="133"/>
        <v>58.730821417388576</v>
      </c>
      <c r="AM263" s="115">
        <f t="shared" si="133"/>
        <v>57.471146971708713</v>
      </c>
      <c r="AN263" s="115">
        <f t="shared" si="133"/>
        <v>56.269999999999996</v>
      </c>
      <c r="AO263" s="115">
        <f t="shared" si="133"/>
        <v>52.176729993109554</v>
      </c>
      <c r="AP263" s="115">
        <f t="shared" si="133"/>
        <v>54.546335789065523</v>
      </c>
      <c r="AQ263" s="115">
        <f t="shared" si="133"/>
        <v>54.272762345679013</v>
      </c>
      <c r="AR263" s="115">
        <f t="shared" si="133"/>
        <v>53.888144033710013</v>
      </c>
      <c r="AS263" s="115">
        <f t="shared" si="133"/>
        <v>52.974957635096963</v>
      </c>
      <c r="AT263" s="115">
        <f t="shared" si="133"/>
        <v>57.011144883485301</v>
      </c>
      <c r="AU263" s="115">
        <f t="shared" si="133"/>
        <v>56.045816733067724</v>
      </c>
      <c r="AV263" s="115">
        <f t="shared" si="133"/>
        <v>62.5</v>
      </c>
      <c r="AW263" s="115">
        <f t="shared" si="133"/>
        <v>61.371171800017457</v>
      </c>
      <c r="AX263" s="115">
        <f t="shared" si="133"/>
        <v>60.225618631732168</v>
      </c>
      <c r="AY263" s="97" t="str">
        <f t="shared" si="131"/>
        <v>State energy program grants (FY17 on inc. Cities, Counties and Communities)</v>
      </c>
      <c r="AZ263" s="97"/>
      <c r="BA263" s="97"/>
      <c r="BB263" s="97"/>
      <c r="BC263" s="304"/>
      <c r="BD263" s="35"/>
      <c r="BE263"/>
      <c r="BF263" s="50"/>
      <c r="BG263" s="46"/>
      <c r="BH263" s="143"/>
      <c r="BI263" s="13"/>
      <c r="BJ263" s="13"/>
      <c r="BK263" s="35"/>
      <c r="BL263" s="35"/>
      <c r="BM263" s="35"/>
      <c r="BN263" s="35"/>
      <c r="BO263" s="35"/>
      <c r="BP263" s="35"/>
      <c r="BQ263" s="35"/>
      <c r="BR263" s="47"/>
      <c r="BS263" s="3"/>
      <c r="BT263" s="3"/>
      <c r="BU263" s="3"/>
      <c r="BV263" s="3"/>
      <c r="BW263" s="3"/>
      <c r="BX263" s="3"/>
      <c r="BY263" s="3"/>
      <c r="BZ263" s="3"/>
      <c r="CA263" s="3"/>
      <c r="CB263" s="3"/>
    </row>
    <row r="264" spans="1:80" ht="12.5" x14ac:dyDescent="0.25">
      <c r="A264" s="48"/>
      <c r="B264" s="97" t="str">
        <f>AY61</f>
        <v>Energy efficiency and conservation block grants</v>
      </c>
      <c r="C264" s="35"/>
      <c r="D264" s="12"/>
      <c r="E264" s="115">
        <f t="shared" ref="E264:AX264" si="134">E61/E200</f>
        <v>0</v>
      </c>
      <c r="F264" s="115">
        <f t="shared" si="134"/>
        <v>0</v>
      </c>
      <c r="G264" s="115">
        <f t="shared" si="134"/>
        <v>0</v>
      </c>
      <c r="H264" s="115">
        <f t="shared" si="134"/>
        <v>0</v>
      </c>
      <c r="I264" s="115">
        <f t="shared" si="134"/>
        <v>0</v>
      </c>
      <c r="J264" s="115">
        <f t="shared" si="134"/>
        <v>0</v>
      </c>
      <c r="K264" s="115">
        <f t="shared" si="134"/>
        <v>0</v>
      </c>
      <c r="L264" s="115">
        <f t="shared" si="134"/>
        <v>0</v>
      </c>
      <c r="M264" s="115">
        <f t="shared" si="134"/>
        <v>0</v>
      </c>
      <c r="N264" s="115">
        <f t="shared" si="134"/>
        <v>0</v>
      </c>
      <c r="O264" s="115">
        <f t="shared" si="134"/>
        <v>0</v>
      </c>
      <c r="P264" s="115">
        <f t="shared" si="134"/>
        <v>0</v>
      </c>
      <c r="Q264" s="115">
        <f t="shared" si="134"/>
        <v>0</v>
      </c>
      <c r="R264" s="115">
        <f t="shared" si="134"/>
        <v>0</v>
      </c>
      <c r="S264" s="115">
        <f t="shared" si="134"/>
        <v>0</v>
      </c>
      <c r="T264" s="115">
        <f t="shared" si="134"/>
        <v>0</v>
      </c>
      <c r="U264" s="115">
        <f t="shared" si="134"/>
        <v>0</v>
      </c>
      <c r="V264" s="115">
        <f t="shared" si="134"/>
        <v>0</v>
      </c>
      <c r="W264" s="115">
        <f t="shared" si="134"/>
        <v>0</v>
      </c>
      <c r="X264" s="115">
        <f t="shared" si="134"/>
        <v>0</v>
      </c>
      <c r="Y264" s="115">
        <f t="shared" si="134"/>
        <v>0</v>
      </c>
      <c r="Z264" s="115">
        <f t="shared" si="134"/>
        <v>0</v>
      </c>
      <c r="AA264" s="115">
        <f t="shared" si="134"/>
        <v>0</v>
      </c>
      <c r="AB264" s="115">
        <f t="shared" si="134"/>
        <v>0</v>
      </c>
      <c r="AC264" s="115">
        <f t="shared" si="134"/>
        <v>0</v>
      </c>
      <c r="AD264" s="115">
        <f t="shared" si="134"/>
        <v>0</v>
      </c>
      <c r="AE264" s="115">
        <f t="shared" si="134"/>
        <v>0</v>
      </c>
      <c r="AF264" s="115">
        <f t="shared" si="134"/>
        <v>0</v>
      </c>
      <c r="AG264" s="115">
        <f t="shared" si="134"/>
        <v>0</v>
      </c>
      <c r="AH264" s="115">
        <f t="shared" si="134"/>
        <v>0</v>
      </c>
      <c r="AI264" s="115">
        <f t="shared" si="134"/>
        <v>0</v>
      </c>
      <c r="AJ264" s="115">
        <f t="shared" si="134"/>
        <v>0</v>
      </c>
      <c r="AK264" s="115">
        <f t="shared" si="134"/>
        <v>3806.3241980029743</v>
      </c>
      <c r="AL264" s="115">
        <f t="shared" si="134"/>
        <v>0</v>
      </c>
      <c r="AM264" s="115">
        <f t="shared" si="134"/>
        <v>0</v>
      </c>
      <c r="AN264" s="115">
        <f t="shared" si="134"/>
        <v>0</v>
      </c>
      <c r="AO264" s="115">
        <f t="shared" si="134"/>
        <v>0</v>
      </c>
      <c r="AP264" s="115">
        <f t="shared" si="134"/>
        <v>0</v>
      </c>
      <c r="AQ264" s="115">
        <f t="shared" si="134"/>
        <v>0</v>
      </c>
      <c r="AR264" s="115">
        <f t="shared" si="134"/>
        <v>0</v>
      </c>
      <c r="AS264" s="115">
        <f t="shared" si="134"/>
        <v>0</v>
      </c>
      <c r="AT264" s="115">
        <f t="shared" si="134"/>
        <v>0</v>
      </c>
      <c r="AU264" s="115">
        <f t="shared" si="134"/>
        <v>0</v>
      </c>
      <c r="AV264" s="115">
        <f t="shared" si="134"/>
        <v>0</v>
      </c>
      <c r="AW264" s="115">
        <f t="shared" si="134"/>
        <v>0</v>
      </c>
      <c r="AX264" s="115">
        <f t="shared" si="134"/>
        <v>0</v>
      </c>
      <c r="AY264" s="97" t="str">
        <f t="shared" si="131"/>
        <v>Energy efficiency and conservation block grants</v>
      </c>
      <c r="AZ264" s="97"/>
      <c r="BA264" s="97"/>
      <c r="BB264" s="97"/>
      <c r="BC264" s="304"/>
      <c r="BD264" s="35"/>
      <c r="BE264"/>
      <c r="BF264" s="50"/>
      <c r="BG264" s="46"/>
      <c r="BH264" s="143"/>
      <c r="BI264" s="13"/>
      <c r="BJ264" s="13"/>
      <c r="BK264" s="35"/>
      <c r="BL264" s="35"/>
      <c r="BM264" s="35"/>
      <c r="BN264" s="35"/>
      <c r="BO264" s="35"/>
      <c r="BP264" s="35"/>
      <c r="BQ264" s="35"/>
      <c r="BR264" s="47"/>
      <c r="BS264" s="3"/>
      <c r="BT264" s="3"/>
      <c r="BU264" s="3"/>
      <c r="BV264" s="3"/>
      <c r="BW264" s="3"/>
      <c r="BX264" s="3"/>
      <c r="BY264" s="3"/>
      <c r="BZ264" s="3"/>
      <c r="CA264" s="3"/>
      <c r="CB264" s="3"/>
    </row>
    <row r="265" spans="1:80" ht="12.5" x14ac:dyDescent="0.25">
      <c r="A265" s="48"/>
      <c r="B265" s="97" t="str">
        <f>AY62</f>
        <v>Advanced technology vehicles manufacturing loans</v>
      </c>
      <c r="C265" s="35"/>
      <c r="D265" s="12"/>
      <c r="E265" s="115">
        <f t="shared" ref="E265:AX265" si="135">E62/E200</f>
        <v>0</v>
      </c>
      <c r="F265" s="115">
        <f t="shared" si="135"/>
        <v>0</v>
      </c>
      <c r="G265" s="115">
        <f t="shared" si="135"/>
        <v>0</v>
      </c>
      <c r="H265" s="115">
        <f t="shared" si="135"/>
        <v>0</v>
      </c>
      <c r="I265" s="115">
        <f t="shared" si="135"/>
        <v>0</v>
      </c>
      <c r="J265" s="115">
        <f t="shared" si="135"/>
        <v>0</v>
      </c>
      <c r="K265" s="115">
        <f t="shared" si="135"/>
        <v>0</v>
      </c>
      <c r="L265" s="115">
        <f t="shared" si="135"/>
        <v>0</v>
      </c>
      <c r="M265" s="115">
        <f t="shared" si="135"/>
        <v>0</v>
      </c>
      <c r="N265" s="115">
        <f t="shared" si="135"/>
        <v>0</v>
      </c>
      <c r="O265" s="115">
        <f t="shared" si="135"/>
        <v>0</v>
      </c>
      <c r="P265" s="115">
        <f t="shared" si="135"/>
        <v>0</v>
      </c>
      <c r="Q265" s="115">
        <f t="shared" si="135"/>
        <v>0</v>
      </c>
      <c r="R265" s="115">
        <f t="shared" si="135"/>
        <v>0</v>
      </c>
      <c r="S265" s="115">
        <f t="shared" si="135"/>
        <v>0</v>
      </c>
      <c r="T265" s="115">
        <f t="shared" si="135"/>
        <v>0</v>
      </c>
      <c r="U265" s="115">
        <f t="shared" si="135"/>
        <v>0</v>
      </c>
      <c r="V265" s="115">
        <f t="shared" si="135"/>
        <v>0</v>
      </c>
      <c r="W265" s="115">
        <f t="shared" si="135"/>
        <v>0</v>
      </c>
      <c r="X265" s="115">
        <f t="shared" si="135"/>
        <v>0</v>
      </c>
      <c r="Y265" s="115">
        <f t="shared" si="135"/>
        <v>0</v>
      </c>
      <c r="Z265" s="115">
        <f t="shared" si="135"/>
        <v>0</v>
      </c>
      <c r="AA265" s="115">
        <f t="shared" si="135"/>
        <v>0</v>
      </c>
      <c r="AB265" s="115">
        <f t="shared" si="135"/>
        <v>0</v>
      </c>
      <c r="AC265" s="115">
        <f t="shared" si="135"/>
        <v>0</v>
      </c>
      <c r="AD265" s="115">
        <f t="shared" si="135"/>
        <v>0</v>
      </c>
      <c r="AE265" s="115">
        <f t="shared" si="135"/>
        <v>0</v>
      </c>
      <c r="AF265" s="115">
        <f t="shared" si="135"/>
        <v>0</v>
      </c>
      <c r="AG265" s="115">
        <f t="shared" si="135"/>
        <v>0</v>
      </c>
      <c r="AH265" s="115">
        <f t="shared" si="135"/>
        <v>0</v>
      </c>
      <c r="AI265" s="115">
        <f t="shared" si="135"/>
        <v>0</v>
      </c>
      <c r="AJ265" s="115">
        <f t="shared" si="135"/>
        <v>8977.8563841087744</v>
      </c>
      <c r="AK265" s="115">
        <f t="shared" si="135"/>
        <v>11.954535797748035</v>
      </c>
      <c r="AL265" s="115">
        <f t="shared" si="135"/>
        <v>23.492328566955432</v>
      </c>
      <c r="AM265" s="115">
        <f t="shared" si="135"/>
        <v>11.494229394341742</v>
      </c>
      <c r="AN265" s="115">
        <f t="shared" si="135"/>
        <v>6.7523999999999997</v>
      </c>
      <c r="AO265" s="115">
        <f t="shared" si="135"/>
        <v>6.3143813367457424</v>
      </c>
      <c r="AP265" s="115">
        <f t="shared" si="135"/>
        <v>6.5455602946878626</v>
      </c>
      <c r="AQ265" s="115">
        <f t="shared" si="135"/>
        <v>4.3418209876543212</v>
      </c>
      <c r="AR265" s="115">
        <f t="shared" si="135"/>
        <v>6.4665772840452016</v>
      </c>
      <c r="AS265" s="115">
        <f t="shared" si="135"/>
        <v>4.1320466955375634</v>
      </c>
      <c r="AT265" s="115">
        <f t="shared" si="135"/>
        <v>5.1828313530441186</v>
      </c>
      <c r="AU265" s="115">
        <f t="shared" si="135"/>
        <v>5.0950742484607021</v>
      </c>
      <c r="AV265" s="115">
        <f t="shared" si="135"/>
        <v>5</v>
      </c>
      <c r="AW265" s="115">
        <f t="shared" si="135"/>
        <v>0</v>
      </c>
      <c r="AX265" s="115">
        <f t="shared" si="135"/>
        <v>0</v>
      </c>
      <c r="AY265" s="97" t="str">
        <f t="shared" si="131"/>
        <v>Advanced technology vehicles manufacturing loans</v>
      </c>
      <c r="AZ265" s="97"/>
      <c r="BA265" s="97"/>
      <c r="BB265" s="97"/>
      <c r="BC265" s="304"/>
      <c r="BD265" s="35"/>
      <c r="BE265"/>
      <c r="BF265" s="50"/>
      <c r="BG265" s="46"/>
      <c r="BH265" s="143"/>
      <c r="BI265" s="13"/>
      <c r="BJ265" s="13"/>
      <c r="BK265" s="35"/>
      <c r="BL265" s="35"/>
      <c r="BM265" s="35"/>
      <c r="BN265" s="35"/>
      <c r="BO265" s="35"/>
      <c r="BP265" s="35"/>
      <c r="BQ265" s="35"/>
      <c r="BR265" s="47"/>
      <c r="BS265" s="3"/>
      <c r="BT265" s="3"/>
      <c r="BU265" s="3"/>
      <c r="BV265" s="3"/>
      <c r="BW265" s="3"/>
      <c r="BX265" s="3"/>
      <c r="BY265" s="3"/>
      <c r="BZ265" s="3"/>
      <c r="CA265" s="3"/>
      <c r="CB265" s="3"/>
    </row>
    <row r="266" spans="1:80" ht="12.5" x14ac:dyDescent="0.25">
      <c r="A266" s="48"/>
      <c r="B266" s="97" t="str">
        <f>AY63</f>
        <v>Other ARRA deployment - energy efficient appliance rebates, advanced battery manufacturing, alternative fueled vehicles pilot grant program, transportation electrification, information and communication efficiency</v>
      </c>
      <c r="C266" s="35"/>
      <c r="D266" s="12"/>
      <c r="E266" s="115">
        <f t="shared" ref="E266:AX266" si="136">E63/E200</f>
        <v>0</v>
      </c>
      <c r="F266" s="115">
        <f t="shared" si="136"/>
        <v>0</v>
      </c>
      <c r="G266" s="115">
        <f t="shared" si="136"/>
        <v>0</v>
      </c>
      <c r="H266" s="115">
        <f t="shared" si="136"/>
        <v>0</v>
      </c>
      <c r="I266" s="115">
        <f t="shared" si="136"/>
        <v>0</v>
      </c>
      <c r="J266" s="115">
        <f t="shared" si="136"/>
        <v>0</v>
      </c>
      <c r="K266" s="115">
        <f t="shared" si="136"/>
        <v>0</v>
      </c>
      <c r="L266" s="115">
        <f t="shared" si="136"/>
        <v>0</v>
      </c>
      <c r="M266" s="115">
        <f t="shared" si="136"/>
        <v>0</v>
      </c>
      <c r="N266" s="115">
        <f t="shared" si="136"/>
        <v>0</v>
      </c>
      <c r="O266" s="115">
        <f t="shared" si="136"/>
        <v>0</v>
      </c>
      <c r="P266" s="115">
        <f t="shared" si="136"/>
        <v>0</v>
      </c>
      <c r="Q266" s="115">
        <f t="shared" si="136"/>
        <v>0</v>
      </c>
      <c r="R266" s="115">
        <f t="shared" si="136"/>
        <v>0</v>
      </c>
      <c r="S266" s="115">
        <f t="shared" si="136"/>
        <v>0</v>
      </c>
      <c r="T266" s="115">
        <f t="shared" si="136"/>
        <v>0</v>
      </c>
      <c r="U266" s="115">
        <f t="shared" si="136"/>
        <v>0</v>
      </c>
      <c r="V266" s="115">
        <f t="shared" si="136"/>
        <v>0</v>
      </c>
      <c r="W266" s="115">
        <f t="shared" si="136"/>
        <v>0</v>
      </c>
      <c r="X266" s="115">
        <f t="shared" si="136"/>
        <v>0</v>
      </c>
      <c r="Y266" s="115">
        <f t="shared" si="136"/>
        <v>0</v>
      </c>
      <c r="Z266" s="115">
        <f t="shared" si="136"/>
        <v>0</v>
      </c>
      <c r="AA266" s="115">
        <f t="shared" si="136"/>
        <v>0</v>
      </c>
      <c r="AB266" s="115">
        <f t="shared" si="136"/>
        <v>0</v>
      </c>
      <c r="AC266" s="115">
        <f t="shared" si="136"/>
        <v>0</v>
      </c>
      <c r="AD266" s="115">
        <f t="shared" si="136"/>
        <v>0</v>
      </c>
      <c r="AE266" s="115">
        <f t="shared" si="136"/>
        <v>0</v>
      </c>
      <c r="AF266" s="115">
        <f t="shared" si="136"/>
        <v>0</v>
      </c>
      <c r="AG266" s="115">
        <f t="shared" si="136"/>
        <v>0</v>
      </c>
      <c r="AH266" s="115">
        <f t="shared" si="136"/>
        <v>0</v>
      </c>
      <c r="AI266" s="115">
        <f t="shared" si="136"/>
        <v>0</v>
      </c>
      <c r="AJ266" s="115">
        <f t="shared" si="136"/>
        <v>0</v>
      </c>
      <c r="AK266" s="115">
        <f t="shared" si="136"/>
        <v>3626.5279796048435</v>
      </c>
      <c r="AL266" s="115">
        <f t="shared" si="136"/>
        <v>0</v>
      </c>
      <c r="AM266" s="115">
        <f t="shared" si="136"/>
        <v>0</v>
      </c>
      <c r="AN266" s="115">
        <f t="shared" si="136"/>
        <v>0</v>
      </c>
      <c r="AO266" s="115">
        <f t="shared" si="136"/>
        <v>0</v>
      </c>
      <c r="AP266" s="115">
        <f t="shared" si="136"/>
        <v>0</v>
      </c>
      <c r="AQ266" s="115">
        <f t="shared" si="136"/>
        <v>0</v>
      </c>
      <c r="AR266" s="115">
        <f t="shared" si="136"/>
        <v>0</v>
      </c>
      <c r="AS266" s="115">
        <f t="shared" si="136"/>
        <v>0</v>
      </c>
      <c r="AT266" s="115">
        <f t="shared" si="136"/>
        <v>0</v>
      </c>
      <c r="AU266" s="115">
        <f t="shared" si="136"/>
        <v>0</v>
      </c>
      <c r="AV266" s="115">
        <f t="shared" si="136"/>
        <v>0</v>
      </c>
      <c r="AW266" s="115">
        <f t="shared" si="136"/>
        <v>0</v>
      </c>
      <c r="AX266" s="115">
        <f t="shared" si="136"/>
        <v>0</v>
      </c>
      <c r="AY266" s="97" t="str">
        <f t="shared" si="131"/>
        <v>Other ARRA deployment - energy efficient appliance rebates, advanced battery manufacturing, alternative fueled vehicles pilot grant program, transportation electrification, information and communication efficiency</v>
      </c>
      <c r="AZ266" s="97"/>
      <c r="BA266" s="97"/>
      <c r="BB266" s="97"/>
      <c r="BC266" s="304"/>
      <c r="BD266" s="35"/>
      <c r="BE266"/>
      <c r="BF266" s="50"/>
      <c r="BG266" s="46"/>
      <c r="BH266" s="143"/>
      <c r="BI266" s="13"/>
      <c r="BJ266" s="13"/>
      <c r="BK266" s="35"/>
      <c r="BL266" s="35"/>
      <c r="BM266" s="35"/>
      <c r="BN266" s="35"/>
      <c r="BO266" s="35"/>
      <c r="BP266" s="35"/>
      <c r="BQ266" s="35"/>
      <c r="BR266" s="47"/>
      <c r="BS266" s="3"/>
      <c r="BT266" s="3"/>
      <c r="BU266" s="3"/>
      <c r="BV266" s="3"/>
      <c r="BW266" s="3"/>
      <c r="BX266" s="3"/>
      <c r="BY266" s="3"/>
      <c r="BZ266" s="3"/>
      <c r="CA266" s="3"/>
      <c r="CB266" s="3"/>
    </row>
    <row r="267" spans="1:80" ht="12.5" x14ac:dyDescent="0.25">
      <c r="A267" s="48"/>
      <c r="B267" s="97"/>
      <c r="C267" s="35"/>
      <c r="D267" s="12"/>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167"/>
      <c r="AJ267" s="167"/>
      <c r="AK267" s="167"/>
      <c r="AL267" s="167"/>
      <c r="AM267" s="167"/>
      <c r="AN267" s="167"/>
      <c r="AP267" s="167">
        <f>AP64/AO200</f>
        <v>0</v>
      </c>
      <c r="AQ267" s="167">
        <f>AQ64/AP200</f>
        <v>0</v>
      </c>
      <c r="AR267" s="167">
        <f>AR64/AQ200</f>
        <v>0</v>
      </c>
      <c r="AS267" s="167">
        <f t="shared" ref="AS267:AX267" si="137">AS64/AS200</f>
        <v>0</v>
      </c>
      <c r="AT267" s="167">
        <f t="shared" si="137"/>
        <v>0</v>
      </c>
      <c r="AU267" s="167">
        <f t="shared" si="137"/>
        <v>0</v>
      </c>
      <c r="AV267" s="167">
        <f t="shared" si="137"/>
        <v>0</v>
      </c>
      <c r="AW267" s="167">
        <f t="shared" si="137"/>
        <v>0</v>
      </c>
      <c r="AX267" s="167">
        <f t="shared" si="137"/>
        <v>0</v>
      </c>
      <c r="AY267" s="97" t="str">
        <f>AY64</f>
        <v>Race to the Top for Energy Efficiency and Grid Modernization</v>
      </c>
      <c r="AZ267" s="97"/>
      <c r="BA267" s="97"/>
      <c r="BB267" s="97"/>
      <c r="BC267" s="304"/>
      <c r="BD267" s="35"/>
      <c r="BE267"/>
      <c r="BF267" s="50"/>
      <c r="BG267" s="46"/>
      <c r="BH267" s="143"/>
      <c r="BI267" s="13"/>
      <c r="BJ267" s="13"/>
      <c r="BK267" s="35"/>
      <c r="BL267" s="35"/>
      <c r="BM267" s="35"/>
      <c r="BN267" s="35"/>
      <c r="BO267" s="35"/>
      <c r="BP267" s="35"/>
      <c r="BQ267" s="35"/>
      <c r="BR267" s="47"/>
      <c r="BS267" s="3"/>
      <c r="BT267" s="3"/>
      <c r="BU267" s="3"/>
      <c r="BV267" s="3"/>
      <c r="BW267" s="3"/>
      <c r="BX267" s="3"/>
      <c r="BY267" s="3"/>
      <c r="BZ267" s="3"/>
      <c r="CA267" s="3"/>
      <c r="CB267" s="3"/>
    </row>
    <row r="268" spans="1:80" ht="12.5" x14ac:dyDescent="0.25">
      <c r="A268" s="48"/>
      <c r="B268" s="97"/>
      <c r="C268" s="35"/>
      <c r="D268" s="12"/>
      <c r="E268" s="235"/>
      <c r="F268" s="235"/>
      <c r="G268" s="235"/>
      <c r="H268" s="235"/>
      <c r="I268" s="235"/>
      <c r="J268" s="235"/>
      <c r="K268" s="235"/>
      <c r="L268" s="235"/>
      <c r="M268" s="235"/>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167"/>
      <c r="AJ268" s="167"/>
      <c r="AK268" s="167"/>
      <c r="AL268" s="167"/>
      <c r="AM268" s="167"/>
      <c r="AN268" s="167"/>
      <c r="AP268" s="167"/>
      <c r="AQ268" s="97">
        <f>AQ65</f>
        <v>0</v>
      </c>
      <c r="AR268" s="97">
        <f>AR65</f>
        <v>0</v>
      </c>
      <c r="AS268" s="167">
        <f t="shared" ref="AS268:AX268" si="138">AS65/AS200</f>
        <v>1414.431368857089</v>
      </c>
      <c r="AT268" s="167">
        <f t="shared" si="138"/>
        <v>0</v>
      </c>
      <c r="AU268" s="167">
        <f t="shared" si="138"/>
        <v>0</v>
      </c>
      <c r="AV268" s="167">
        <f t="shared" si="138"/>
        <v>0</v>
      </c>
      <c r="AW268" s="167">
        <f t="shared" si="138"/>
        <v>0</v>
      </c>
      <c r="AX268" s="167">
        <f t="shared" si="138"/>
        <v>0</v>
      </c>
      <c r="AY268" s="97" t="str">
        <f>AY65</f>
        <v>21st Century Clean Transportation Plan Investments</v>
      </c>
      <c r="AZ268" s="97"/>
      <c r="BA268" s="97"/>
      <c r="BB268" s="97"/>
      <c r="BC268" s="304"/>
      <c r="BD268" s="35"/>
      <c r="BE268"/>
      <c r="BF268" s="50"/>
      <c r="BG268" s="46"/>
      <c r="BH268" s="143"/>
      <c r="BI268" s="13"/>
      <c r="BJ268" s="13"/>
      <c r="BK268" s="35"/>
      <c r="BL268" s="35"/>
      <c r="BM268" s="35"/>
      <c r="BN268" s="35"/>
      <c r="BO268" s="35"/>
      <c r="BP268" s="35"/>
      <c r="BQ268" s="35"/>
      <c r="BR268" s="47"/>
      <c r="BS268" s="3"/>
      <c r="BT268" s="3"/>
      <c r="BU268" s="3"/>
      <c r="BV268" s="3"/>
      <c r="BW268" s="3"/>
      <c r="BX268" s="3"/>
      <c r="BY268" s="3"/>
      <c r="BZ268" s="3"/>
      <c r="CA268" s="3"/>
      <c r="CB268" s="3"/>
    </row>
    <row r="269" spans="1:80" ht="12.5" x14ac:dyDescent="0.25">
      <c r="A269" s="48"/>
      <c r="B269" s="97"/>
      <c r="C269" s="35"/>
      <c r="D269" s="12"/>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5"/>
      <c r="AE269" s="235"/>
      <c r="AF269" s="235"/>
      <c r="AG269" s="235"/>
      <c r="AH269" s="235"/>
      <c r="AI269" s="167"/>
      <c r="AJ269" s="167"/>
      <c r="AK269" s="167"/>
      <c r="AL269" s="167"/>
      <c r="AM269" s="167"/>
      <c r="AN269" s="167"/>
      <c r="AP269" s="167"/>
      <c r="AQ269" s="97"/>
      <c r="AR269" s="97"/>
      <c r="AS269" s="167"/>
      <c r="AT269" s="167"/>
      <c r="AU269" s="167"/>
      <c r="AV269" s="167"/>
      <c r="AW269" s="97">
        <f t="shared" ref="AW269" si="139">AW66</f>
        <v>0</v>
      </c>
      <c r="AX269" s="167">
        <f>AX66/AX200</f>
        <v>289.08296943231443</v>
      </c>
      <c r="AY269" s="97" t="str">
        <f>AY66</f>
        <v>Build Back Better Challenge Grants</v>
      </c>
      <c r="AZ269" s="97"/>
      <c r="BA269" s="97"/>
      <c r="BB269" s="97"/>
      <c r="BC269" s="304"/>
      <c r="BD269" s="35"/>
      <c r="BE269"/>
      <c r="BF269" s="50"/>
      <c r="BG269" s="46"/>
      <c r="BH269" s="143"/>
      <c r="BI269" s="13"/>
      <c r="BJ269" s="13"/>
      <c r="BK269" s="35"/>
      <c r="BL269" s="35"/>
      <c r="BM269" s="35"/>
      <c r="BN269" s="35"/>
      <c r="BO269" s="35"/>
      <c r="BP269" s="35"/>
      <c r="BQ269" s="35"/>
      <c r="BR269" s="47"/>
      <c r="BS269" s="3"/>
      <c r="BT269" s="3"/>
      <c r="BU269" s="3"/>
      <c r="BV269" s="3"/>
      <c r="BW269" s="3"/>
      <c r="BX269" s="3"/>
      <c r="BY269" s="3"/>
      <c r="BZ269" s="3"/>
      <c r="CA269" s="3"/>
      <c r="CB269" s="3"/>
    </row>
    <row r="270" spans="1:80" ht="12.5" x14ac:dyDescent="0.25">
      <c r="A270" s="48"/>
      <c r="B270" s="97"/>
      <c r="C270" s="35"/>
      <c r="D270" s="12"/>
      <c r="E270" s="235"/>
      <c r="F270" s="235"/>
      <c r="G270" s="235"/>
      <c r="H270" s="235"/>
      <c r="I270" s="235"/>
      <c r="J270" s="235"/>
      <c r="K270" s="235"/>
      <c r="L270" s="235"/>
      <c r="M270" s="235"/>
      <c r="N270" s="235"/>
      <c r="O270" s="235"/>
      <c r="P270" s="235"/>
      <c r="Q270" s="235"/>
      <c r="R270" s="235"/>
      <c r="S270" s="235"/>
      <c r="T270" s="235"/>
      <c r="U270" s="235"/>
      <c r="V270" s="235"/>
      <c r="W270" s="235"/>
      <c r="X270" s="235"/>
      <c r="Y270" s="235"/>
      <c r="Z270" s="235"/>
      <c r="AA270" s="235"/>
      <c r="AB270" s="235"/>
      <c r="AC270" s="235"/>
      <c r="AD270" s="235"/>
      <c r="AE270" s="235"/>
      <c r="AF270" s="235"/>
      <c r="AG270" s="235"/>
      <c r="AH270" s="235"/>
      <c r="AI270" s="167"/>
      <c r="AJ270" s="167"/>
      <c r="AK270" s="167"/>
      <c r="AL270" s="167"/>
      <c r="AM270" s="167"/>
      <c r="AN270" s="167"/>
      <c r="AP270" s="167"/>
      <c r="AQ270" s="97"/>
      <c r="AR270" s="97"/>
      <c r="AS270" s="167"/>
      <c r="AT270" s="167"/>
      <c r="AU270" s="167"/>
      <c r="AV270" s="167"/>
      <c r="AW270" s="97">
        <f t="shared" ref="AW270" si="140">AW67</f>
        <v>0</v>
      </c>
      <c r="AX270" s="167">
        <f>AX67/AX200</f>
        <v>24.090247452692868</v>
      </c>
      <c r="AY270" s="97" t="str">
        <f>AY67</f>
        <v>Local Government Clean Energy Workforce Program</v>
      </c>
      <c r="AZ270" s="97"/>
      <c r="BA270" s="97"/>
      <c r="BB270" s="97"/>
      <c r="BC270" s="304"/>
      <c r="BD270" s="35"/>
      <c r="BE270"/>
      <c r="BF270" s="50"/>
      <c r="BG270" s="46"/>
      <c r="BH270" s="143"/>
      <c r="BI270" s="13"/>
      <c r="BJ270" s="13"/>
      <c r="BK270" s="35"/>
      <c r="BL270" s="35"/>
      <c r="BM270" s="35"/>
      <c r="BN270" s="35"/>
      <c r="BO270" s="35"/>
      <c r="BP270" s="35"/>
      <c r="BQ270" s="35"/>
      <c r="BR270" s="47"/>
      <c r="BS270" s="3"/>
      <c r="BT270" s="3"/>
      <c r="BU270" s="3"/>
      <c r="BV270" s="3"/>
      <c r="BW270" s="3"/>
      <c r="BX270" s="3"/>
      <c r="BY270" s="3"/>
      <c r="BZ270" s="3"/>
      <c r="CA270" s="3"/>
      <c r="CB270" s="3"/>
    </row>
    <row r="271" spans="1:80" ht="12.5" x14ac:dyDescent="0.25">
      <c r="A271" s="48"/>
      <c r="B271" s="35"/>
      <c r="C271" s="35"/>
      <c r="D271" s="12"/>
      <c r="E271" s="153"/>
      <c r="F271" s="153"/>
      <c r="G271" s="153"/>
      <c r="H271" s="153"/>
      <c r="I271" s="153"/>
      <c r="J271" s="153"/>
      <c r="K271" s="153"/>
      <c r="L271" s="153"/>
      <c r="M271" s="153"/>
      <c r="N271" s="153"/>
      <c r="O271" s="153"/>
      <c r="P271" s="153"/>
      <c r="Q271" s="153"/>
      <c r="R271" s="153"/>
      <c r="S271" s="153"/>
      <c r="T271" s="153"/>
      <c r="U271" s="154"/>
      <c r="V271" s="154"/>
      <c r="W271" s="153"/>
      <c r="X271" s="154"/>
      <c r="Y271" s="153"/>
      <c r="Z271" s="153"/>
      <c r="AA271" s="154"/>
      <c r="AB271" s="153"/>
      <c r="AC271" s="153"/>
      <c r="AD271" s="154"/>
      <c r="AE271" s="153"/>
      <c r="AF271" s="153"/>
      <c r="AG271" s="153"/>
      <c r="AH271" s="153"/>
      <c r="AI271" s="35"/>
      <c r="AJ271" s="35"/>
      <c r="AK271" s="35"/>
      <c r="AL271" s="35"/>
      <c r="AM271" s="35"/>
      <c r="AN271" s="35"/>
      <c r="AO271" s="35"/>
      <c r="AP271" s="35"/>
      <c r="AQ271" s="35"/>
      <c r="AR271" s="35"/>
      <c r="AS271" s="35"/>
      <c r="AT271" s="35"/>
      <c r="AU271" s="35"/>
      <c r="AV271" s="35"/>
      <c r="AW271" s="35"/>
      <c r="AX271" s="35"/>
      <c r="AY271" s="35"/>
      <c r="AZ271" s="35"/>
      <c r="BA271" s="35"/>
      <c r="BB271" s="35"/>
      <c r="BC271" s="304"/>
      <c r="BD271" s="35"/>
      <c r="BE271"/>
      <c r="BF271" s="50"/>
      <c r="BG271" s="46"/>
      <c r="BH271" s="143"/>
      <c r="BI271" s="13"/>
      <c r="BJ271" s="13"/>
      <c r="BK271" s="35"/>
      <c r="BL271" s="35"/>
      <c r="BM271" s="35"/>
      <c r="BN271" s="35"/>
      <c r="BO271" s="35"/>
      <c r="BP271" s="35"/>
      <c r="BQ271" s="35"/>
      <c r="BR271" s="47"/>
      <c r="BS271" s="3"/>
      <c r="BT271" s="3"/>
      <c r="BU271" s="3"/>
      <c r="BV271" s="3"/>
      <c r="BW271" s="3"/>
      <c r="BX271" s="3"/>
      <c r="BY271" s="3"/>
      <c r="BZ271" s="3"/>
      <c r="CA271" s="3"/>
      <c r="CB271" s="3"/>
    </row>
    <row r="272" spans="1:80" ht="12.5" x14ac:dyDescent="0.25">
      <c r="A272" s="48"/>
      <c r="B272" s="110" t="s">
        <v>150</v>
      </c>
      <c r="C272" s="35"/>
      <c r="D272" s="12"/>
      <c r="E272" s="158"/>
      <c r="F272" s="158"/>
      <c r="G272" s="158"/>
      <c r="H272" s="158"/>
      <c r="I272" s="158"/>
      <c r="J272" s="158"/>
      <c r="K272" s="158"/>
      <c r="L272" s="158"/>
      <c r="M272" s="158"/>
      <c r="N272" s="158"/>
      <c r="O272" s="158"/>
      <c r="P272" s="158"/>
      <c r="Q272" s="158"/>
      <c r="R272" s="158"/>
      <c r="S272" s="158"/>
      <c r="T272" s="158"/>
      <c r="U272" s="159"/>
      <c r="V272" s="159"/>
      <c r="W272" s="158"/>
      <c r="X272" s="159"/>
      <c r="Y272" s="158"/>
      <c r="Z272" s="158"/>
      <c r="AA272" s="159"/>
      <c r="AB272" s="158"/>
      <c r="AC272" s="158"/>
      <c r="AD272" s="159"/>
      <c r="AE272" s="158"/>
      <c r="AF272" s="158"/>
      <c r="AG272" s="158"/>
      <c r="AH272" s="158"/>
      <c r="AI272" s="35"/>
      <c r="AJ272" s="35"/>
      <c r="AK272" s="35"/>
      <c r="AL272" s="35"/>
      <c r="AM272" s="35"/>
      <c r="AN272" s="35"/>
      <c r="AO272" s="35"/>
      <c r="AP272" s="35"/>
      <c r="AQ272" s="35"/>
      <c r="AR272" s="35"/>
      <c r="AS272" s="35"/>
      <c r="AT272" s="35"/>
      <c r="AU272" s="35"/>
      <c r="AV272" s="35"/>
      <c r="AW272" s="35"/>
      <c r="AX272" s="35"/>
      <c r="AY272" s="110" t="s">
        <v>150</v>
      </c>
      <c r="AZ272" s="35"/>
      <c r="BA272" s="35"/>
      <c r="BB272" s="35"/>
      <c r="BC272" s="304"/>
      <c r="BD272" s="35"/>
      <c r="BE272"/>
      <c r="BF272" s="50"/>
      <c r="BG272" s="46"/>
      <c r="BH272" s="143"/>
      <c r="BI272" s="13"/>
      <c r="BJ272" s="13"/>
      <c r="BK272" s="35"/>
      <c r="BL272" s="35"/>
      <c r="BM272" s="35"/>
      <c r="BN272" s="35"/>
      <c r="BO272" s="35"/>
      <c r="BP272" s="35"/>
      <c r="BQ272" s="35"/>
      <c r="BR272" s="47"/>
      <c r="BS272" s="3"/>
      <c r="BT272" s="3"/>
      <c r="BU272" s="3"/>
      <c r="BV272" s="3"/>
      <c r="BW272" s="3"/>
      <c r="BX272" s="3"/>
      <c r="BY272" s="3"/>
      <c r="BZ272" s="3"/>
      <c r="CA272" s="3"/>
      <c r="CB272" s="3"/>
    </row>
    <row r="273" spans="1:80" ht="12.5" x14ac:dyDescent="0.25">
      <c r="A273" s="48"/>
      <c r="B273" s="101" t="s">
        <v>152</v>
      </c>
      <c r="C273" s="35"/>
      <c r="D273" s="12"/>
      <c r="E273" s="98">
        <f t="shared" ref="E273:AX273" si="141">E74/E200</f>
        <v>0</v>
      </c>
      <c r="F273" s="98">
        <f t="shared" si="141"/>
        <v>0</v>
      </c>
      <c r="G273" s="98">
        <f t="shared" si="141"/>
        <v>0</v>
      </c>
      <c r="H273" s="98">
        <f t="shared" si="141"/>
        <v>0</v>
      </c>
      <c r="I273" s="98">
        <f t="shared" si="141"/>
        <v>0</v>
      </c>
      <c r="J273" s="98">
        <f t="shared" si="141"/>
        <v>0</v>
      </c>
      <c r="K273" s="98">
        <f t="shared" si="141"/>
        <v>0</v>
      </c>
      <c r="L273" s="98">
        <f t="shared" si="141"/>
        <v>0</v>
      </c>
      <c r="M273" s="98">
        <f t="shared" si="141"/>
        <v>0</v>
      </c>
      <c r="N273" s="98">
        <f t="shared" si="141"/>
        <v>0</v>
      </c>
      <c r="O273" s="98">
        <f t="shared" si="141"/>
        <v>0</v>
      </c>
      <c r="P273" s="98">
        <f t="shared" si="141"/>
        <v>0</v>
      </c>
      <c r="Q273" s="98">
        <f t="shared" si="141"/>
        <v>0</v>
      </c>
      <c r="R273" s="98">
        <f t="shared" si="141"/>
        <v>0</v>
      </c>
      <c r="S273" s="98">
        <f t="shared" si="141"/>
        <v>0</v>
      </c>
      <c r="T273" s="98">
        <f t="shared" si="141"/>
        <v>0</v>
      </c>
      <c r="U273" s="98">
        <f t="shared" si="141"/>
        <v>0</v>
      </c>
      <c r="V273" s="98">
        <f t="shared" si="141"/>
        <v>0</v>
      </c>
      <c r="W273" s="98">
        <f t="shared" si="141"/>
        <v>0</v>
      </c>
      <c r="X273" s="98">
        <f t="shared" si="141"/>
        <v>0</v>
      </c>
      <c r="Y273" s="98">
        <f t="shared" si="141"/>
        <v>0</v>
      </c>
      <c r="Z273" s="98">
        <f t="shared" si="141"/>
        <v>0</v>
      </c>
      <c r="AA273" s="98">
        <f t="shared" si="141"/>
        <v>0</v>
      </c>
      <c r="AB273" s="98">
        <f t="shared" si="141"/>
        <v>0</v>
      </c>
      <c r="AC273" s="98">
        <f t="shared" si="141"/>
        <v>0</v>
      </c>
      <c r="AD273" s="98">
        <f t="shared" si="141"/>
        <v>0</v>
      </c>
      <c r="AE273" s="98">
        <f t="shared" si="141"/>
        <v>0</v>
      </c>
      <c r="AF273" s="98">
        <f t="shared" si="141"/>
        <v>0</v>
      </c>
      <c r="AG273" s="98">
        <f t="shared" si="141"/>
        <v>0</v>
      </c>
      <c r="AH273" s="98">
        <f t="shared" si="141"/>
        <v>0</v>
      </c>
      <c r="AI273" s="115">
        <f t="shared" si="141"/>
        <v>5.3823998299500477</v>
      </c>
      <c r="AJ273" s="115">
        <f t="shared" si="141"/>
        <v>0</v>
      </c>
      <c r="AK273" s="115">
        <f t="shared" si="141"/>
        <v>0</v>
      </c>
      <c r="AL273" s="115">
        <f t="shared" si="141"/>
        <v>0</v>
      </c>
      <c r="AM273" s="115">
        <f t="shared" si="141"/>
        <v>195.05707282197938</v>
      </c>
      <c r="AN273" s="115">
        <f t="shared" si="141"/>
        <v>0</v>
      </c>
      <c r="AO273" s="115">
        <f t="shared" si="141"/>
        <v>0</v>
      </c>
      <c r="AP273" s="115">
        <f t="shared" si="141"/>
        <v>21.818534315626209</v>
      </c>
      <c r="AQ273" s="115">
        <f t="shared" si="141"/>
        <v>18.452739197530864</v>
      </c>
      <c r="AR273" s="115">
        <f t="shared" si="141"/>
        <v>18.321968971461406</v>
      </c>
      <c r="AS273" s="115">
        <f t="shared" si="141"/>
        <v>-0.10594991527019393</v>
      </c>
      <c r="AT273" s="115">
        <f t="shared" si="141"/>
        <v>32.029897761812649</v>
      </c>
      <c r="AU273" s="115">
        <f t="shared" si="141"/>
        <v>12.533882651213329</v>
      </c>
      <c r="AV273" s="115">
        <f t="shared" si="141"/>
        <v>34</v>
      </c>
      <c r="AW273" s="115">
        <f t="shared" si="141"/>
        <v>33.385917459209494</v>
      </c>
      <c r="AX273" s="115">
        <f t="shared" si="141"/>
        <v>177.30422125181951</v>
      </c>
      <c r="AY273" s="101" t="str">
        <f>AY74</f>
        <v>Title 17 - Innovative technology loan guarantee program - renewable, adv. fossil, hydrogen fuel cells, adv. nuclear, CCS, efficiency, pollution control, refineries; FY22 on incl. Loan Guarantee Credit Subsidy</v>
      </c>
      <c r="AZ273" s="35"/>
      <c r="BA273" s="35"/>
      <c r="BB273" s="35"/>
      <c r="BC273" s="304"/>
      <c r="BD273" s="35"/>
      <c r="BE273"/>
      <c r="BF273" s="50"/>
      <c r="BG273" s="46"/>
      <c r="BH273" s="143"/>
      <c r="BI273" s="13"/>
      <c r="BJ273" s="13"/>
      <c r="BK273" s="35"/>
      <c r="BL273" s="35"/>
      <c r="BM273" s="35"/>
      <c r="BN273" s="35"/>
      <c r="BO273" s="35"/>
      <c r="BP273" s="35"/>
      <c r="BQ273" s="35"/>
      <c r="BR273" s="47"/>
      <c r="BS273" s="3"/>
      <c r="BT273" s="3"/>
      <c r="BU273" s="3"/>
      <c r="BV273" s="3"/>
      <c r="BW273" s="3"/>
      <c r="BX273" s="3"/>
      <c r="BY273" s="3"/>
      <c r="BZ273" s="3"/>
      <c r="CA273" s="3"/>
      <c r="CB273" s="3"/>
    </row>
    <row r="274" spans="1:80" ht="12.5" x14ac:dyDescent="0.25">
      <c r="A274" s="48"/>
      <c r="B274" s="101"/>
      <c r="C274" s="35"/>
      <c r="D274" s="12"/>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c r="AG274" s="98"/>
      <c r="AH274" s="98"/>
      <c r="AI274" s="115"/>
      <c r="AJ274" s="115"/>
      <c r="AK274" s="115"/>
      <c r="AL274" s="115"/>
      <c r="AM274" s="115"/>
      <c r="AN274" s="115"/>
      <c r="AO274" s="115"/>
      <c r="AP274" s="115"/>
      <c r="AQ274" s="115"/>
      <c r="AR274" s="115"/>
      <c r="AS274" s="115"/>
      <c r="AT274" s="115"/>
      <c r="AU274" s="115"/>
      <c r="AV274" s="115">
        <f t="shared" ref="AV274:AW274" si="142">AV75/AV200</f>
        <v>0</v>
      </c>
      <c r="AW274" s="115">
        <f t="shared" si="142"/>
        <v>-2258.4591222406425</v>
      </c>
      <c r="AX274" s="115">
        <f>AX75/AX200</f>
        <v>0</v>
      </c>
      <c r="AY274" s="101" t="str">
        <f>AY75</f>
        <v xml:space="preserve">       Rescision of Emergency Funding (for Title 17 and Advanced Technology Vehicle Manufacturing Loan Program)</v>
      </c>
      <c r="AZ274" s="35"/>
      <c r="BA274" s="35"/>
      <c r="BB274" s="35"/>
      <c r="BC274" s="304"/>
      <c r="BD274" s="35"/>
      <c r="BE274"/>
      <c r="BF274" s="50"/>
      <c r="BG274" s="46"/>
      <c r="BH274" s="143"/>
      <c r="BI274" s="13"/>
      <c r="BJ274" s="13"/>
      <c r="BK274" s="35"/>
      <c r="BL274" s="35"/>
      <c r="BM274" s="35"/>
      <c r="BN274" s="35"/>
      <c r="BO274" s="35"/>
      <c r="BP274" s="35"/>
      <c r="BQ274" s="35"/>
      <c r="BR274" s="47"/>
      <c r="BS274" s="3"/>
      <c r="BT274" s="3"/>
      <c r="BU274" s="3"/>
      <c r="BV274" s="3"/>
      <c r="BW274" s="3"/>
      <c r="BX274" s="3"/>
      <c r="BY274" s="3"/>
      <c r="BZ274" s="3"/>
      <c r="CA274" s="3"/>
      <c r="CB274" s="3"/>
    </row>
    <row r="275" spans="1:80" ht="12.5" x14ac:dyDescent="0.25">
      <c r="A275" s="48"/>
      <c r="B275" s="101" t="s">
        <v>153</v>
      </c>
      <c r="C275" s="35"/>
      <c r="D275" s="12"/>
      <c r="E275" s="98">
        <f t="shared" ref="E275:AX275" si="143">E76/E200</f>
        <v>0</v>
      </c>
      <c r="F275" s="98">
        <f t="shared" si="143"/>
        <v>0</v>
      </c>
      <c r="G275" s="98">
        <f t="shared" si="143"/>
        <v>0</v>
      </c>
      <c r="H275" s="98">
        <f t="shared" si="143"/>
        <v>0</v>
      </c>
      <c r="I275" s="98">
        <f t="shared" si="143"/>
        <v>0</v>
      </c>
      <c r="J275" s="98">
        <f t="shared" si="143"/>
        <v>0</v>
      </c>
      <c r="K275" s="98">
        <f t="shared" si="143"/>
        <v>0</v>
      </c>
      <c r="L275" s="98">
        <f t="shared" si="143"/>
        <v>0</v>
      </c>
      <c r="M275" s="98">
        <f t="shared" si="143"/>
        <v>0</v>
      </c>
      <c r="N275" s="98">
        <f t="shared" si="143"/>
        <v>0</v>
      </c>
      <c r="O275" s="98">
        <f t="shared" si="143"/>
        <v>0</v>
      </c>
      <c r="P275" s="98">
        <f t="shared" si="143"/>
        <v>0</v>
      </c>
      <c r="Q275" s="98">
        <f t="shared" si="143"/>
        <v>0</v>
      </c>
      <c r="R275" s="98">
        <f t="shared" si="143"/>
        <v>0</v>
      </c>
      <c r="S275" s="98">
        <f t="shared" si="143"/>
        <v>0</v>
      </c>
      <c r="T275" s="98">
        <f t="shared" si="143"/>
        <v>0</v>
      </c>
      <c r="U275" s="98">
        <f t="shared" si="143"/>
        <v>0</v>
      </c>
      <c r="V275" s="98">
        <f t="shared" si="143"/>
        <v>0</v>
      </c>
      <c r="W275" s="98">
        <f t="shared" si="143"/>
        <v>0</v>
      </c>
      <c r="X275" s="98">
        <f t="shared" si="143"/>
        <v>0</v>
      </c>
      <c r="Y275" s="98">
        <f t="shared" si="143"/>
        <v>0</v>
      </c>
      <c r="Z275" s="98">
        <f t="shared" si="143"/>
        <v>0</v>
      </c>
      <c r="AA275" s="98">
        <f t="shared" si="143"/>
        <v>0</v>
      </c>
      <c r="AB275" s="98">
        <f t="shared" si="143"/>
        <v>0</v>
      </c>
      <c r="AC275" s="98">
        <f t="shared" si="143"/>
        <v>0</v>
      </c>
      <c r="AD275" s="98">
        <f t="shared" si="143"/>
        <v>0</v>
      </c>
      <c r="AE275" s="98">
        <f t="shared" si="143"/>
        <v>0</v>
      </c>
      <c r="AF275" s="98">
        <f t="shared" si="143"/>
        <v>0</v>
      </c>
      <c r="AG275" s="98">
        <f t="shared" si="143"/>
        <v>0</v>
      </c>
      <c r="AH275" s="98">
        <f t="shared" si="143"/>
        <v>0</v>
      </c>
      <c r="AI275" s="115">
        <f t="shared" si="143"/>
        <v>0</v>
      </c>
      <c r="AJ275" s="115">
        <f t="shared" si="143"/>
        <v>0</v>
      </c>
      <c r="AK275" s="115">
        <f t="shared" si="143"/>
        <v>4733.9961759082216</v>
      </c>
      <c r="AL275" s="115">
        <f t="shared" si="143"/>
        <v>0</v>
      </c>
      <c r="AM275" s="115">
        <f t="shared" si="143"/>
        <v>0</v>
      </c>
      <c r="AN275" s="115">
        <f t="shared" si="143"/>
        <v>0</v>
      </c>
      <c r="AO275" s="115">
        <f t="shared" si="143"/>
        <v>0</v>
      </c>
      <c r="AP275" s="115">
        <f t="shared" si="143"/>
        <v>0</v>
      </c>
      <c r="AQ275" s="115">
        <f t="shared" si="143"/>
        <v>0</v>
      </c>
      <c r="AR275" s="115">
        <f t="shared" si="143"/>
        <v>0</v>
      </c>
      <c r="AS275" s="115">
        <f t="shared" si="143"/>
        <v>0</v>
      </c>
      <c r="AT275" s="115">
        <f t="shared" si="143"/>
        <v>0</v>
      </c>
      <c r="AU275" s="115">
        <f t="shared" si="143"/>
        <v>0</v>
      </c>
      <c r="AV275" s="115">
        <f t="shared" si="143"/>
        <v>0</v>
      </c>
      <c r="AW275" s="115">
        <f t="shared" si="143"/>
        <v>0</v>
      </c>
      <c r="AX275" s="115">
        <f t="shared" si="143"/>
        <v>0</v>
      </c>
      <c r="AY275" s="101" t="s">
        <v>153</v>
      </c>
      <c r="AZ275" s="35"/>
      <c r="BA275" s="35"/>
      <c r="BB275" s="35"/>
      <c r="BC275" s="304"/>
      <c r="BD275" s="35"/>
      <c r="BE275"/>
      <c r="BF275" s="50"/>
      <c r="BG275" s="46"/>
      <c r="BH275" s="143"/>
      <c r="BI275" s="13"/>
      <c r="BJ275" s="13"/>
      <c r="BK275" s="35"/>
      <c r="BL275" s="35"/>
      <c r="BM275" s="35"/>
      <c r="BN275" s="35"/>
      <c r="BO275" s="35"/>
      <c r="BP275" s="35"/>
      <c r="BQ275" s="35"/>
      <c r="BR275" s="47"/>
      <c r="BS275" s="3"/>
      <c r="BT275" s="3"/>
      <c r="BU275" s="3"/>
      <c r="BV275" s="3"/>
      <c r="BW275" s="3"/>
      <c r="BX275" s="3"/>
      <c r="BY275" s="3"/>
      <c r="BZ275" s="3"/>
      <c r="CA275" s="3"/>
      <c r="CB275" s="3"/>
    </row>
    <row r="276" spans="1:80" ht="12.5" x14ac:dyDescent="0.25">
      <c r="A276" s="48"/>
      <c r="B276" s="101" t="str">
        <f>AY276</f>
        <v>Home Energy Retrofit Rebate Program (HomeStar)</v>
      </c>
      <c r="C276" s="35"/>
      <c r="D276" s="12"/>
      <c r="E276" s="98"/>
      <c r="F276" s="98"/>
      <c r="G276" s="98"/>
      <c r="H276" s="98"/>
      <c r="I276" s="98"/>
      <c r="J276" s="98"/>
      <c r="K276" s="98"/>
      <c r="L276" s="98"/>
      <c r="M276" s="98"/>
      <c r="N276" s="98"/>
      <c r="O276" s="98"/>
      <c r="P276" s="98"/>
      <c r="Q276" s="98"/>
      <c r="R276" s="98"/>
      <c r="S276" s="98"/>
      <c r="T276" s="98"/>
      <c r="U276" s="98"/>
      <c r="V276" s="98"/>
      <c r="W276" s="98"/>
      <c r="X276" s="98"/>
      <c r="Y276" s="98"/>
      <c r="Z276" s="98"/>
      <c r="AA276" s="99"/>
      <c r="AB276" s="98"/>
      <c r="AC276" s="98"/>
      <c r="AD276" s="98"/>
      <c r="AE276" s="98"/>
      <c r="AF276" s="98"/>
      <c r="AG276" s="98"/>
      <c r="AH276" s="98"/>
      <c r="AI276" s="115"/>
      <c r="AJ276" s="115"/>
      <c r="AK276" s="115">
        <f t="shared" ref="AK276:AS276" si="144">AK77/AK200</f>
        <v>0</v>
      </c>
      <c r="AL276" s="115">
        <f t="shared" si="144"/>
        <v>0</v>
      </c>
      <c r="AM276" s="115">
        <f t="shared" si="144"/>
        <v>0</v>
      </c>
      <c r="AN276" s="115">
        <f t="shared" si="144"/>
        <v>0</v>
      </c>
      <c r="AO276" s="115">
        <f t="shared" si="144"/>
        <v>0</v>
      </c>
      <c r="AP276" s="115">
        <f t="shared" si="144"/>
        <v>0</v>
      </c>
      <c r="AQ276" s="115">
        <f t="shared" si="144"/>
        <v>0</v>
      </c>
      <c r="AR276" s="115">
        <f t="shared" si="144"/>
        <v>0</v>
      </c>
      <c r="AS276" s="115">
        <f t="shared" si="144"/>
        <v>0</v>
      </c>
      <c r="AT276" s="115">
        <f t="shared" ref="AT276:AX276" si="145">AT77/AT200</f>
        <v>0</v>
      </c>
      <c r="AU276" s="115">
        <f t="shared" si="145"/>
        <v>0</v>
      </c>
      <c r="AV276" s="115">
        <f t="shared" si="145"/>
        <v>0</v>
      </c>
      <c r="AW276" s="115">
        <f t="shared" si="145"/>
        <v>0</v>
      </c>
      <c r="AX276" s="115">
        <f t="shared" si="145"/>
        <v>0</v>
      </c>
      <c r="AY276" s="101" t="str">
        <f>AY77</f>
        <v>Home Energy Retrofit Rebate Program (HomeStar)</v>
      </c>
      <c r="AZ276" s="35"/>
      <c r="BA276" s="35"/>
      <c r="BB276" s="35"/>
      <c r="BC276" s="304"/>
      <c r="BD276" s="35"/>
      <c r="BE276"/>
      <c r="BF276" s="50"/>
      <c r="BG276" s="46"/>
      <c r="BH276" s="143"/>
      <c r="BI276" s="13"/>
      <c r="BJ276" s="13"/>
      <c r="BK276" s="35"/>
      <c r="BL276" s="35"/>
      <c r="BM276" s="35"/>
      <c r="BN276" s="35"/>
      <c r="BO276" s="35"/>
      <c r="BP276" s="35"/>
      <c r="BQ276" s="35"/>
      <c r="BR276" s="47"/>
      <c r="BS276" s="3"/>
      <c r="BT276" s="3"/>
      <c r="BU276" s="3"/>
      <c r="BV276" s="3"/>
      <c r="BW276" s="3"/>
      <c r="BX276" s="3"/>
      <c r="BY276" s="3"/>
      <c r="BZ276" s="3"/>
      <c r="CA276" s="3"/>
      <c r="CB276" s="3"/>
    </row>
    <row r="277" spans="1:80" ht="12.5" x14ac:dyDescent="0.25">
      <c r="A277" s="48"/>
      <c r="B277" s="101" t="str">
        <f>AY277</f>
        <v>Advanced Vehicles Community Development Challenge</v>
      </c>
      <c r="C277" s="35"/>
      <c r="D277" s="12"/>
      <c r="E277" s="98"/>
      <c r="F277" s="98"/>
      <c r="G277" s="98"/>
      <c r="H277" s="98"/>
      <c r="I277" s="98"/>
      <c r="J277" s="98"/>
      <c r="K277" s="98"/>
      <c r="L277" s="98"/>
      <c r="M277" s="98"/>
      <c r="N277" s="98"/>
      <c r="O277" s="98"/>
      <c r="P277" s="98"/>
      <c r="Q277" s="98"/>
      <c r="R277" s="98"/>
      <c r="S277" s="98"/>
      <c r="T277" s="98"/>
      <c r="U277" s="98"/>
      <c r="V277" s="98"/>
      <c r="W277" s="98"/>
      <c r="X277" s="98"/>
      <c r="Y277" s="98"/>
      <c r="Z277" s="98"/>
      <c r="AA277" s="99"/>
      <c r="AB277" s="98"/>
      <c r="AC277" s="98"/>
      <c r="AD277" s="98"/>
      <c r="AE277" s="98"/>
      <c r="AF277" s="98"/>
      <c r="AG277" s="98"/>
      <c r="AH277" s="98"/>
      <c r="AI277" s="115"/>
      <c r="AJ277" s="115"/>
      <c r="AK277" s="115"/>
      <c r="AL277" s="115"/>
      <c r="AM277" s="115"/>
      <c r="AN277" s="115"/>
      <c r="AO277" s="115">
        <f>AO79/AO200</f>
        <v>0</v>
      </c>
      <c r="AP277" s="115">
        <f>AP79/AP200</f>
        <v>0</v>
      </c>
      <c r="AQ277" s="115">
        <f>AQ79/AQ200</f>
        <v>0</v>
      </c>
      <c r="AR277" s="115">
        <f>AR79/AR200</f>
        <v>0</v>
      </c>
      <c r="AS277" s="115">
        <f>AS79/AS200</f>
        <v>0</v>
      </c>
      <c r="AT277" s="115">
        <f t="shared" ref="AT277:AX277" si="146">AT79/AT200</f>
        <v>0</v>
      </c>
      <c r="AU277" s="115">
        <f t="shared" si="146"/>
        <v>0</v>
      </c>
      <c r="AV277" s="115">
        <f t="shared" si="146"/>
        <v>0</v>
      </c>
      <c r="AW277" s="115">
        <f t="shared" si="146"/>
        <v>0</v>
      </c>
      <c r="AX277" s="115">
        <f t="shared" si="146"/>
        <v>0</v>
      </c>
      <c r="AY277" s="101" t="str">
        <f>AY79</f>
        <v>Advanced Vehicles Community Development Challenge</v>
      </c>
      <c r="AZ277" s="35"/>
      <c r="BA277" s="35"/>
      <c r="BB277" s="35"/>
      <c r="BC277" s="304"/>
      <c r="BD277" s="35"/>
      <c r="BE277"/>
      <c r="BF277" s="50"/>
      <c r="BG277" s="46"/>
      <c r="BH277" s="143"/>
      <c r="BI277" s="13"/>
      <c r="BJ277" s="13"/>
      <c r="BK277" s="35"/>
      <c r="BL277" s="35"/>
      <c r="BM277" s="35"/>
      <c r="BN277" s="35"/>
      <c r="BO277" s="35"/>
      <c r="BP277" s="35"/>
      <c r="BQ277" s="35"/>
      <c r="BR277" s="47"/>
      <c r="BS277" s="3"/>
      <c r="BT277" s="3"/>
      <c r="BU277" s="3"/>
      <c r="BV277" s="3"/>
      <c r="BW277" s="3"/>
      <c r="BX277" s="3"/>
      <c r="BY277" s="3"/>
      <c r="BZ277" s="3"/>
      <c r="CA277" s="3"/>
      <c r="CB277" s="3"/>
    </row>
    <row r="278" spans="1:80" ht="12.5" x14ac:dyDescent="0.25">
      <c r="A278" s="48"/>
      <c r="B278" s="106" t="s">
        <v>151</v>
      </c>
      <c r="C278" s="35"/>
      <c r="D278" s="12"/>
      <c r="E278" s="98">
        <f t="shared" ref="E278:AX278" si="147">E80/E200</f>
        <v>0</v>
      </c>
      <c r="F278" s="98">
        <f t="shared" si="147"/>
        <v>0</v>
      </c>
      <c r="G278" s="98">
        <f t="shared" si="147"/>
        <v>0</v>
      </c>
      <c r="H278" s="98">
        <f t="shared" si="147"/>
        <v>0</v>
      </c>
      <c r="I278" s="98">
        <f t="shared" si="147"/>
        <v>0</v>
      </c>
      <c r="J278" s="98">
        <f t="shared" si="147"/>
        <v>0</v>
      </c>
      <c r="K278" s="98">
        <f t="shared" si="147"/>
        <v>0</v>
      </c>
      <c r="L278" s="98">
        <f t="shared" si="147"/>
        <v>0</v>
      </c>
      <c r="M278" s="98">
        <f t="shared" si="147"/>
        <v>0</v>
      </c>
      <c r="N278" s="98">
        <f t="shared" si="147"/>
        <v>0</v>
      </c>
      <c r="O278" s="98">
        <f t="shared" si="147"/>
        <v>0</v>
      </c>
      <c r="P278" s="98">
        <f t="shared" si="147"/>
        <v>0</v>
      </c>
      <c r="Q278" s="98">
        <f t="shared" si="147"/>
        <v>0</v>
      </c>
      <c r="R278" s="98">
        <f t="shared" si="147"/>
        <v>0</v>
      </c>
      <c r="S278" s="98">
        <f t="shared" si="147"/>
        <v>0</v>
      </c>
      <c r="T278" s="98">
        <f t="shared" si="147"/>
        <v>0</v>
      </c>
      <c r="U278" s="98">
        <f t="shared" si="147"/>
        <v>0</v>
      </c>
      <c r="V278" s="98">
        <f t="shared" si="147"/>
        <v>0</v>
      </c>
      <c r="W278" s="98">
        <f t="shared" si="147"/>
        <v>0</v>
      </c>
      <c r="X278" s="98">
        <f t="shared" si="147"/>
        <v>0</v>
      </c>
      <c r="Y278" s="98">
        <f t="shared" si="147"/>
        <v>0</v>
      </c>
      <c r="Z278" s="98">
        <f t="shared" si="147"/>
        <v>0</v>
      </c>
      <c r="AA278" s="98">
        <f t="shared" si="147"/>
        <v>0</v>
      </c>
      <c r="AB278" s="98">
        <f t="shared" si="147"/>
        <v>0</v>
      </c>
      <c r="AC278" s="98">
        <f t="shared" si="147"/>
        <v>0</v>
      </c>
      <c r="AD278" s="98">
        <f t="shared" si="147"/>
        <v>0</v>
      </c>
      <c r="AE278" s="98">
        <f t="shared" si="147"/>
        <v>0</v>
      </c>
      <c r="AF278" s="98">
        <f t="shared" si="147"/>
        <v>0</v>
      </c>
      <c r="AG278" s="98">
        <f t="shared" si="147"/>
        <v>0</v>
      </c>
      <c r="AH278" s="98">
        <f t="shared" si="147"/>
        <v>0</v>
      </c>
      <c r="AI278" s="115">
        <f t="shared" si="147"/>
        <v>5.3823998299500477</v>
      </c>
      <c r="AJ278" s="115">
        <f t="shared" si="147"/>
        <v>0</v>
      </c>
      <c r="AK278" s="115">
        <f t="shared" si="147"/>
        <v>4733.9961759082216</v>
      </c>
      <c r="AL278" s="115">
        <f t="shared" si="147"/>
        <v>0</v>
      </c>
      <c r="AM278" s="115">
        <f t="shared" si="147"/>
        <v>195.05707282197938</v>
      </c>
      <c r="AN278" s="115">
        <f t="shared" si="147"/>
        <v>0</v>
      </c>
      <c r="AO278" s="115">
        <f t="shared" si="147"/>
        <v>0</v>
      </c>
      <c r="AP278" s="115">
        <f t="shared" si="147"/>
        <v>21.818534315626209</v>
      </c>
      <c r="AQ278" s="115">
        <f t="shared" si="147"/>
        <v>18.452739197530864</v>
      </c>
      <c r="AR278" s="115">
        <f t="shared" si="147"/>
        <v>18.321968971461406</v>
      </c>
      <c r="AS278" s="115">
        <f t="shared" si="147"/>
        <v>-0.10594991527019393</v>
      </c>
      <c r="AT278" s="115">
        <f t="shared" si="147"/>
        <v>32.029897761812649</v>
      </c>
      <c r="AU278" s="115">
        <f t="shared" si="147"/>
        <v>12.533882651213329</v>
      </c>
      <c r="AV278" s="115">
        <f t="shared" si="147"/>
        <v>34</v>
      </c>
      <c r="AW278" s="115">
        <f t="shared" si="147"/>
        <v>-2225.0732047814327</v>
      </c>
      <c r="AX278" s="115">
        <f t="shared" si="147"/>
        <v>177.30422125181951</v>
      </c>
      <c r="AY278" s="106" t="s">
        <v>151</v>
      </c>
      <c r="AZ278" s="35"/>
      <c r="BA278" s="35"/>
      <c r="BB278" s="35"/>
      <c r="BC278" s="304"/>
      <c r="BD278" s="35"/>
      <c r="BE278"/>
      <c r="BF278" s="50"/>
      <c r="BG278" s="46"/>
      <c r="BH278" s="143"/>
      <c r="BI278" s="13"/>
      <c r="BJ278" s="13"/>
      <c r="BK278" s="35"/>
      <c r="BL278" s="35"/>
      <c r="BM278" s="35"/>
      <c r="BN278" s="35"/>
      <c r="BO278" s="35"/>
      <c r="BP278" s="35"/>
      <c r="BQ278" s="35"/>
      <c r="BR278" s="47"/>
      <c r="BS278" s="3"/>
      <c r="BT278" s="3"/>
      <c r="BU278" s="3"/>
      <c r="BV278" s="3"/>
      <c r="BW278" s="3"/>
      <c r="BX278" s="3"/>
      <c r="BY278" s="3"/>
      <c r="BZ278" s="3"/>
      <c r="CA278" s="3"/>
      <c r="CB278" s="3"/>
    </row>
    <row r="279" spans="1:80" ht="12.5" x14ac:dyDescent="0.25">
      <c r="A279" s="48"/>
      <c r="B279" s="35"/>
      <c r="C279" s="35"/>
      <c r="D279" s="12"/>
      <c r="E279" s="153"/>
      <c r="F279" s="153"/>
      <c r="G279" s="153"/>
      <c r="H279" s="153"/>
      <c r="I279" s="153"/>
      <c r="J279" s="153"/>
      <c r="K279" s="153"/>
      <c r="L279" s="153"/>
      <c r="M279" s="153"/>
      <c r="N279" s="153"/>
      <c r="O279" s="153"/>
      <c r="P279" s="153"/>
      <c r="Q279" s="153"/>
      <c r="R279" s="153"/>
      <c r="S279" s="153"/>
      <c r="T279" s="153"/>
      <c r="U279" s="154"/>
      <c r="V279" s="154"/>
      <c r="W279" s="153"/>
      <c r="X279" s="154"/>
      <c r="Y279" s="153"/>
      <c r="Z279" s="153"/>
      <c r="AA279" s="154"/>
      <c r="AB279" s="153"/>
      <c r="AC279" s="153"/>
      <c r="AD279" s="154"/>
      <c r="AE279" s="153"/>
      <c r="AF279" s="153"/>
      <c r="AG279" s="153"/>
      <c r="AH279" s="153"/>
      <c r="AI279" s="156"/>
      <c r="AJ279" s="156"/>
      <c r="AK279" s="153"/>
      <c r="AL279" s="153"/>
      <c r="AM279" s="153"/>
      <c r="AN279" s="153"/>
      <c r="AO279" s="12"/>
      <c r="AP279" s="12"/>
      <c r="AQ279" s="12"/>
      <c r="AR279" s="12"/>
      <c r="AS279" s="12"/>
      <c r="AT279" s="12"/>
      <c r="AU279" s="12"/>
      <c r="AV279" s="12"/>
      <c r="AW279" s="12"/>
      <c r="AX279" s="12"/>
      <c r="AY279" s="35"/>
      <c r="AZ279" s="35"/>
      <c r="BA279" s="35"/>
      <c r="BB279" s="35"/>
      <c r="BC279" s="304"/>
      <c r="BD279" s="35"/>
      <c r="BE279"/>
      <c r="BF279" s="50"/>
      <c r="BG279" s="46"/>
      <c r="BH279" s="143"/>
      <c r="BI279" s="13"/>
      <c r="BJ279" s="13"/>
      <c r="BK279" s="35"/>
      <c r="BL279" s="35"/>
      <c r="BM279" s="35"/>
      <c r="BN279" s="35"/>
      <c r="BO279" s="35"/>
      <c r="BP279" s="35"/>
      <c r="BQ279" s="35"/>
      <c r="BR279" s="47"/>
      <c r="BS279" s="3"/>
      <c r="BT279" s="3"/>
      <c r="BU279" s="3"/>
      <c r="BV279" s="3"/>
      <c r="BW279" s="3"/>
      <c r="BX279" s="3"/>
      <c r="BY279" s="3"/>
      <c r="BZ279" s="3"/>
      <c r="CA279" s="3"/>
      <c r="CB279" s="3"/>
    </row>
    <row r="280" spans="1:80" ht="12.5" x14ac:dyDescent="0.25">
      <c r="A280" s="48"/>
      <c r="B280" s="35"/>
      <c r="C280" s="35"/>
      <c r="D280" s="12"/>
      <c r="E280" s="12"/>
      <c r="F280" s="12"/>
      <c r="G280" s="12"/>
      <c r="H280" s="12"/>
      <c r="I280" s="12"/>
      <c r="J280" s="12"/>
      <c r="K280" s="12"/>
      <c r="L280" s="12"/>
      <c r="M280" s="12"/>
      <c r="N280" s="12"/>
      <c r="O280" s="12"/>
      <c r="P280" s="12"/>
      <c r="Q280" s="12"/>
      <c r="R280" s="12"/>
      <c r="S280" s="12"/>
      <c r="T280" s="12"/>
      <c r="U280" s="43"/>
      <c r="V280" s="43"/>
      <c r="W280" s="12"/>
      <c r="X280" s="43"/>
      <c r="Y280" s="12"/>
      <c r="Z280" s="12"/>
      <c r="AA280" s="43"/>
      <c r="AB280" s="12"/>
      <c r="AC280" s="12"/>
      <c r="AD280" s="43"/>
      <c r="AE280" s="12"/>
      <c r="AF280" s="12"/>
      <c r="AG280" s="12"/>
      <c r="AH280" s="12"/>
      <c r="AI280" s="12"/>
      <c r="AJ280" s="12"/>
      <c r="AK280" s="12"/>
      <c r="AL280" s="12"/>
      <c r="AM280" s="12"/>
      <c r="AN280" s="12"/>
      <c r="AO280" s="12"/>
      <c r="AP280" s="12"/>
      <c r="AQ280" s="12"/>
      <c r="AR280" s="12"/>
      <c r="AS280" s="12"/>
      <c r="AT280" s="12"/>
      <c r="AU280" s="12"/>
      <c r="AV280" s="12"/>
      <c r="AW280" s="12"/>
      <c r="AX280" s="12"/>
      <c r="AY280" s="35"/>
      <c r="AZ280" s="35"/>
      <c r="BA280" s="35"/>
      <c r="BB280" s="35"/>
      <c r="BC280" s="304"/>
      <c r="BD280" s="35"/>
      <c r="BE280"/>
      <c r="BF280" s="50"/>
      <c r="BG280" s="43"/>
      <c r="BH280" s="13"/>
      <c r="BI280" s="13"/>
      <c r="BJ280" s="13"/>
      <c r="BK280" s="35"/>
      <c r="BL280" s="12"/>
      <c r="BM280" s="12"/>
      <c r="BN280" s="12"/>
      <c r="BO280" s="12"/>
      <c r="BP280" s="35"/>
      <c r="BQ280" s="35"/>
      <c r="BR280" s="47"/>
      <c r="BS280" s="3"/>
      <c r="BT280" s="3"/>
      <c r="BU280" s="3"/>
      <c r="BV280" s="3"/>
      <c r="BW280" s="3"/>
      <c r="BX280" s="3"/>
      <c r="BY280" s="3"/>
      <c r="BZ280" s="3"/>
      <c r="CA280" s="3"/>
      <c r="CB280" s="3"/>
    </row>
    <row r="281" spans="1:80" ht="12.5" x14ac:dyDescent="0.25">
      <c r="A281" s="51" t="s">
        <v>400</v>
      </c>
      <c r="B281" s="35"/>
      <c r="C281" s="35"/>
      <c r="D281" s="12"/>
      <c r="E281" s="158"/>
      <c r="F281" s="158"/>
      <c r="G281" s="158"/>
      <c r="H281" s="158"/>
      <c r="I281" s="158"/>
      <c r="J281" s="158"/>
      <c r="K281" s="158"/>
      <c r="L281" s="158"/>
      <c r="M281" s="158"/>
      <c r="N281" s="158"/>
      <c r="O281" s="158"/>
      <c r="P281" s="158"/>
      <c r="Q281" s="158"/>
      <c r="R281" s="158"/>
      <c r="S281" s="164"/>
      <c r="T281" s="164"/>
      <c r="U281" s="165"/>
      <c r="V281" s="165"/>
      <c r="W281" s="164"/>
      <c r="X281" s="165"/>
      <c r="Y281" s="164"/>
      <c r="Z281" s="164"/>
      <c r="AA281" s="165"/>
      <c r="AB281" s="164"/>
      <c r="AC281" s="164"/>
      <c r="AD281" s="166"/>
      <c r="AE281" s="164"/>
      <c r="AF281" s="164"/>
      <c r="AG281" s="164"/>
      <c r="AH281" s="164"/>
      <c r="AI281" s="164"/>
      <c r="AJ281" s="164"/>
      <c r="AK281" s="164"/>
      <c r="AL281" s="164"/>
      <c r="AM281" s="164"/>
      <c r="AN281" s="164"/>
      <c r="AO281" s="222"/>
      <c r="AP281" s="222"/>
      <c r="AQ281" s="222"/>
      <c r="AR281" s="222"/>
      <c r="AS281" s="222"/>
      <c r="AT281" s="222"/>
      <c r="AU281" s="222"/>
      <c r="AV281" s="222"/>
      <c r="AW281" s="222"/>
      <c r="AX281" s="222"/>
      <c r="AY281" s="44" t="s">
        <v>464</v>
      </c>
      <c r="AZ281" s="35"/>
      <c r="BA281" s="35"/>
      <c r="BB281" s="35"/>
      <c r="BC281" s="304"/>
      <c r="BD281" s="35"/>
      <c r="BE281"/>
      <c r="BF281" s="50"/>
      <c r="BG281" s="43"/>
      <c r="BH281" s="13"/>
      <c r="BI281" s="13"/>
      <c r="BJ281" s="13"/>
      <c r="BK281" s="35"/>
      <c r="BL281" s="12"/>
      <c r="BM281" s="12"/>
      <c r="BN281" s="12"/>
      <c r="BO281" s="12"/>
      <c r="BP281" s="35"/>
      <c r="BQ281" s="35"/>
      <c r="BR281" s="47"/>
      <c r="BS281" s="3"/>
      <c r="BT281" s="3"/>
      <c r="BU281" s="3"/>
      <c r="BV281" s="3"/>
      <c r="BW281" s="3"/>
      <c r="BX281" s="3"/>
      <c r="BY281" s="3"/>
      <c r="BZ281" s="3"/>
      <c r="CA281" s="3"/>
      <c r="CB281" s="3"/>
    </row>
    <row r="282" spans="1:80" ht="12.5" x14ac:dyDescent="0.25">
      <c r="A282" s="48"/>
      <c r="B282" s="35" t="s">
        <v>9</v>
      </c>
      <c r="C282" s="35"/>
      <c r="D282" s="12"/>
      <c r="E282" s="67"/>
      <c r="F282" s="67"/>
      <c r="G282" s="67"/>
      <c r="H282" s="67"/>
      <c r="I282" s="67"/>
      <c r="J282" s="67"/>
      <c r="K282" s="67"/>
      <c r="L282" s="67"/>
      <c r="M282" s="67"/>
      <c r="N282" s="67"/>
      <c r="O282" s="67"/>
      <c r="P282" s="67"/>
      <c r="Q282" s="67"/>
      <c r="R282" s="67"/>
      <c r="S282" s="67">
        <f t="shared" ref="S282:AP282" si="148">S104/S200</f>
        <v>195.87114503816792</v>
      </c>
      <c r="T282" s="67">
        <f t="shared" si="148"/>
        <v>189.089797726266</v>
      </c>
      <c r="U282" s="67">
        <f t="shared" si="148"/>
        <v>256.893658395008</v>
      </c>
      <c r="V282" s="67">
        <f t="shared" si="148"/>
        <v>271.47876567563759</v>
      </c>
      <c r="W282" s="67">
        <f t="shared" si="148"/>
        <v>162.46095132743363</v>
      </c>
      <c r="X282" s="67">
        <f t="shared" si="148"/>
        <v>127.82546536796538</v>
      </c>
      <c r="Y282" s="67">
        <f t="shared" si="148"/>
        <v>132.75658497172097</v>
      </c>
      <c r="Z282" s="67">
        <f t="shared" si="148"/>
        <v>171.92944562899783</v>
      </c>
      <c r="AA282" s="67">
        <f t="shared" si="148"/>
        <v>120.18820726467908</v>
      </c>
      <c r="AB282" s="67">
        <f t="shared" si="148"/>
        <v>131.17983983729502</v>
      </c>
      <c r="AC282" s="67">
        <f t="shared" si="148"/>
        <v>123.00456769983685</v>
      </c>
      <c r="AD282" s="67">
        <f t="shared" si="148"/>
        <v>113.798279886964</v>
      </c>
      <c r="AE282" s="67">
        <f t="shared" si="148"/>
        <v>109.0011761881901</v>
      </c>
      <c r="AF282" s="67">
        <f t="shared" si="148"/>
        <v>110.43093935513909</v>
      </c>
      <c r="AG282" s="67">
        <f t="shared" si="148"/>
        <v>103.78547914317926</v>
      </c>
      <c r="AH282" s="67">
        <f t="shared" si="148"/>
        <v>194.0984290893112</v>
      </c>
      <c r="AI282" s="67">
        <f t="shared" si="148"/>
        <v>198.90957593793181</v>
      </c>
      <c r="AJ282" s="67">
        <f t="shared" si="148"/>
        <v>206.09619715317612</v>
      </c>
      <c r="AK282" s="67">
        <f t="shared" si="148"/>
        <v>138.67261525387721</v>
      </c>
      <c r="AL282" s="67">
        <f t="shared" si="148"/>
        <v>285.90163865984761</v>
      </c>
      <c r="AM282" s="67">
        <f t="shared" si="148"/>
        <v>298.39019507711168</v>
      </c>
      <c r="AN282" s="67">
        <f t="shared" si="148"/>
        <v>320.40137999999996</v>
      </c>
      <c r="AO282" s="67">
        <f t="shared" si="148"/>
        <v>297.99448764642187</v>
      </c>
      <c r="AP282" s="67">
        <f t="shared" si="148"/>
        <v>280.47725862737497</v>
      </c>
      <c r="AQ282" s="67">
        <f t="shared" ref="AQ282:AV282" si="149">AQ104/AQ200</f>
        <v>250.52307098765434</v>
      </c>
      <c r="AR282" s="67">
        <f t="shared" si="149"/>
        <v>260.38751197088681</v>
      </c>
      <c r="AS282" s="67">
        <f t="shared" si="149"/>
        <v>219.95202410092259</v>
      </c>
      <c r="AT282" s="67">
        <f t="shared" si="149"/>
        <v>250.43441097909178</v>
      </c>
      <c r="AU282" s="67">
        <f t="shared" si="149"/>
        <v>251.18716044911261</v>
      </c>
      <c r="AV282" s="67">
        <f t="shared" si="149"/>
        <v>280</v>
      </c>
      <c r="AW282" s="67">
        <f>AW104/AW200</f>
        <v>274.94284966407821</v>
      </c>
      <c r="AX282" s="67">
        <f>AX104/AX200</f>
        <v>372.53158660844252</v>
      </c>
      <c r="AY282" s="35" t="s">
        <v>9</v>
      </c>
      <c r="AZ282" s="35"/>
      <c r="BA282" s="35"/>
      <c r="BB282" s="35"/>
      <c r="BC282" s="304"/>
      <c r="BD282" s="35"/>
      <c r="BE282"/>
      <c r="BF282" s="50"/>
      <c r="BG282" s="43"/>
      <c r="BH282" s="13"/>
      <c r="BI282" s="13"/>
      <c r="BJ282" s="13"/>
      <c r="BK282" s="35"/>
      <c r="BL282" s="12"/>
      <c r="BM282" s="12"/>
      <c r="BN282" s="12"/>
      <c r="BO282" s="12"/>
      <c r="BP282" s="35"/>
      <c r="BQ282" s="35"/>
      <c r="BR282" s="47"/>
      <c r="BS282" s="3"/>
      <c r="BT282" s="3"/>
      <c r="BU282" s="3"/>
      <c r="BV282" s="3"/>
      <c r="BW282" s="3"/>
      <c r="BX282" s="3"/>
      <c r="BY282" s="3"/>
      <c r="BZ282" s="3"/>
      <c r="CA282" s="3"/>
      <c r="CB282" s="3"/>
    </row>
    <row r="283" spans="1:80" ht="12.5" x14ac:dyDescent="0.25">
      <c r="A283" s="48"/>
      <c r="B283" s="35" t="s">
        <v>330</v>
      </c>
      <c r="C283" s="35"/>
      <c r="D283" s="12"/>
      <c r="E283" s="67"/>
      <c r="F283" s="67"/>
      <c r="G283" s="67"/>
      <c r="H283" s="67"/>
      <c r="I283" s="67"/>
      <c r="J283" s="67"/>
      <c r="K283" s="67"/>
      <c r="L283" s="67"/>
      <c r="M283" s="67"/>
      <c r="N283" s="67"/>
      <c r="O283" s="67"/>
      <c r="P283" s="67"/>
      <c r="Q283" s="67"/>
      <c r="R283" s="67"/>
      <c r="S283" s="67">
        <f>S105/S200</f>
        <v>67.0085496183206</v>
      </c>
      <c r="T283" s="67">
        <f t="shared" ref="T283:AP283" si="150">T105/T200</f>
        <v>80.42131994684776</v>
      </c>
      <c r="U283" s="67">
        <f t="shared" si="150"/>
        <v>91.129473225946882</v>
      </c>
      <c r="V283" s="67">
        <f t="shared" si="150"/>
        <v>82.775651683810068</v>
      </c>
      <c r="W283" s="67">
        <f t="shared" si="150"/>
        <v>82.786615044247796</v>
      </c>
      <c r="X283" s="67">
        <f t="shared" si="150"/>
        <v>82.669399350649343</v>
      </c>
      <c r="Y283" s="67">
        <f t="shared" si="150"/>
        <v>146.62328305952059</v>
      </c>
      <c r="Z283" s="67">
        <f t="shared" si="150"/>
        <v>148.92353411513858</v>
      </c>
      <c r="AA283" s="67">
        <f t="shared" si="150"/>
        <v>102.37169378987112</v>
      </c>
      <c r="AB283" s="67">
        <f t="shared" si="150"/>
        <v>122.16748442862591</v>
      </c>
      <c r="AC283" s="67">
        <f t="shared" si="150"/>
        <v>123.8519011168277</v>
      </c>
      <c r="AD283" s="67">
        <f t="shared" si="150"/>
        <v>117.94645533849366</v>
      </c>
      <c r="AE283" s="67">
        <f t="shared" si="150"/>
        <v>114.26889102256359</v>
      </c>
      <c r="AF283" s="67">
        <f t="shared" si="150"/>
        <v>114.62286113374462</v>
      </c>
      <c r="AG283" s="67">
        <f t="shared" si="150"/>
        <v>113.93564825253664</v>
      </c>
      <c r="AH283" s="67">
        <f t="shared" si="150"/>
        <v>242.68485114797318</v>
      </c>
      <c r="AI283" s="67">
        <f t="shared" si="150"/>
        <v>233.95497927516209</v>
      </c>
      <c r="AJ283" s="67">
        <f t="shared" si="150"/>
        <v>256.06615678776291</v>
      </c>
      <c r="AK283" s="67">
        <f t="shared" si="150"/>
        <v>928.98697684299975</v>
      </c>
      <c r="AL283" s="67">
        <f t="shared" si="150"/>
        <v>253.95207180878819</v>
      </c>
      <c r="AM283" s="67">
        <f t="shared" si="150"/>
        <v>206.89612909815136</v>
      </c>
      <c r="AN283" s="67">
        <f t="shared" si="150"/>
        <v>219.453</v>
      </c>
      <c r="AO283" s="67">
        <f t="shared" si="150"/>
        <v>205.16200413426515</v>
      </c>
      <c r="AP283" s="67">
        <f t="shared" si="150"/>
        <v>253.42227607599844</v>
      </c>
      <c r="AQ283" s="67">
        <f t="shared" ref="AQ283:AV283" si="151">AQ105/AQ200</f>
        <v>190.93157793209878</v>
      </c>
      <c r="AR283" s="67">
        <f t="shared" si="151"/>
        <v>242.49664815169507</v>
      </c>
      <c r="AS283" s="67">
        <f t="shared" si="151"/>
        <v>217.19732630389754</v>
      </c>
      <c r="AT283" s="67">
        <f t="shared" si="151"/>
        <v>229.59942893985445</v>
      </c>
      <c r="AU283" s="67">
        <f t="shared" si="151"/>
        <v>230.29735603042374</v>
      </c>
      <c r="AV283" s="67">
        <f t="shared" si="151"/>
        <v>259.5</v>
      </c>
      <c r="AW283" s="67">
        <f t="shared" ref="AW283:AX283" si="152">AW105/AW200</f>
        <v>250.3943809440712</v>
      </c>
      <c r="AX283" s="67">
        <f t="shared" si="152"/>
        <v>327.62736535662299</v>
      </c>
      <c r="AY283" s="35" t="s">
        <v>330</v>
      </c>
      <c r="AZ283" s="35"/>
      <c r="BA283" s="35"/>
      <c r="BB283" s="35"/>
      <c r="BC283" s="304"/>
      <c r="BD283" s="35"/>
      <c r="BE283"/>
      <c r="BF283" s="50"/>
      <c r="BG283" s="43"/>
      <c r="BH283" s="13"/>
      <c r="BI283" s="13"/>
      <c r="BJ283" s="13"/>
      <c r="BK283" s="35"/>
      <c r="BL283" s="12"/>
      <c r="BM283" s="12"/>
      <c r="BN283" s="12"/>
      <c r="BO283" s="12"/>
      <c r="BP283" s="35"/>
      <c r="BQ283" s="35"/>
      <c r="BR283" s="47"/>
      <c r="BS283" s="3"/>
      <c r="BT283" s="3"/>
      <c r="BU283" s="3"/>
      <c r="BV283" s="3"/>
      <c r="BW283" s="3"/>
      <c r="BX283" s="3"/>
      <c r="BY283" s="3"/>
      <c r="BZ283" s="3"/>
      <c r="CA283" s="3"/>
      <c r="CB283" s="3"/>
    </row>
    <row r="284" spans="1:80" ht="12.5" x14ac:dyDescent="0.25">
      <c r="A284" s="48"/>
      <c r="B284" s="35" t="s">
        <v>10</v>
      </c>
      <c r="C284" s="35"/>
      <c r="D284" s="12"/>
      <c r="E284" s="67"/>
      <c r="F284" s="67"/>
      <c r="G284" s="67"/>
      <c r="H284" s="67"/>
      <c r="I284" s="67"/>
      <c r="J284" s="67"/>
      <c r="K284" s="67"/>
      <c r="L284" s="67"/>
      <c r="M284" s="67"/>
      <c r="N284" s="67"/>
      <c r="O284" s="67"/>
      <c r="P284" s="67"/>
      <c r="Q284" s="67"/>
      <c r="R284" s="67"/>
      <c r="S284" s="67">
        <f>S106/S200</f>
        <v>36.596977099236639</v>
      </c>
      <c r="T284" s="67">
        <f t="shared" ref="T284:AP284" si="153">T106/T200</f>
        <v>39.878340469511294</v>
      </c>
      <c r="U284" s="67">
        <f t="shared" si="153"/>
        <v>47.687824698882594</v>
      </c>
      <c r="V284" s="67">
        <f t="shared" si="153"/>
        <v>70.565450190221227</v>
      </c>
      <c r="W284" s="67">
        <f t="shared" si="153"/>
        <v>48.862776548672564</v>
      </c>
      <c r="X284" s="67">
        <f t="shared" si="153"/>
        <v>43.542261904761908</v>
      </c>
      <c r="Y284" s="67">
        <f t="shared" si="153"/>
        <v>49.101750605978992</v>
      </c>
      <c r="Z284" s="67">
        <f t="shared" si="153"/>
        <v>51.590831556503197</v>
      </c>
      <c r="AA284" s="67">
        <f t="shared" si="153"/>
        <v>47.017427418304912</v>
      </c>
      <c r="AB284" s="67">
        <f t="shared" si="153"/>
        <v>55.933824837930594</v>
      </c>
      <c r="AC284" s="67">
        <f t="shared" si="153"/>
        <v>53.946894215083447</v>
      </c>
      <c r="AD284" s="67">
        <f t="shared" si="153"/>
        <v>57.521366261211448</v>
      </c>
      <c r="AE284" s="67">
        <f t="shared" si="153"/>
        <v>53.757705232837246</v>
      </c>
      <c r="AF284" s="67">
        <f t="shared" si="153"/>
        <v>53.1850075660575</v>
      </c>
      <c r="AG284" s="67">
        <f t="shared" si="153"/>
        <v>48.593934611048475</v>
      </c>
      <c r="AH284" s="67">
        <f t="shared" si="153"/>
        <v>60.20760188948698</v>
      </c>
      <c r="AI284" s="67">
        <f t="shared" si="153"/>
        <v>58.608353703900526</v>
      </c>
      <c r="AJ284" s="67">
        <f t="shared" si="153"/>
        <v>65.032674739749311</v>
      </c>
      <c r="AK284" s="67">
        <f t="shared" si="153"/>
        <v>127.79398767792649</v>
      </c>
      <c r="AL284" s="67">
        <f t="shared" si="153"/>
        <v>92.794697839473955</v>
      </c>
      <c r="AM284" s="67">
        <f t="shared" si="153"/>
        <v>90.574527627412934</v>
      </c>
      <c r="AN284" s="67">
        <f t="shared" si="153"/>
        <v>103.31171999999999</v>
      </c>
      <c r="AO284" s="67">
        <f t="shared" si="153"/>
        <v>95.380391770843573</v>
      </c>
      <c r="AP284" s="67">
        <f t="shared" si="153"/>
        <v>96.110643660333452</v>
      </c>
      <c r="AQ284" s="67">
        <f t="shared" ref="AQ284:AV284" si="154">AQ106/AQ200</f>
        <v>114.94971064814816</v>
      </c>
      <c r="AR284" s="67">
        <f t="shared" si="154"/>
        <v>102.81857881631872</v>
      </c>
      <c r="AS284" s="67">
        <f t="shared" si="154"/>
        <v>95.354923743174538</v>
      </c>
      <c r="AT284" s="67">
        <f t="shared" si="154"/>
        <v>95.364096896011773</v>
      </c>
      <c r="AU284" s="67">
        <f t="shared" si="154"/>
        <v>93.749366171676925</v>
      </c>
      <c r="AV284" s="67">
        <f t="shared" si="154"/>
        <v>104</v>
      </c>
      <c r="AW284" s="67">
        <f t="shared" ref="AW284:AX284" si="155">AW106/AW200</f>
        <v>108.01326236803072</v>
      </c>
      <c r="AX284" s="67">
        <f t="shared" si="155"/>
        <v>197.54002911208153</v>
      </c>
      <c r="AY284" s="35" t="s">
        <v>10</v>
      </c>
      <c r="AZ284" s="35"/>
      <c r="BA284" s="35"/>
      <c r="BB284" s="35"/>
      <c r="BC284" s="304"/>
      <c r="BD284" s="35"/>
      <c r="BE284"/>
      <c r="BF284" s="50"/>
      <c r="BG284" s="43"/>
      <c r="BH284" s="13"/>
      <c r="BI284" s="13"/>
      <c r="BJ284" s="13"/>
      <c r="BK284" s="35"/>
      <c r="BL284" s="12"/>
      <c r="BM284" s="12"/>
      <c r="BN284" s="12"/>
      <c r="BO284" s="12"/>
      <c r="BP284" s="35"/>
      <c r="BQ284" s="35"/>
      <c r="BR284" s="47"/>
      <c r="BS284" s="3"/>
      <c r="BT284" s="3"/>
      <c r="BU284" s="3"/>
      <c r="BV284" s="3"/>
      <c r="BW284" s="3"/>
      <c r="BX284" s="3"/>
      <c r="BY284" s="3"/>
      <c r="BZ284" s="3"/>
      <c r="CA284" s="3"/>
      <c r="CB284" s="3"/>
    </row>
    <row r="285" spans="1:80" ht="12.5" x14ac:dyDescent="0.25">
      <c r="A285" s="48"/>
      <c r="B285" s="35" t="s">
        <v>11</v>
      </c>
      <c r="C285" s="35"/>
      <c r="D285" s="12"/>
      <c r="E285" s="67"/>
      <c r="F285" s="67"/>
      <c r="G285" s="67"/>
      <c r="H285" s="67"/>
      <c r="I285" s="67"/>
      <c r="J285" s="67"/>
      <c r="K285" s="67"/>
      <c r="L285" s="67"/>
      <c r="M285" s="67"/>
      <c r="N285" s="67"/>
      <c r="O285" s="67"/>
      <c r="P285" s="67"/>
      <c r="Q285" s="67"/>
      <c r="R285" s="67"/>
      <c r="S285" s="67">
        <f>S107/S200</f>
        <v>46.2187175572519</v>
      </c>
      <c r="T285" s="67">
        <f t="shared" ref="T285:AP285" si="156">T107/T200</f>
        <v>38.715222205817213</v>
      </c>
      <c r="U285" s="67">
        <f t="shared" si="156"/>
        <v>37.562327673777389</v>
      </c>
      <c r="V285" s="67">
        <f t="shared" si="156"/>
        <v>65.649654783711426</v>
      </c>
      <c r="W285" s="67">
        <f t="shared" si="156"/>
        <v>45.75049778761062</v>
      </c>
      <c r="X285" s="67">
        <f t="shared" si="156"/>
        <v>45.064718614718615</v>
      </c>
      <c r="Y285" s="67">
        <f t="shared" si="156"/>
        <v>43.494451925666574</v>
      </c>
      <c r="Z285" s="67">
        <f t="shared" si="156"/>
        <v>42.292484008528781</v>
      </c>
      <c r="AA285" s="67">
        <f t="shared" si="156"/>
        <v>34.182504882176801</v>
      </c>
      <c r="AB285" s="67">
        <f t="shared" si="156"/>
        <v>38.052167281047417</v>
      </c>
      <c r="AC285" s="67">
        <f t="shared" si="156"/>
        <v>38.130003764587777</v>
      </c>
      <c r="AD285" s="67">
        <f t="shared" si="156"/>
        <v>39.269394274480888</v>
      </c>
      <c r="AE285" s="67">
        <f t="shared" si="156"/>
        <v>33.227124339894381</v>
      </c>
      <c r="AF285" s="67">
        <f t="shared" si="156"/>
        <v>33.142381562099871</v>
      </c>
      <c r="AG285" s="67">
        <f t="shared" si="156"/>
        <v>28.927981961668547</v>
      </c>
      <c r="AH285" s="67">
        <f t="shared" si="156"/>
        <v>6.1814786334175542</v>
      </c>
      <c r="AI285" s="67">
        <f t="shared" si="156"/>
        <v>23.084514826230208</v>
      </c>
      <c r="AJ285" s="67">
        <f t="shared" si="156"/>
        <v>51.763140004248982</v>
      </c>
      <c r="AK285" s="67">
        <f t="shared" si="156"/>
        <v>469.93280220947526</v>
      </c>
      <c r="AL285" s="67">
        <f t="shared" si="156"/>
        <v>50.508506418954177</v>
      </c>
      <c r="AM285" s="67">
        <f t="shared" si="156"/>
        <v>42.528648759064446</v>
      </c>
      <c r="AN285" s="67">
        <f t="shared" si="156"/>
        <v>41.639800000000001</v>
      </c>
      <c r="AO285" s="67">
        <f t="shared" si="156"/>
        <v>38.772516980017713</v>
      </c>
      <c r="AP285" s="67">
        <f t="shared" si="156"/>
        <v>49.964443582784014</v>
      </c>
      <c r="AQ285" s="67">
        <f t="shared" ref="AQ285:AV285" si="157">AQ107/AQ200</f>
        <v>58.940219907407403</v>
      </c>
      <c r="AR285" s="67">
        <f t="shared" si="157"/>
        <v>76.521164527868223</v>
      </c>
      <c r="AS285" s="67">
        <f t="shared" si="157"/>
        <v>73.635191112784781</v>
      </c>
      <c r="AT285" s="67">
        <f t="shared" si="157"/>
        <v>83.858211292253841</v>
      </c>
      <c r="AU285" s="67">
        <f t="shared" si="157"/>
        <v>85.597247374139798</v>
      </c>
      <c r="AV285" s="67">
        <f t="shared" si="157"/>
        <v>110</v>
      </c>
      <c r="AW285" s="67">
        <f t="shared" ref="AW285:AX285" si="158">AW107/AW200</f>
        <v>104.0855073728296</v>
      </c>
      <c r="AX285" s="67">
        <f t="shared" si="158"/>
        <v>157.83930131004368</v>
      </c>
      <c r="AY285" s="35" t="s">
        <v>11</v>
      </c>
      <c r="AZ285" s="35"/>
      <c r="BA285" s="35"/>
      <c r="BB285" s="35"/>
      <c r="BC285" s="304"/>
      <c r="BD285" s="35"/>
      <c r="BE285"/>
      <c r="BF285" s="50"/>
      <c r="BG285" s="43"/>
      <c r="BH285" s="13"/>
      <c r="BI285" s="13"/>
      <c r="BJ285" s="144"/>
      <c r="BK285" s="12"/>
      <c r="BL285" s="12"/>
      <c r="BM285" s="12"/>
      <c r="BN285" s="12"/>
      <c r="BO285" s="12"/>
      <c r="BP285" s="35"/>
      <c r="BQ285" s="35"/>
      <c r="BR285" s="47"/>
      <c r="BS285" s="3"/>
      <c r="BT285" s="3"/>
      <c r="BU285" s="3"/>
      <c r="BV285" s="3"/>
      <c r="BW285" s="3"/>
      <c r="BX285" s="3"/>
      <c r="BY285" s="3"/>
      <c r="BZ285" s="3"/>
      <c r="CA285" s="3"/>
      <c r="CB285" s="3"/>
    </row>
    <row r="286" spans="1:80" ht="12.5" x14ac:dyDescent="0.25">
      <c r="A286" s="48"/>
      <c r="B286" s="35" t="s">
        <v>12</v>
      </c>
      <c r="C286" s="35"/>
      <c r="D286" s="12"/>
      <c r="E286" s="67"/>
      <c r="F286" s="67"/>
      <c r="G286" s="67"/>
      <c r="H286" s="67"/>
      <c r="I286" s="67"/>
      <c r="J286" s="67"/>
      <c r="K286" s="67"/>
      <c r="L286" s="67"/>
      <c r="M286" s="67"/>
      <c r="N286" s="67"/>
      <c r="O286" s="67"/>
      <c r="P286" s="67"/>
      <c r="Q286" s="67"/>
      <c r="R286" s="67"/>
      <c r="S286" s="67">
        <f>S108/S200</f>
        <v>1.7181679389312974</v>
      </c>
      <c r="T286" s="67">
        <f t="shared" ref="T286:AP286" si="159">T108/T200</f>
        <v>1.6615975195629704</v>
      </c>
      <c r="U286" s="67">
        <f t="shared" si="159"/>
        <v>1.6331446814685822</v>
      </c>
      <c r="V286" s="67">
        <f t="shared" si="159"/>
        <v>7.6115541778216143</v>
      </c>
      <c r="W286" s="67">
        <f t="shared" si="159"/>
        <v>5.4464878318584073</v>
      </c>
      <c r="X286" s="67">
        <f t="shared" si="159"/>
        <v>1.5224567099567099</v>
      </c>
      <c r="Y286" s="67">
        <f t="shared" si="159"/>
        <v>1.0608402908699164</v>
      </c>
      <c r="Z286" s="67">
        <f t="shared" si="159"/>
        <v>4.814144456289978</v>
      </c>
      <c r="AA286" s="67">
        <f t="shared" si="159"/>
        <v>7.1207446947012114</v>
      </c>
      <c r="AB286" s="67">
        <f t="shared" si="159"/>
        <v>7.0096097622982079</v>
      </c>
      <c r="AC286" s="67">
        <f t="shared" si="159"/>
        <v>7.061111808256995</v>
      </c>
      <c r="AD286" s="67">
        <f t="shared" si="159"/>
        <v>6.9136257525494527</v>
      </c>
      <c r="AE286" s="67">
        <f t="shared" si="159"/>
        <v>6.3482717234757562</v>
      </c>
      <c r="AF286" s="67">
        <f t="shared" si="159"/>
        <v>6.4188802234896993</v>
      </c>
      <c r="AG286" s="67">
        <f t="shared" si="159"/>
        <v>0.63438556933483647</v>
      </c>
      <c r="AH286" s="67">
        <f t="shared" si="159"/>
        <v>0</v>
      </c>
      <c r="AI286" s="67">
        <f t="shared" si="159"/>
        <v>11.602061855670103</v>
      </c>
      <c r="AJ286" s="67">
        <f t="shared" si="159"/>
        <v>46.742234969194818</v>
      </c>
      <c r="AK286" s="67">
        <f t="shared" si="159"/>
        <v>37.89587847886127</v>
      </c>
      <c r="AL286" s="67">
        <f t="shared" si="159"/>
        <v>57.203820060536479</v>
      </c>
      <c r="AM286" s="67">
        <f t="shared" si="159"/>
        <v>33.563149831477887</v>
      </c>
      <c r="AN286" s="67">
        <f t="shared" si="159"/>
        <v>65.385739999999998</v>
      </c>
      <c r="AO286" s="67">
        <f t="shared" si="159"/>
        <v>60.595905108770545</v>
      </c>
      <c r="AP286" s="67">
        <f t="shared" si="159"/>
        <v>63.928305544784799</v>
      </c>
      <c r="AQ286" s="67">
        <f t="shared" ref="AQ286:AV286" si="160">AQ108/AQ200</f>
        <v>65.12731481481481</v>
      </c>
      <c r="AR286" s="67">
        <f t="shared" si="160"/>
        <v>75.443401647194023</v>
      </c>
      <c r="AS286" s="67">
        <f t="shared" si="160"/>
        <v>88.997928826962905</v>
      </c>
      <c r="AT286" s="67">
        <f t="shared" si="160"/>
        <v>108.83945841392648</v>
      </c>
      <c r="AU286" s="67">
        <f t="shared" si="160"/>
        <v>106.99655921767474</v>
      </c>
      <c r="AV286" s="67">
        <f t="shared" si="160"/>
        <v>148</v>
      </c>
      <c r="AW286" s="67">
        <f t="shared" ref="AW286:AX286" si="161">AW108/AW200</f>
        <v>147.29081232004188</v>
      </c>
      <c r="AX286" s="67">
        <f t="shared" si="161"/>
        <v>189.8311499272198</v>
      </c>
      <c r="AY286" s="35" t="s">
        <v>12</v>
      </c>
      <c r="AZ286" s="35"/>
      <c r="BA286" s="35"/>
      <c r="BB286" s="35"/>
      <c r="BC286" s="304"/>
      <c r="BD286" s="35"/>
      <c r="BE286"/>
      <c r="BF286" s="50"/>
      <c r="BG286" s="43"/>
      <c r="BH286" s="13"/>
      <c r="BI286" s="13"/>
      <c r="BJ286" s="144"/>
      <c r="BK286" s="12"/>
      <c r="BL286" s="12"/>
      <c r="BM286" s="12"/>
      <c r="BN286" s="12"/>
      <c r="BO286" s="12"/>
      <c r="BP286" s="35"/>
      <c r="BQ286" s="35"/>
      <c r="BR286" s="47"/>
      <c r="BS286" s="3"/>
      <c r="BT286" s="3"/>
      <c r="BU286" s="3"/>
      <c r="BV286" s="3"/>
      <c r="BW286" s="3"/>
      <c r="BX286" s="3"/>
      <c r="BY286" s="3"/>
      <c r="BZ286" s="3"/>
      <c r="CA286" s="3"/>
      <c r="CB286" s="3"/>
    </row>
    <row r="287" spans="1:80" ht="12.5" x14ac:dyDescent="0.25">
      <c r="A287" s="48"/>
      <c r="B287" s="35" t="s">
        <v>13</v>
      </c>
      <c r="C287" s="35"/>
      <c r="D287" s="12"/>
      <c r="E287" s="67"/>
      <c r="F287" s="67"/>
      <c r="G287" s="67"/>
      <c r="H287" s="67"/>
      <c r="I287" s="67"/>
      <c r="J287" s="67"/>
      <c r="K287" s="67"/>
      <c r="L287" s="67"/>
      <c r="M287" s="67"/>
      <c r="N287" s="67"/>
      <c r="O287" s="67"/>
      <c r="P287" s="67"/>
      <c r="Q287" s="67"/>
      <c r="R287" s="67"/>
      <c r="S287" s="67">
        <f>S109/S200</f>
        <v>52.232305343511442</v>
      </c>
      <c r="T287" s="67">
        <f t="shared" ref="T287:AP287" si="162">T109/T200</f>
        <v>53.337280377971354</v>
      </c>
      <c r="U287" s="67">
        <f t="shared" si="162"/>
        <v>60.426353214337539</v>
      </c>
      <c r="V287" s="67">
        <f t="shared" si="162"/>
        <v>59.465267014231365</v>
      </c>
      <c r="W287" s="67">
        <f t="shared" si="162"/>
        <v>49.485232300884959</v>
      </c>
      <c r="X287" s="67">
        <f t="shared" si="162"/>
        <v>47.805140692640691</v>
      </c>
      <c r="Y287" s="67">
        <f t="shared" si="162"/>
        <v>65.620549420953395</v>
      </c>
      <c r="Z287" s="67">
        <f t="shared" si="162"/>
        <v>61.33909914712153</v>
      </c>
      <c r="AA287" s="67">
        <f t="shared" si="162"/>
        <v>54.709589897148817</v>
      </c>
      <c r="AB287" s="67">
        <f t="shared" si="162"/>
        <v>73.958535655268847</v>
      </c>
      <c r="AC287" s="67">
        <f t="shared" si="162"/>
        <v>0</v>
      </c>
      <c r="AD287" s="67">
        <f t="shared" si="162"/>
        <v>0</v>
      </c>
      <c r="AE287" s="67">
        <f t="shared" si="162"/>
        <v>0</v>
      </c>
      <c r="AF287" s="67">
        <f t="shared" si="162"/>
        <v>0</v>
      </c>
      <c r="AG287" s="67">
        <f t="shared" si="162"/>
        <v>0</v>
      </c>
      <c r="AH287" s="67">
        <f t="shared" si="162"/>
        <v>0</v>
      </c>
      <c r="AI287" s="67">
        <f t="shared" si="162"/>
        <v>0</v>
      </c>
      <c r="AJ287" s="67">
        <f t="shared" si="162"/>
        <v>0</v>
      </c>
      <c r="AK287" s="67">
        <f t="shared" si="162"/>
        <v>0</v>
      </c>
      <c r="AL287" s="67">
        <f t="shared" si="162"/>
        <v>0</v>
      </c>
      <c r="AM287" s="67">
        <f t="shared" si="162"/>
        <v>0</v>
      </c>
      <c r="AN287" s="67">
        <f t="shared" si="162"/>
        <v>0</v>
      </c>
      <c r="AO287" s="67">
        <f t="shared" si="162"/>
        <v>0</v>
      </c>
      <c r="AP287" s="67">
        <f t="shared" si="162"/>
        <v>0</v>
      </c>
      <c r="AQ287" s="67">
        <f t="shared" ref="AQ287:AV287" si="163">AQ109/AQ200</f>
        <v>0</v>
      </c>
      <c r="AR287" s="67">
        <f t="shared" si="163"/>
        <v>0</v>
      </c>
      <c r="AS287" s="67">
        <f t="shared" si="163"/>
        <v>0</v>
      </c>
      <c r="AT287" s="67">
        <f t="shared" si="163"/>
        <v>0</v>
      </c>
      <c r="AU287" s="67">
        <f t="shared" si="163"/>
        <v>0</v>
      </c>
      <c r="AV287" s="67">
        <f t="shared" si="163"/>
        <v>0</v>
      </c>
      <c r="AW287" s="67">
        <f t="shared" ref="AW287:AX287" si="164">AW109/AW200</f>
        <v>0</v>
      </c>
      <c r="AX287" s="67">
        <f t="shared" si="164"/>
        <v>0</v>
      </c>
      <c r="AY287" s="35" t="s">
        <v>13</v>
      </c>
      <c r="AZ287" s="35"/>
      <c r="BA287" s="35"/>
      <c r="BB287" s="35"/>
      <c r="BC287" s="304"/>
      <c r="BD287" s="35"/>
      <c r="BE287"/>
      <c r="BF287" s="50"/>
      <c r="BG287" s="43"/>
      <c r="BH287" s="12"/>
      <c r="BI287" s="12"/>
      <c r="BJ287" s="12"/>
      <c r="BK287" s="12"/>
      <c r="BL287" s="12"/>
      <c r="BM287" s="12"/>
      <c r="BN287" s="12"/>
      <c r="BO287" s="12"/>
      <c r="BP287" s="35"/>
      <c r="BQ287" s="35"/>
      <c r="BR287" s="47"/>
      <c r="BS287" s="3"/>
      <c r="BT287" s="3"/>
      <c r="BU287" s="3"/>
      <c r="BV287" s="3"/>
      <c r="BW287" s="3"/>
      <c r="BX287" s="3"/>
      <c r="BY287" s="3"/>
      <c r="BZ287" s="3"/>
      <c r="CA287" s="3"/>
      <c r="CB287" s="3"/>
    </row>
    <row r="288" spans="1:80" x14ac:dyDescent="0.2">
      <c r="A288" s="48"/>
      <c r="B288" s="35" t="s">
        <v>327</v>
      </c>
      <c r="C288" s="35"/>
      <c r="D288" s="12"/>
      <c r="E288" s="67">
        <f>E110/E200</f>
        <v>183.98715012722644</v>
      </c>
      <c r="F288" s="67">
        <f t="shared" ref="F288:AP288" si="165">F110/F200</f>
        <v>191.94906542056074</v>
      </c>
      <c r="G288" s="67">
        <f t="shared" si="165"/>
        <v>197.2350515463917</v>
      </c>
      <c r="H288" s="67">
        <f t="shared" si="165"/>
        <v>192.11535901093677</v>
      </c>
      <c r="I288" s="67">
        <f t="shared" si="165"/>
        <v>95.858185840707947</v>
      </c>
      <c r="J288" s="67">
        <f t="shared" si="165"/>
        <v>60.928544343796077</v>
      </c>
      <c r="K288" s="67">
        <f t="shared" si="165"/>
        <v>57.956628444980893</v>
      </c>
      <c r="L288" s="67">
        <f t="shared" si="165"/>
        <v>40.645514563106801</v>
      </c>
      <c r="M288" s="67">
        <f t="shared" si="165"/>
        <v>36.600114111829591</v>
      </c>
      <c r="N288" s="67">
        <f t="shared" si="165"/>
        <v>34.212656135194713</v>
      </c>
      <c r="O288" s="67">
        <f t="shared" si="165"/>
        <v>28.802745306411616</v>
      </c>
      <c r="P288" s="67">
        <f t="shared" si="165"/>
        <v>25.324377770201156</v>
      </c>
      <c r="Q288" s="67">
        <f t="shared" si="165"/>
        <v>21.930679546968683</v>
      </c>
      <c r="R288" s="67">
        <f t="shared" si="165"/>
        <v>23.074034919109405</v>
      </c>
      <c r="S288" s="67">
        <f t="shared" si="165"/>
        <v>12.370809160305342</v>
      </c>
      <c r="T288" s="67">
        <f t="shared" si="165"/>
        <v>16.948294699542299</v>
      </c>
      <c r="U288" s="67">
        <f t="shared" si="165"/>
        <v>11.75864170657379</v>
      </c>
      <c r="V288" s="67">
        <f t="shared" si="165"/>
        <v>8.0872763139354653</v>
      </c>
      <c r="W288" s="67">
        <f t="shared" si="165"/>
        <v>3.1122787610619467</v>
      </c>
      <c r="X288" s="67">
        <f t="shared" si="165"/>
        <v>0</v>
      </c>
      <c r="Y288" s="67">
        <f t="shared" si="165"/>
        <v>0</v>
      </c>
      <c r="Z288" s="67">
        <f t="shared" si="165"/>
        <v>0</v>
      </c>
      <c r="AA288" s="67">
        <f t="shared" si="165"/>
        <v>0</v>
      </c>
      <c r="AB288" s="67">
        <f t="shared" si="165"/>
        <v>0</v>
      </c>
      <c r="AC288" s="67">
        <f t="shared" si="165"/>
        <v>0</v>
      </c>
      <c r="AD288" s="67">
        <f t="shared" si="165"/>
        <v>0</v>
      </c>
      <c r="AE288" s="67">
        <f t="shared" si="165"/>
        <v>0</v>
      </c>
      <c r="AF288" s="67">
        <f t="shared" si="165"/>
        <v>0</v>
      </c>
      <c r="AG288" s="67">
        <f t="shared" si="165"/>
        <v>0</v>
      </c>
      <c r="AH288" s="67">
        <f t="shared" si="165"/>
        <v>0</v>
      </c>
      <c r="AI288" s="67">
        <f t="shared" si="165"/>
        <v>0</v>
      </c>
      <c r="AJ288" s="67">
        <f t="shared" si="165"/>
        <v>0</v>
      </c>
      <c r="AK288" s="67">
        <f t="shared" si="165"/>
        <v>0</v>
      </c>
      <c r="AL288" s="67">
        <f t="shared" si="165"/>
        <v>0</v>
      </c>
      <c r="AM288" s="67">
        <f t="shared" si="165"/>
        <v>0</v>
      </c>
      <c r="AN288" s="67">
        <f t="shared" si="165"/>
        <v>0</v>
      </c>
      <c r="AO288" s="67">
        <f t="shared" si="165"/>
        <v>0</v>
      </c>
      <c r="AP288" s="67">
        <f t="shared" si="165"/>
        <v>0</v>
      </c>
      <c r="AQ288" s="67">
        <f t="shared" ref="AQ288:AV288" si="166">AQ110/AQ200</f>
        <v>0</v>
      </c>
      <c r="AR288" s="67">
        <f t="shared" si="166"/>
        <v>0</v>
      </c>
      <c r="AS288" s="67">
        <f t="shared" si="166"/>
        <v>0</v>
      </c>
      <c r="AT288" s="67">
        <f t="shared" si="166"/>
        <v>0</v>
      </c>
      <c r="AU288" s="67">
        <f t="shared" si="166"/>
        <v>0</v>
      </c>
      <c r="AV288" s="67">
        <f t="shared" si="166"/>
        <v>0</v>
      </c>
      <c r="AW288" s="67">
        <f t="shared" ref="AW288:AX288" si="167">AW110/AW200</f>
        <v>0</v>
      </c>
      <c r="AX288" s="67">
        <f t="shared" si="167"/>
        <v>0</v>
      </c>
      <c r="AY288" s="35" t="s">
        <v>327</v>
      </c>
      <c r="AZ288" s="35"/>
      <c r="BA288" s="35"/>
      <c r="BB288" s="35"/>
      <c r="BC288" s="304"/>
      <c r="BD288" s="35"/>
      <c r="BE288" s="306"/>
      <c r="BF288" s="50"/>
      <c r="BG288" s="43"/>
      <c r="BH288" s="12"/>
      <c r="BI288" s="12"/>
      <c r="BJ288" s="12"/>
      <c r="BK288" s="12"/>
      <c r="BL288" s="12"/>
      <c r="BM288" s="12"/>
      <c r="BN288" s="12"/>
      <c r="BO288" s="12"/>
      <c r="BP288" s="35"/>
      <c r="BQ288" s="35"/>
      <c r="BR288" s="47"/>
      <c r="BS288" s="3"/>
      <c r="BT288" s="3"/>
      <c r="BU288" s="3"/>
      <c r="BV288" s="3"/>
      <c r="BW288" s="3"/>
      <c r="BX288" s="3"/>
      <c r="BY288" s="3"/>
      <c r="BZ288" s="3"/>
      <c r="CA288" s="3"/>
      <c r="CB288" s="3"/>
    </row>
    <row r="289" spans="1:80" ht="12.5" x14ac:dyDescent="0.25">
      <c r="A289" s="48"/>
      <c r="B289" s="35" t="s">
        <v>14</v>
      </c>
      <c r="C289" s="35"/>
      <c r="D289" s="12"/>
      <c r="E289" s="67">
        <f>E111/E200</f>
        <v>0</v>
      </c>
      <c r="F289" s="67">
        <f t="shared" ref="F289:AP289" si="168">F111/F200</f>
        <v>0</v>
      </c>
      <c r="G289" s="67">
        <f t="shared" si="168"/>
        <v>0</v>
      </c>
      <c r="H289" s="67">
        <f t="shared" si="168"/>
        <v>0</v>
      </c>
      <c r="I289" s="67">
        <f t="shared" si="168"/>
        <v>0</v>
      </c>
      <c r="J289" s="67">
        <f t="shared" si="168"/>
        <v>0</v>
      </c>
      <c r="K289" s="67">
        <f t="shared" si="168"/>
        <v>0</v>
      </c>
      <c r="L289" s="67">
        <f t="shared" si="168"/>
        <v>0</v>
      </c>
      <c r="M289" s="67">
        <f t="shared" si="168"/>
        <v>0</v>
      </c>
      <c r="N289" s="67">
        <f t="shared" si="168"/>
        <v>0</v>
      </c>
      <c r="O289" s="67">
        <f t="shared" si="168"/>
        <v>0</v>
      </c>
      <c r="P289" s="67">
        <f t="shared" si="168"/>
        <v>0</v>
      </c>
      <c r="Q289" s="67">
        <f t="shared" si="168"/>
        <v>0</v>
      </c>
      <c r="R289" s="67">
        <f t="shared" si="168"/>
        <v>0</v>
      </c>
      <c r="S289" s="67">
        <f t="shared" si="168"/>
        <v>0</v>
      </c>
      <c r="T289" s="67">
        <f t="shared" si="168"/>
        <v>0</v>
      </c>
      <c r="U289" s="67">
        <f t="shared" si="168"/>
        <v>0</v>
      </c>
      <c r="V289" s="67">
        <f t="shared" si="168"/>
        <v>0</v>
      </c>
      <c r="W289" s="67">
        <f t="shared" si="168"/>
        <v>0</v>
      </c>
      <c r="X289" s="67">
        <f t="shared" si="168"/>
        <v>6.0898268398268396</v>
      </c>
      <c r="Y289" s="67">
        <f t="shared" si="168"/>
        <v>5.9103959062752489</v>
      </c>
      <c r="Z289" s="67">
        <f t="shared" si="168"/>
        <v>7.1987206823027714</v>
      </c>
      <c r="AA289" s="67">
        <f t="shared" si="168"/>
        <v>5.7141778414268973</v>
      </c>
      <c r="AB289" s="67">
        <f t="shared" si="168"/>
        <v>9.4415151900343197</v>
      </c>
      <c r="AC289" s="67">
        <f t="shared" si="168"/>
        <v>0</v>
      </c>
      <c r="AD289" s="67">
        <f t="shared" si="168"/>
        <v>0</v>
      </c>
      <c r="AE289" s="67">
        <f t="shared" si="168"/>
        <v>0</v>
      </c>
      <c r="AF289" s="67">
        <f t="shared" si="168"/>
        <v>0</v>
      </c>
      <c r="AG289" s="67">
        <f t="shared" si="168"/>
        <v>0</v>
      </c>
      <c r="AH289" s="67">
        <f t="shared" si="168"/>
        <v>0</v>
      </c>
      <c r="AI289" s="67">
        <f t="shared" si="168"/>
        <v>0</v>
      </c>
      <c r="AJ289" s="67">
        <f t="shared" si="168"/>
        <v>7.1727214786488203</v>
      </c>
      <c r="AK289" s="67">
        <f t="shared" si="168"/>
        <v>0</v>
      </c>
      <c r="AL289" s="67">
        <f t="shared" si="168"/>
        <v>11.746164283477716</v>
      </c>
      <c r="AM289" s="67">
        <f t="shared" si="168"/>
        <v>11.494229394341742</v>
      </c>
      <c r="AN289" s="67">
        <f t="shared" si="168"/>
        <v>11.254</v>
      </c>
      <c r="AO289" s="67">
        <f t="shared" si="168"/>
        <v>10.41319027463333</v>
      </c>
      <c r="AP289" s="67">
        <f t="shared" si="168"/>
        <v>7.6364870104691729</v>
      </c>
      <c r="AQ289" s="67">
        <f t="shared" ref="AQ289:AV289" si="169">AQ111/AQ200</f>
        <v>0</v>
      </c>
      <c r="AR289" s="67">
        <f t="shared" si="169"/>
        <v>0</v>
      </c>
      <c r="AS289" s="67">
        <f t="shared" si="169"/>
        <v>0</v>
      </c>
      <c r="AT289" s="67">
        <f t="shared" si="169"/>
        <v>0</v>
      </c>
      <c r="AU289" s="67">
        <f t="shared" si="169"/>
        <v>0</v>
      </c>
      <c r="AV289" s="67">
        <f t="shared" si="169"/>
        <v>0</v>
      </c>
      <c r="AW289" s="67">
        <f t="shared" ref="AW289:AX289" si="170">AW111/AW200</f>
        <v>0</v>
      </c>
      <c r="AX289" s="67">
        <f t="shared" si="170"/>
        <v>0</v>
      </c>
      <c r="AY289" s="35" t="str">
        <f>AY111</f>
        <v>Indian renewables (from FY09 onwards: tribal energy activities; from FY15-on inc. energy and development partnerships; from FY16 on includes Indian Energy Programs)</v>
      </c>
      <c r="AZ289" s="35"/>
      <c r="BA289" s="35"/>
      <c r="BB289" s="35"/>
      <c r="BC289" s="304"/>
      <c r="BD289" s="35"/>
      <c r="BE289"/>
      <c r="BF289" s="50"/>
      <c r="BG289" s="43"/>
      <c r="BH289" s="12"/>
      <c r="BI289" s="12"/>
      <c r="BJ289" s="12"/>
      <c r="BK289" s="12"/>
      <c r="BL289" s="12"/>
      <c r="BM289" s="12"/>
      <c r="BN289" s="12"/>
      <c r="BO289" s="12"/>
      <c r="BP289" s="35"/>
      <c r="BQ289" s="35"/>
      <c r="BR289" s="47"/>
      <c r="BS289" s="3"/>
      <c r="BT289" s="3"/>
      <c r="BU289" s="3"/>
      <c r="BV289" s="3"/>
      <c r="BW289" s="3"/>
      <c r="BX289" s="3"/>
      <c r="BY289" s="3"/>
      <c r="BZ289" s="3"/>
      <c r="CA289" s="3"/>
      <c r="CB289" s="3"/>
    </row>
    <row r="290" spans="1:80" ht="12.5" x14ac:dyDescent="0.25">
      <c r="A290" s="48"/>
      <c r="B290" s="35"/>
      <c r="C290" s="35"/>
      <c r="D290" s="12"/>
      <c r="E290" s="67"/>
      <c r="F290" s="67"/>
      <c r="G290" s="67"/>
      <c r="H290" s="67"/>
      <c r="I290" s="67"/>
      <c r="J290" s="67"/>
      <c r="K290" s="67"/>
      <c r="L290" s="67"/>
      <c r="M290" s="67"/>
      <c r="N290" s="67"/>
      <c r="O290" s="67"/>
      <c r="P290" s="67"/>
      <c r="Q290" s="67"/>
      <c r="R290" s="67"/>
      <c r="S290" s="67">
        <f>S112/S200</f>
        <v>0</v>
      </c>
      <c r="T290" s="67">
        <f t="shared" ref="T290:AP290" si="171">T112/T200</f>
        <v>0</v>
      </c>
      <c r="U290" s="67">
        <f t="shared" si="171"/>
        <v>0</v>
      </c>
      <c r="V290" s="67">
        <f t="shared" si="171"/>
        <v>13.161645765816543</v>
      </c>
      <c r="W290" s="67">
        <f t="shared" si="171"/>
        <v>0</v>
      </c>
      <c r="X290" s="67">
        <f t="shared" si="171"/>
        <v>0</v>
      </c>
      <c r="Y290" s="67">
        <f t="shared" si="171"/>
        <v>0</v>
      </c>
      <c r="Z290" s="67">
        <f t="shared" si="171"/>
        <v>0</v>
      </c>
      <c r="AA290" s="67">
        <f t="shared" si="171"/>
        <v>0</v>
      </c>
      <c r="AB290" s="67">
        <f t="shared" si="171"/>
        <v>0</v>
      </c>
      <c r="AC290" s="67">
        <f t="shared" si="171"/>
        <v>0</v>
      </c>
      <c r="AD290" s="67">
        <f t="shared" si="171"/>
        <v>0</v>
      </c>
      <c r="AE290" s="67">
        <f t="shared" si="171"/>
        <v>0</v>
      </c>
      <c r="AF290" s="67">
        <f t="shared" si="171"/>
        <v>0</v>
      </c>
      <c r="AG290" s="67">
        <f t="shared" si="171"/>
        <v>0</v>
      </c>
      <c r="AH290" s="67">
        <f t="shared" si="171"/>
        <v>102.61254531473139</v>
      </c>
      <c r="AI290" s="67">
        <f t="shared" si="171"/>
        <v>82.888957381230739</v>
      </c>
      <c r="AJ290" s="67">
        <f t="shared" si="171"/>
        <v>64.55449330783938</v>
      </c>
      <c r="AK290" s="67">
        <f t="shared" si="171"/>
        <v>119.78444869343529</v>
      </c>
      <c r="AL290" s="67">
        <f t="shared" si="171"/>
        <v>0</v>
      </c>
      <c r="AM290" s="67">
        <f t="shared" si="171"/>
        <v>58.620569911142887</v>
      </c>
      <c r="AN290" s="67">
        <f t="shared" si="171"/>
        <v>29.598019999999998</v>
      </c>
      <c r="AO290" s="67">
        <f t="shared" si="171"/>
        <v>27.583876365784029</v>
      </c>
      <c r="AP290" s="67">
        <f t="shared" si="171"/>
        <v>50.182628925940278</v>
      </c>
      <c r="AQ290" s="67">
        <f t="shared" ref="AQ290:AV290" si="172">AQ112/AQ200</f>
        <v>60.785493827160494</v>
      </c>
      <c r="AR290" s="67">
        <f t="shared" si="172"/>
        <v>66.821298601800422</v>
      </c>
      <c r="AS290" s="67">
        <f t="shared" si="172"/>
        <v>97.473922048578416</v>
      </c>
      <c r="AT290" s="67">
        <f t="shared" si="172"/>
        <v>95.364096896011773</v>
      </c>
      <c r="AU290" s="67">
        <f t="shared" si="172"/>
        <v>98.84444042013763</v>
      </c>
      <c r="AV290" s="67">
        <f t="shared" si="172"/>
        <v>130</v>
      </c>
      <c r="AW290" s="67">
        <f t="shared" ref="AW290:AX290" si="173">AW112/AW200</f>
        <v>127.6520373440363</v>
      </c>
      <c r="AX290" s="67">
        <f t="shared" si="173"/>
        <v>168.63173216885008</v>
      </c>
      <c r="AY290" s="35" t="s">
        <v>53</v>
      </c>
      <c r="AZ290" s="35"/>
      <c r="BA290" s="35"/>
      <c r="BB290" s="35"/>
      <c r="BC290" s="304"/>
      <c r="BD290" s="35"/>
      <c r="BE290"/>
      <c r="BF290" s="50"/>
      <c r="BG290" s="43"/>
      <c r="BH290" s="12"/>
      <c r="BI290" s="12"/>
      <c r="BJ290" s="12"/>
      <c r="BK290" s="12"/>
      <c r="BL290" s="12"/>
      <c r="BM290" s="12"/>
      <c r="BN290" s="12"/>
      <c r="BO290" s="12"/>
      <c r="BP290" s="35"/>
      <c r="BQ290" s="35"/>
      <c r="BR290" s="47"/>
      <c r="BS290" s="3"/>
      <c r="BT290" s="3"/>
      <c r="BU290" s="3"/>
      <c r="BV290" s="3"/>
      <c r="BW290" s="3"/>
      <c r="BX290" s="3"/>
      <c r="BY290" s="3"/>
      <c r="BZ290" s="3"/>
      <c r="CA290" s="3"/>
      <c r="CB290" s="3"/>
    </row>
    <row r="291" spans="1:80" ht="12.5" x14ac:dyDescent="0.25">
      <c r="A291" s="48"/>
      <c r="B291" s="35" t="s">
        <v>328</v>
      </c>
      <c r="C291" s="35"/>
      <c r="D291" s="12"/>
      <c r="E291" s="67"/>
      <c r="F291" s="67"/>
      <c r="G291" s="67"/>
      <c r="H291" s="67"/>
      <c r="I291" s="67"/>
      <c r="J291" s="67"/>
      <c r="K291" s="67"/>
      <c r="L291" s="67"/>
      <c r="M291" s="67"/>
      <c r="N291" s="67"/>
      <c r="O291" s="67"/>
      <c r="P291" s="67"/>
      <c r="Q291" s="67"/>
      <c r="R291" s="67"/>
      <c r="S291" s="67">
        <f>S113/S200</f>
        <v>0</v>
      </c>
      <c r="T291" s="67">
        <f t="shared" ref="T291:AP291" si="174">T113/T200</f>
        <v>0</v>
      </c>
      <c r="U291" s="67">
        <f t="shared" si="174"/>
        <v>0</v>
      </c>
      <c r="V291" s="67">
        <f t="shared" si="174"/>
        <v>0</v>
      </c>
      <c r="W291" s="67">
        <f t="shared" si="174"/>
        <v>0</v>
      </c>
      <c r="X291" s="67">
        <f t="shared" si="174"/>
        <v>0</v>
      </c>
      <c r="Y291" s="67">
        <f t="shared" si="174"/>
        <v>0</v>
      </c>
      <c r="Z291" s="67">
        <f t="shared" si="174"/>
        <v>0</v>
      </c>
      <c r="AA291" s="67">
        <f t="shared" si="174"/>
        <v>0</v>
      </c>
      <c r="AB291" s="67">
        <f t="shared" si="174"/>
        <v>0</v>
      </c>
      <c r="AC291" s="67">
        <f t="shared" si="174"/>
        <v>108.45867737482745</v>
      </c>
      <c r="AD291" s="67">
        <f t="shared" si="174"/>
        <v>0</v>
      </c>
      <c r="AE291" s="67">
        <f t="shared" si="174"/>
        <v>0</v>
      </c>
      <c r="AF291" s="67">
        <f t="shared" si="174"/>
        <v>0</v>
      </c>
      <c r="AG291" s="67">
        <f t="shared" si="174"/>
        <v>0</v>
      </c>
      <c r="AH291" s="67">
        <f t="shared" si="174"/>
        <v>0</v>
      </c>
      <c r="AI291" s="67">
        <f t="shared" si="174"/>
        <v>0</v>
      </c>
      <c r="AJ291" s="67">
        <f t="shared" si="174"/>
        <v>0</v>
      </c>
      <c r="AK291" s="67">
        <f t="shared" si="174"/>
        <v>0</v>
      </c>
      <c r="AL291" s="67">
        <f t="shared" si="174"/>
        <v>0</v>
      </c>
      <c r="AM291" s="67">
        <f t="shared" si="174"/>
        <v>0</v>
      </c>
      <c r="AN291" s="67">
        <f t="shared" si="174"/>
        <v>0</v>
      </c>
      <c r="AO291" s="67">
        <f t="shared" si="174"/>
        <v>0</v>
      </c>
      <c r="AP291" s="67">
        <f t="shared" si="174"/>
        <v>0</v>
      </c>
      <c r="AQ291" s="67">
        <f t="shared" ref="AQ291:AV291" si="175">AQ113/AQ200</f>
        <v>0</v>
      </c>
      <c r="AR291" s="67">
        <f t="shared" si="175"/>
        <v>0</v>
      </c>
      <c r="AS291" s="67">
        <f t="shared" si="175"/>
        <v>0</v>
      </c>
      <c r="AT291" s="67">
        <f t="shared" si="175"/>
        <v>0</v>
      </c>
      <c r="AU291" s="67">
        <f t="shared" si="175"/>
        <v>0</v>
      </c>
      <c r="AV291" s="67">
        <f t="shared" si="175"/>
        <v>0</v>
      </c>
      <c r="AW291" s="67">
        <f t="shared" ref="AW291:AX291" si="176">AW113/AW200</f>
        <v>0</v>
      </c>
      <c r="AX291" s="67">
        <f t="shared" si="176"/>
        <v>0</v>
      </c>
      <c r="AY291" s="35" t="s">
        <v>328</v>
      </c>
      <c r="AZ291" s="35"/>
      <c r="BA291" s="35"/>
      <c r="BB291" s="35"/>
      <c r="BC291" s="304"/>
      <c r="BD291" s="35"/>
      <c r="BE291"/>
      <c r="BF291" s="50"/>
      <c r="BG291" s="43"/>
      <c r="BH291" s="12"/>
      <c r="BI291" s="12"/>
      <c r="BJ291" s="12"/>
      <c r="BK291" s="12"/>
      <c r="BL291" s="12"/>
      <c r="BM291" s="12"/>
      <c r="BN291" s="12"/>
      <c r="BO291" s="12"/>
      <c r="BP291" s="35"/>
      <c r="BQ291" s="35"/>
      <c r="BR291" s="47"/>
      <c r="BS291" s="3"/>
      <c r="BT291" s="3"/>
      <c r="BU291" s="3"/>
      <c r="BV291" s="3"/>
      <c r="BW291" s="3"/>
      <c r="BX291" s="3"/>
      <c r="BY291" s="3"/>
      <c r="BZ291" s="3"/>
      <c r="CA291" s="3"/>
      <c r="CB291" s="3"/>
    </row>
    <row r="292" spans="1:80" ht="12.5" x14ac:dyDescent="0.25">
      <c r="A292" s="48"/>
      <c r="B292" s="35" t="s">
        <v>169</v>
      </c>
      <c r="C292" s="35"/>
      <c r="D292" s="12"/>
      <c r="E292" s="67"/>
      <c r="F292" s="67"/>
      <c r="G292" s="67"/>
      <c r="H292" s="67"/>
      <c r="I292" s="67"/>
      <c r="J292" s="67"/>
      <c r="K292" s="67"/>
      <c r="L292" s="67"/>
      <c r="M292" s="67"/>
      <c r="N292" s="67"/>
      <c r="O292" s="67"/>
      <c r="P292" s="67"/>
      <c r="Q292" s="67"/>
      <c r="R292" s="67"/>
      <c r="S292" s="67">
        <f>S114/S200</f>
        <v>0</v>
      </c>
      <c r="T292" s="67">
        <f t="shared" ref="T292:AP292" si="177">T114/T200</f>
        <v>0</v>
      </c>
      <c r="U292" s="67">
        <f t="shared" si="177"/>
        <v>0</v>
      </c>
      <c r="V292" s="67">
        <f t="shared" si="177"/>
        <v>0</v>
      </c>
      <c r="W292" s="67">
        <f t="shared" si="177"/>
        <v>0</v>
      </c>
      <c r="X292" s="67">
        <f t="shared" si="177"/>
        <v>0</v>
      </c>
      <c r="Y292" s="67">
        <f t="shared" si="177"/>
        <v>0</v>
      </c>
      <c r="Z292" s="67">
        <f t="shared" si="177"/>
        <v>0</v>
      </c>
      <c r="AA292" s="67">
        <f t="shared" si="177"/>
        <v>0</v>
      </c>
      <c r="AB292" s="67">
        <f t="shared" si="177"/>
        <v>0</v>
      </c>
      <c r="AC292" s="67">
        <f t="shared" si="177"/>
        <v>8.7981453130882166</v>
      </c>
      <c r="AD292" s="67">
        <f t="shared" si="177"/>
        <v>17.837154441577585</v>
      </c>
      <c r="AE292" s="67">
        <f t="shared" si="177"/>
        <v>20.125372059529525</v>
      </c>
      <c r="AF292" s="67">
        <f t="shared" si="177"/>
        <v>17.553672447910603</v>
      </c>
      <c r="AG292" s="67">
        <f t="shared" si="177"/>
        <v>0</v>
      </c>
      <c r="AH292" s="67">
        <f t="shared" si="177"/>
        <v>0</v>
      </c>
      <c r="AI292" s="67">
        <f t="shared" si="177"/>
        <v>0</v>
      </c>
      <c r="AJ292" s="67">
        <f t="shared" si="177"/>
        <v>0</v>
      </c>
      <c r="AK292" s="67">
        <f t="shared" si="177"/>
        <v>0</v>
      </c>
      <c r="AL292" s="67">
        <f t="shared" si="177"/>
        <v>0</v>
      </c>
      <c r="AM292" s="67">
        <f t="shared" si="177"/>
        <v>0</v>
      </c>
      <c r="AN292" s="67">
        <f t="shared" si="177"/>
        <v>0</v>
      </c>
      <c r="AO292" s="67">
        <f t="shared" si="177"/>
        <v>0</v>
      </c>
      <c r="AP292" s="67">
        <f t="shared" si="177"/>
        <v>0</v>
      </c>
      <c r="AQ292" s="67">
        <f t="shared" ref="AQ292:AV292" si="178">AQ114/AQ200</f>
        <v>0</v>
      </c>
      <c r="AR292" s="67">
        <f t="shared" si="178"/>
        <v>0</v>
      </c>
      <c r="AS292" s="67">
        <f t="shared" si="178"/>
        <v>0</v>
      </c>
      <c r="AT292" s="67">
        <f t="shared" si="178"/>
        <v>0</v>
      </c>
      <c r="AU292" s="67">
        <f t="shared" si="178"/>
        <v>0</v>
      </c>
      <c r="AV292" s="67">
        <f t="shared" si="178"/>
        <v>0</v>
      </c>
      <c r="AW292" s="67">
        <f t="shared" ref="AW292:AX292" si="179">AW114/AW200</f>
        <v>0</v>
      </c>
      <c r="AX292" s="67">
        <f t="shared" si="179"/>
        <v>0</v>
      </c>
      <c r="AY292" s="35" t="s">
        <v>169</v>
      </c>
      <c r="AZ292" s="35"/>
      <c r="BA292" s="35"/>
      <c r="BB292" s="35"/>
      <c r="BC292" s="304"/>
      <c r="BD292" s="35"/>
      <c r="BE292"/>
      <c r="BF292" s="50"/>
      <c r="BG292" s="43"/>
      <c r="BH292" s="12"/>
      <c r="BI292" s="12"/>
      <c r="BJ292" s="12"/>
      <c r="BK292" s="12"/>
      <c r="BL292" s="12"/>
      <c r="BM292" s="12"/>
      <c r="BN292" s="12"/>
      <c r="BO292" s="12"/>
      <c r="BP292" s="35"/>
      <c r="BQ292" s="35"/>
      <c r="BR292" s="47"/>
      <c r="BS292" s="3"/>
      <c r="BT292" s="3"/>
      <c r="BU292" s="3"/>
      <c r="BV292" s="3"/>
      <c r="BW292" s="3"/>
      <c r="BX292" s="3"/>
      <c r="BY292" s="3"/>
      <c r="BZ292" s="3"/>
      <c r="CA292" s="3"/>
      <c r="CB292" s="3"/>
    </row>
    <row r="293" spans="1:80" ht="12.5" x14ac:dyDescent="0.25">
      <c r="A293" s="48"/>
      <c r="B293" s="35" t="s">
        <v>200</v>
      </c>
      <c r="C293" s="35"/>
      <c r="D293" s="12"/>
      <c r="E293" s="67"/>
      <c r="F293" s="67"/>
      <c r="G293" s="67"/>
      <c r="H293" s="67"/>
      <c r="I293" s="67"/>
      <c r="J293" s="67"/>
      <c r="K293" s="67"/>
      <c r="L293" s="67"/>
      <c r="M293" s="67"/>
      <c r="N293" s="67"/>
      <c r="O293" s="67"/>
      <c r="P293" s="67"/>
      <c r="Q293" s="67"/>
      <c r="R293" s="67"/>
      <c r="S293" s="67">
        <f>S115/S200</f>
        <v>3.2645190839694651</v>
      </c>
      <c r="T293" s="67">
        <f t="shared" ref="T293:AP293" si="180">T115/T200</f>
        <v>4.8186328067326141</v>
      </c>
      <c r="U293" s="67">
        <f t="shared" si="180"/>
        <v>6.2059497895806119</v>
      </c>
      <c r="V293" s="67">
        <f t="shared" si="180"/>
        <v>7.6115541778216143</v>
      </c>
      <c r="W293" s="67">
        <f t="shared" si="180"/>
        <v>22.09717920353982</v>
      </c>
      <c r="X293" s="67">
        <f t="shared" si="180"/>
        <v>24.96829004329004</v>
      </c>
      <c r="Y293" s="67">
        <f t="shared" si="180"/>
        <v>35.91702127659574</v>
      </c>
      <c r="Z293" s="67">
        <f t="shared" si="180"/>
        <v>44.992004264392321</v>
      </c>
      <c r="AA293" s="67">
        <f t="shared" si="180"/>
        <v>43.764741570108058</v>
      </c>
      <c r="AB293" s="67">
        <f t="shared" si="180"/>
        <v>53.788025931104613</v>
      </c>
      <c r="AC293" s="67">
        <f t="shared" si="180"/>
        <v>36.435336930606091</v>
      </c>
      <c r="AD293" s="67">
        <f t="shared" si="180"/>
        <v>39.269394274480888</v>
      </c>
      <c r="AE293" s="67">
        <f t="shared" si="180"/>
        <v>33.767402784445508</v>
      </c>
      <c r="AF293" s="67">
        <f t="shared" si="180"/>
        <v>47.562477917310048</v>
      </c>
      <c r="AG293" s="67">
        <f t="shared" si="180"/>
        <v>44.389555317126181</v>
      </c>
      <c r="AH293" s="67">
        <f t="shared" si="180"/>
        <v>57.668237107074845</v>
      </c>
      <c r="AI293" s="67">
        <f t="shared" si="180"/>
        <v>57.582364887430224</v>
      </c>
      <c r="AJ293" s="67">
        <f t="shared" si="180"/>
        <v>75.319615961668148</v>
      </c>
      <c r="AK293" s="67">
        <f t="shared" si="180"/>
        <v>82.293140363754191</v>
      </c>
      <c r="AL293" s="67">
        <f t="shared" si="180"/>
        <v>96.333335163670071</v>
      </c>
      <c r="AM293" s="67">
        <f t="shared" si="180"/>
        <v>105.49035158112233</v>
      </c>
      <c r="AN293" s="67">
        <f t="shared" si="180"/>
        <v>100.64709193616721</v>
      </c>
      <c r="AO293" s="67">
        <f t="shared" si="180"/>
        <v>95.321883499059808</v>
      </c>
      <c r="AP293" s="67">
        <f t="shared" si="180"/>
        <v>96.980808946258804</v>
      </c>
      <c r="AQ293" s="67">
        <f t="shared" ref="AQ293:AV293" si="181">AQ115/AQ200</f>
        <v>91.184337275701665</v>
      </c>
      <c r="AR293" s="67">
        <f t="shared" si="181"/>
        <v>86.366221308327354</v>
      </c>
      <c r="AS293" s="67">
        <f t="shared" si="181"/>
        <v>78.852633971286608</v>
      </c>
      <c r="AT293" s="67">
        <f t="shared" si="181"/>
        <v>79.302565238193353</v>
      </c>
      <c r="AU293" s="67">
        <f t="shared" si="181"/>
        <v>76.848078906376202</v>
      </c>
      <c r="AV293" s="67">
        <f t="shared" si="181"/>
        <v>76.060752056404226</v>
      </c>
      <c r="AW293" s="67">
        <f t="shared" ref="AW293:AX293" si="182">AW115/AW200</f>
        <v>74.313740231209536</v>
      </c>
      <c r="AX293" s="67">
        <f t="shared" si="182"/>
        <v>121.17732661480447</v>
      </c>
      <c r="AY293" s="35" t="s">
        <v>200</v>
      </c>
      <c r="AZ293" s="35"/>
      <c r="BA293" s="35"/>
      <c r="BB293" s="35"/>
      <c r="BC293" s="304"/>
      <c r="BD293" s="35"/>
      <c r="BE293"/>
      <c r="BF293" s="50"/>
      <c r="BG293" s="43"/>
      <c r="BH293" s="12"/>
      <c r="BI293" s="12"/>
      <c r="BJ293" s="12"/>
      <c r="BK293" s="12"/>
      <c r="BL293" s="12"/>
      <c r="BM293" s="12"/>
      <c r="BN293" s="12"/>
      <c r="BO293" s="12"/>
      <c r="BP293" s="35"/>
      <c r="BQ293" s="35"/>
      <c r="BR293" s="47"/>
      <c r="BS293" s="3"/>
      <c r="BT293" s="3"/>
      <c r="BU293" s="3"/>
      <c r="BV293" s="3"/>
      <c r="BW293" s="3"/>
      <c r="BX293" s="3"/>
      <c r="BY293" s="3"/>
      <c r="BZ293" s="3"/>
      <c r="CA293" s="3"/>
      <c r="CB293" s="3"/>
    </row>
    <row r="294" spans="1:80" ht="12.5" x14ac:dyDescent="0.25">
      <c r="A294" s="48"/>
      <c r="B294" s="35"/>
      <c r="C294" s="35"/>
      <c r="D294" s="12"/>
      <c r="E294" s="67"/>
      <c r="F294" s="67"/>
      <c r="G294" s="67"/>
      <c r="H294" s="67"/>
      <c r="I294" s="67"/>
      <c r="J294" s="67"/>
      <c r="K294" s="67"/>
      <c r="L294" s="67"/>
      <c r="M294" s="67"/>
      <c r="N294" s="67"/>
      <c r="O294" s="67"/>
      <c r="P294" s="67"/>
      <c r="Q294" s="67"/>
      <c r="R294" s="67"/>
      <c r="S294" s="67">
        <f>S117/S200</f>
        <v>0</v>
      </c>
      <c r="T294" s="67">
        <f t="shared" ref="T294:AP294" si="183">T117/T200</f>
        <v>0</v>
      </c>
      <c r="U294" s="67">
        <f t="shared" si="183"/>
        <v>0</v>
      </c>
      <c r="V294" s="67">
        <f t="shared" si="183"/>
        <v>0</v>
      </c>
      <c r="W294" s="67">
        <f t="shared" si="183"/>
        <v>0</v>
      </c>
      <c r="X294" s="67">
        <f t="shared" si="183"/>
        <v>0</v>
      </c>
      <c r="Y294" s="67">
        <f t="shared" si="183"/>
        <v>0</v>
      </c>
      <c r="Z294" s="67">
        <f t="shared" si="183"/>
        <v>0</v>
      </c>
      <c r="AA294" s="67">
        <f t="shared" si="183"/>
        <v>0</v>
      </c>
      <c r="AB294" s="67">
        <f t="shared" si="183"/>
        <v>0</v>
      </c>
      <c r="AC294" s="67">
        <f t="shared" si="183"/>
        <v>0</v>
      </c>
      <c r="AD294" s="67">
        <f t="shared" si="183"/>
        <v>0</v>
      </c>
      <c r="AE294" s="67">
        <f t="shared" si="183"/>
        <v>0</v>
      </c>
      <c r="AF294" s="67">
        <f t="shared" si="183"/>
        <v>0</v>
      </c>
      <c r="AG294" s="67">
        <f t="shared" si="183"/>
        <v>0</v>
      </c>
      <c r="AH294" s="67">
        <f t="shared" si="183"/>
        <v>0</v>
      </c>
      <c r="AI294" s="67">
        <f t="shared" si="183"/>
        <v>145.32479540865131</v>
      </c>
      <c r="AJ294" s="67">
        <f t="shared" si="183"/>
        <v>209.68255789250054</v>
      </c>
      <c r="AK294" s="67">
        <f t="shared" si="183"/>
        <v>0</v>
      </c>
      <c r="AL294" s="67">
        <f t="shared" si="183"/>
        <v>278.85394008976095</v>
      </c>
      <c r="AM294" s="67">
        <f t="shared" si="183"/>
        <v>0</v>
      </c>
      <c r="AN294" s="67">
        <f t="shared" si="183"/>
        <v>0</v>
      </c>
      <c r="AO294" s="67">
        <f t="shared" si="183"/>
        <v>0</v>
      </c>
      <c r="AP294" s="67">
        <f t="shared" si="183"/>
        <v>0</v>
      </c>
      <c r="AQ294" s="67">
        <f t="shared" ref="AQ294:AV294" si="184">AQ117/AQ200</f>
        <v>0</v>
      </c>
      <c r="AR294" s="67">
        <f t="shared" si="184"/>
        <v>0</v>
      </c>
      <c r="AS294" s="67">
        <f t="shared" si="184"/>
        <v>0</v>
      </c>
      <c r="AT294" s="67">
        <f t="shared" si="184"/>
        <v>0</v>
      </c>
      <c r="AU294" s="67">
        <f t="shared" si="184"/>
        <v>0</v>
      </c>
      <c r="AV294" s="67">
        <f t="shared" si="184"/>
        <v>0</v>
      </c>
      <c r="AW294" s="67">
        <f t="shared" ref="AW294:AX294" si="185">AW117/AW200</f>
        <v>0</v>
      </c>
      <c r="AX294" s="67">
        <f t="shared" si="185"/>
        <v>0</v>
      </c>
      <c r="AY294" s="3" t="s">
        <v>255</v>
      </c>
      <c r="AZ294" s="35"/>
      <c r="BA294" s="35"/>
      <c r="BB294" s="35"/>
      <c r="BC294" s="304"/>
      <c r="BD294" s="35"/>
      <c r="BE294"/>
      <c r="BF294" s="50"/>
      <c r="BG294" s="43"/>
      <c r="BH294" s="12"/>
      <c r="BI294" s="12"/>
      <c r="BJ294" s="12"/>
      <c r="BK294" s="12"/>
      <c r="BL294" s="12"/>
      <c r="BM294" s="12"/>
      <c r="BN294" s="12"/>
      <c r="BO294" s="12"/>
      <c r="BP294" s="35"/>
      <c r="BQ294" s="35"/>
      <c r="BR294" s="47"/>
      <c r="BS294" s="3"/>
      <c r="BT294" s="3"/>
      <c r="BU294" s="3"/>
      <c r="BV294" s="3"/>
      <c r="BW294" s="3"/>
      <c r="BX294" s="3"/>
      <c r="BY294" s="3"/>
      <c r="BZ294" s="3"/>
      <c r="CA294" s="3"/>
      <c r="CB294" s="3"/>
    </row>
    <row r="295" spans="1:80" ht="12.5" x14ac:dyDescent="0.25">
      <c r="A295" s="48"/>
      <c r="B295" s="35" t="s">
        <v>15</v>
      </c>
      <c r="C295" s="35"/>
      <c r="D295" s="12"/>
      <c r="E295" s="67"/>
      <c r="F295" s="67"/>
      <c r="G295" s="67"/>
      <c r="H295" s="67"/>
      <c r="I295" s="67"/>
      <c r="J295" s="67"/>
      <c r="K295" s="67"/>
      <c r="L295" s="67"/>
      <c r="M295" s="67"/>
      <c r="N295" s="67"/>
      <c r="O295" s="67"/>
      <c r="P295" s="67"/>
      <c r="Q295" s="67"/>
      <c r="R295" s="67"/>
      <c r="S295" s="67">
        <f>S118/S200</f>
        <v>0</v>
      </c>
      <c r="T295" s="67">
        <f t="shared" ref="T295:AP295" si="186">T118/T200</f>
        <v>0</v>
      </c>
      <c r="U295" s="67">
        <f t="shared" si="186"/>
        <v>-9.3089246843709184</v>
      </c>
      <c r="V295" s="67">
        <f t="shared" si="186"/>
        <v>-14.74738621952938</v>
      </c>
      <c r="W295" s="67">
        <f t="shared" si="186"/>
        <v>-24.587002212389383</v>
      </c>
      <c r="X295" s="67">
        <f t="shared" si="186"/>
        <v>-28.774431818181814</v>
      </c>
      <c r="Y295" s="67">
        <f t="shared" si="186"/>
        <v>-36.977861567465659</v>
      </c>
      <c r="Z295" s="67">
        <f t="shared" si="186"/>
        <v>-1.499733475479744</v>
      </c>
      <c r="AA295" s="67">
        <f t="shared" si="186"/>
        <v>0</v>
      </c>
      <c r="AB295" s="67">
        <f t="shared" si="186"/>
        <v>0</v>
      </c>
      <c r="AC295" s="67">
        <f t="shared" si="186"/>
        <v>0</v>
      </c>
      <c r="AD295" s="67">
        <f t="shared" si="186"/>
        <v>0</v>
      </c>
      <c r="AE295" s="67">
        <f t="shared" si="186"/>
        <v>-17.559049447911665</v>
      </c>
      <c r="AF295" s="67">
        <f t="shared" si="186"/>
        <v>0</v>
      </c>
      <c r="AG295" s="67">
        <f t="shared" si="186"/>
        <v>0</v>
      </c>
      <c r="AH295" s="67">
        <f t="shared" si="186"/>
        <v>0</v>
      </c>
      <c r="AI295" s="67">
        <f t="shared" si="186"/>
        <v>0</v>
      </c>
      <c r="AJ295" s="67">
        <f t="shared" si="186"/>
        <v>0</v>
      </c>
      <c r="AK295" s="67">
        <f t="shared" si="186"/>
        <v>0</v>
      </c>
      <c r="AL295" s="67">
        <f t="shared" si="186"/>
        <v>0</v>
      </c>
      <c r="AM295" s="67">
        <f t="shared" si="186"/>
        <v>0</v>
      </c>
      <c r="AN295" s="67">
        <f t="shared" si="186"/>
        <v>0</v>
      </c>
      <c r="AO295" s="67">
        <f t="shared" si="186"/>
        <v>0</v>
      </c>
      <c r="AP295" s="67">
        <f t="shared" si="186"/>
        <v>0</v>
      </c>
      <c r="AQ295" s="67">
        <f t="shared" ref="AQ295:AV295" si="187">AQ118/AQ200</f>
        <v>0</v>
      </c>
      <c r="AR295" s="67">
        <f t="shared" si="187"/>
        <v>0</v>
      </c>
      <c r="AS295" s="67">
        <f t="shared" si="187"/>
        <v>0</v>
      </c>
      <c r="AT295" s="67">
        <f t="shared" si="187"/>
        <v>0</v>
      </c>
      <c r="AU295" s="67">
        <f t="shared" si="187"/>
        <v>0</v>
      </c>
      <c r="AV295" s="67">
        <f t="shared" si="187"/>
        <v>-14.531511469709089</v>
      </c>
      <c r="AW295" s="67">
        <f t="shared" ref="AW295:AX295" si="188">AW118/AW200</f>
        <v>-0.44391428215620593</v>
      </c>
      <c r="AX295" s="67">
        <f t="shared" si="188"/>
        <v>0</v>
      </c>
      <c r="AY295" s="35" t="s">
        <v>15</v>
      </c>
      <c r="AZ295" s="35"/>
      <c r="BA295" s="35"/>
      <c r="BB295" s="35"/>
      <c r="BC295" s="304"/>
      <c r="BD295" s="35"/>
      <c r="BE295"/>
      <c r="BF295" s="43"/>
      <c r="BG295" s="43"/>
      <c r="BH295" s="12"/>
      <c r="BI295" s="12"/>
      <c r="BJ295" s="12"/>
      <c r="BK295" s="12"/>
      <c r="BL295" s="12"/>
      <c r="BM295" s="12"/>
      <c r="BN295" s="12"/>
      <c r="BO295" s="12"/>
      <c r="BP295" s="35"/>
      <c r="BQ295" s="35"/>
      <c r="BR295" s="47"/>
      <c r="BS295" s="3"/>
      <c r="BT295" s="3"/>
      <c r="BU295" s="3"/>
      <c r="BV295" s="3"/>
      <c r="BW295" s="3"/>
      <c r="BX295" s="3"/>
      <c r="BY295" s="3"/>
      <c r="BZ295" s="3"/>
      <c r="CA295" s="3"/>
      <c r="CB295" s="3"/>
    </row>
    <row r="296" spans="1:80" ht="12.5" x14ac:dyDescent="0.25">
      <c r="A296" s="48"/>
      <c r="B296" s="35"/>
      <c r="C296" s="35"/>
      <c r="D296" s="12"/>
      <c r="E296" s="153"/>
      <c r="F296" s="153"/>
      <c r="G296" s="153"/>
      <c r="H296" s="153"/>
      <c r="I296" s="153"/>
      <c r="J296" s="153"/>
      <c r="K296" s="153"/>
      <c r="L296" s="153"/>
      <c r="M296" s="153"/>
      <c r="N296" s="153"/>
      <c r="O296" s="153"/>
      <c r="P296" s="153"/>
      <c r="Q296" s="153"/>
      <c r="R296" s="153"/>
      <c r="S296" s="153"/>
      <c r="T296" s="153"/>
      <c r="U296" s="154"/>
      <c r="V296" s="154"/>
      <c r="W296" s="153"/>
      <c r="X296" s="154"/>
      <c r="Y296" s="153"/>
      <c r="Z296" s="153"/>
      <c r="AA296" s="154"/>
      <c r="AB296" s="154"/>
      <c r="AC296" s="153"/>
      <c r="AD296" s="154"/>
      <c r="AE296" s="153"/>
      <c r="AF296" s="153"/>
      <c r="AG296" s="153"/>
      <c r="AH296" s="153"/>
      <c r="AI296" s="156"/>
      <c r="AJ296" s="153"/>
      <c r="AK296" s="153"/>
      <c r="AL296" s="153"/>
      <c r="AM296" s="153"/>
      <c r="AN296" s="153"/>
      <c r="AO296" s="12"/>
      <c r="AP296" s="12"/>
      <c r="AQ296" s="12"/>
      <c r="AR296" s="12"/>
      <c r="AS296" s="12"/>
      <c r="AT296" s="12"/>
      <c r="AU296" s="12"/>
      <c r="AV296" s="12"/>
      <c r="AW296" s="12"/>
      <c r="AX296" s="12"/>
      <c r="AY296" s="35"/>
      <c r="AZ296" s="35"/>
      <c r="BA296" s="35"/>
      <c r="BB296" s="35"/>
      <c r="BC296" s="304"/>
      <c r="BD296" s="35"/>
      <c r="BE296"/>
      <c r="BF296" s="43"/>
      <c r="BG296" s="43"/>
      <c r="BH296" s="12"/>
      <c r="BI296" s="12"/>
      <c r="BJ296" s="12"/>
      <c r="BK296" s="12"/>
      <c r="BL296" s="12"/>
      <c r="BM296" s="12"/>
      <c r="BN296" s="12"/>
      <c r="BO296" s="12"/>
      <c r="BP296" s="35"/>
      <c r="BQ296" s="35"/>
      <c r="BR296" s="47"/>
      <c r="BS296" s="3"/>
      <c r="BT296" s="3"/>
      <c r="BU296" s="3"/>
      <c r="BV296" s="3"/>
      <c r="BW296" s="3"/>
      <c r="BX296" s="3"/>
      <c r="BY296" s="3"/>
      <c r="BZ296" s="3"/>
      <c r="CA296" s="3"/>
      <c r="CB296" s="3"/>
    </row>
    <row r="297" spans="1:80" ht="12.5" x14ac:dyDescent="0.25">
      <c r="A297" s="48"/>
      <c r="B297" s="44" t="s">
        <v>337</v>
      </c>
      <c r="C297" s="35"/>
      <c r="D297" s="12"/>
      <c r="E297" s="158"/>
      <c r="F297" s="158"/>
      <c r="G297" s="158"/>
      <c r="H297" s="158"/>
      <c r="I297" s="158"/>
      <c r="J297" s="158"/>
      <c r="K297" s="158"/>
      <c r="L297" s="158"/>
      <c r="M297" s="158"/>
      <c r="N297" s="158"/>
      <c r="O297" s="158"/>
      <c r="P297" s="158"/>
      <c r="Q297" s="158"/>
      <c r="R297" s="158"/>
      <c r="S297" s="158"/>
      <c r="T297" s="158"/>
      <c r="U297" s="159"/>
      <c r="V297" s="159"/>
      <c r="W297" s="158"/>
      <c r="X297" s="159"/>
      <c r="Y297" s="158"/>
      <c r="Z297" s="158"/>
      <c r="AA297" s="159"/>
      <c r="AB297" s="159"/>
      <c r="AC297" s="158"/>
      <c r="AD297" s="159"/>
      <c r="AE297" s="158"/>
      <c r="AF297" s="158"/>
      <c r="AG297" s="158"/>
      <c r="AH297" s="158"/>
      <c r="AI297" s="161"/>
      <c r="AJ297" s="158"/>
      <c r="AK297" s="158"/>
      <c r="AL297" s="158"/>
      <c r="AM297" s="158"/>
      <c r="AN297" s="158"/>
      <c r="AO297" s="12"/>
      <c r="AP297" s="12"/>
      <c r="AQ297" s="12"/>
      <c r="AR297" s="12"/>
      <c r="AS297" s="12"/>
      <c r="AT297" s="12"/>
      <c r="AU297" s="12"/>
      <c r="AV297" s="12"/>
      <c r="AW297" s="12"/>
      <c r="AX297" s="12"/>
      <c r="AY297" s="44" t="s">
        <v>465</v>
      </c>
      <c r="AZ297" s="35"/>
      <c r="BA297" s="35"/>
      <c r="BB297" s="35"/>
      <c r="BC297" s="304"/>
      <c r="BD297" s="35"/>
      <c r="BE297"/>
      <c r="BF297" s="43"/>
      <c r="BG297" s="43"/>
      <c r="BH297" s="12"/>
      <c r="BI297" s="12"/>
      <c r="BJ297" s="12"/>
      <c r="BK297" s="12"/>
      <c r="BL297" s="12"/>
      <c r="BM297" s="12"/>
      <c r="BN297" s="12"/>
      <c r="BO297" s="12"/>
      <c r="BP297" s="35"/>
      <c r="BQ297" s="35"/>
      <c r="BR297" s="47"/>
      <c r="BS297" s="3"/>
      <c r="BT297" s="3"/>
      <c r="BU297" s="3"/>
      <c r="BV297" s="3"/>
      <c r="BW297" s="3"/>
      <c r="BX297" s="3"/>
      <c r="BY297" s="3"/>
      <c r="BZ297" s="3"/>
      <c r="CA297" s="3"/>
      <c r="CB297" s="3"/>
    </row>
    <row r="298" spans="1:80" ht="12.5" x14ac:dyDescent="0.25">
      <c r="A298" s="48"/>
      <c r="B298" s="3" t="s">
        <v>19</v>
      </c>
      <c r="C298" s="35"/>
      <c r="D298" s="12"/>
      <c r="E298" s="67">
        <f>E125/E200</f>
        <v>0</v>
      </c>
      <c r="F298" s="67">
        <f t="shared" ref="F298:AR298" si="189">F125/F200</f>
        <v>0</v>
      </c>
      <c r="G298" s="67">
        <f t="shared" si="189"/>
        <v>0</v>
      </c>
      <c r="H298" s="67">
        <f t="shared" si="189"/>
        <v>0</v>
      </c>
      <c r="I298" s="67">
        <f t="shared" si="189"/>
        <v>0</v>
      </c>
      <c r="J298" s="67">
        <f t="shared" si="189"/>
        <v>0</v>
      </c>
      <c r="K298" s="67">
        <f t="shared" si="189"/>
        <v>0</v>
      </c>
      <c r="L298" s="67">
        <f t="shared" si="189"/>
        <v>0</v>
      </c>
      <c r="M298" s="67">
        <f t="shared" si="189"/>
        <v>0</v>
      </c>
      <c r="N298" s="67">
        <f t="shared" si="189"/>
        <v>0</v>
      </c>
      <c r="O298" s="67">
        <f t="shared" si="189"/>
        <v>0</v>
      </c>
      <c r="P298" s="67">
        <f t="shared" si="189"/>
        <v>0</v>
      </c>
      <c r="Q298" s="67">
        <f t="shared" si="189"/>
        <v>0</v>
      </c>
      <c r="R298" s="67">
        <f t="shared" si="189"/>
        <v>0</v>
      </c>
      <c r="S298" s="67">
        <f t="shared" si="189"/>
        <v>0</v>
      </c>
      <c r="T298" s="67">
        <f t="shared" si="189"/>
        <v>0</v>
      </c>
      <c r="U298" s="67">
        <f t="shared" si="189"/>
        <v>0</v>
      </c>
      <c r="V298" s="67">
        <f t="shared" si="189"/>
        <v>0</v>
      </c>
      <c r="W298" s="67">
        <f t="shared" si="189"/>
        <v>0</v>
      </c>
      <c r="X298" s="67">
        <f t="shared" si="189"/>
        <v>0</v>
      </c>
      <c r="Y298" s="67">
        <f t="shared" si="189"/>
        <v>0</v>
      </c>
      <c r="Z298" s="67">
        <f t="shared" si="189"/>
        <v>0</v>
      </c>
      <c r="AA298" s="67">
        <f t="shared" si="189"/>
        <v>0</v>
      </c>
      <c r="AB298" s="67">
        <f t="shared" si="189"/>
        <v>0</v>
      </c>
      <c r="AC298" s="67">
        <f t="shared" si="189"/>
        <v>0</v>
      </c>
      <c r="AD298" s="67">
        <f t="shared" si="189"/>
        <v>111.17110210099521</v>
      </c>
      <c r="AE298" s="67">
        <f t="shared" si="189"/>
        <v>96.574771963514152</v>
      </c>
      <c r="AF298" s="67">
        <f t="shared" si="189"/>
        <v>117.24281224537306</v>
      </c>
      <c r="AG298" s="67">
        <f t="shared" si="189"/>
        <v>168.23905298759863</v>
      </c>
      <c r="AH298" s="67">
        <f t="shared" si="189"/>
        <v>90.249588047896296</v>
      </c>
      <c r="AI298" s="67">
        <f t="shared" si="189"/>
        <v>69.373153363800625</v>
      </c>
      <c r="AJ298" s="67">
        <f t="shared" si="189"/>
        <v>99.342192479286155</v>
      </c>
      <c r="AK298" s="67">
        <f t="shared" si="189"/>
        <v>0</v>
      </c>
      <c r="AL298" s="67">
        <f t="shared" si="189"/>
        <v>142.59843440141947</v>
      </c>
      <c r="AM298" s="67">
        <f t="shared" si="189"/>
        <v>117.24113982228577</v>
      </c>
      <c r="AN298" s="67">
        <f t="shared" si="189"/>
        <v>108.26348</v>
      </c>
      <c r="AO298" s="67">
        <f t="shared" si="189"/>
        <v>100.69776552810316</v>
      </c>
      <c r="AP298" s="67">
        <f t="shared" si="189"/>
        <v>98.619775106630456</v>
      </c>
      <c r="AQ298" s="67">
        <f t="shared" si="189"/>
        <v>100.94733796296296</v>
      </c>
      <c r="AR298" s="67">
        <f t="shared" si="189"/>
        <v>151.96456617506223</v>
      </c>
      <c r="AS298" s="67">
        <f t="shared" ref="AS298:AX298" si="190">AS125/AS200</f>
        <v>163.16286951609865</v>
      </c>
      <c r="AT298" s="67">
        <f t="shared" si="190"/>
        <v>174.35044671640412</v>
      </c>
      <c r="AU298" s="67">
        <f t="shared" si="190"/>
        <v>198.19838826512131</v>
      </c>
      <c r="AV298" s="67">
        <f t="shared" si="190"/>
        <v>252</v>
      </c>
      <c r="AW298" s="67">
        <f t="shared" si="190"/>
        <v>246.17204432423</v>
      </c>
      <c r="AX298" s="67">
        <f t="shared" si="190"/>
        <v>171.52256186317322</v>
      </c>
      <c r="AY298" s="3" t="s">
        <v>19</v>
      </c>
      <c r="AZ298" s="35"/>
      <c r="BA298" s="35"/>
      <c r="BC298" s="304"/>
      <c r="BD298" s="35"/>
      <c r="BE298"/>
      <c r="BF298" s="43"/>
      <c r="BG298" s="43"/>
      <c r="BH298" s="12"/>
      <c r="BI298" s="12"/>
      <c r="BJ298" s="12"/>
      <c r="BK298" s="12"/>
      <c r="BL298" s="12"/>
      <c r="BM298" s="12"/>
      <c r="BN298" s="12"/>
      <c r="BO298" s="12"/>
      <c r="BP298" s="35"/>
      <c r="BQ298" s="35"/>
      <c r="BR298" s="47"/>
      <c r="BS298" s="3"/>
      <c r="BT298" s="3"/>
      <c r="BU298" s="3"/>
      <c r="BV298" s="3"/>
      <c r="BW298" s="3"/>
      <c r="BX298" s="3"/>
      <c r="BY298" s="3"/>
      <c r="BZ298" s="3"/>
      <c r="CA298" s="3"/>
      <c r="CB298" s="3"/>
    </row>
    <row r="299" spans="1:80" ht="12.5" x14ac:dyDescent="0.25">
      <c r="A299" s="48"/>
      <c r="B299" s="3"/>
      <c r="C299" s="35"/>
      <c r="D299" s="12"/>
      <c r="E299" s="67"/>
      <c r="F299" s="67"/>
      <c r="G299" s="67"/>
      <c r="H299" s="67"/>
      <c r="I299" s="67"/>
      <c r="J299" s="67"/>
      <c r="K299" s="67"/>
      <c r="L299" s="67"/>
      <c r="M299" s="67"/>
      <c r="N299" s="67"/>
      <c r="O299" s="67"/>
      <c r="P299" s="67"/>
      <c r="Q299" s="67"/>
      <c r="R299" s="67"/>
      <c r="S299" s="67"/>
      <c r="T299" s="67"/>
      <c r="U299" s="67"/>
      <c r="V299" s="67"/>
      <c r="W299" s="67"/>
      <c r="X299" s="67"/>
      <c r="Y299" s="67"/>
      <c r="Z299" s="67"/>
      <c r="AA299" s="68"/>
      <c r="AB299" s="68"/>
      <c r="AC299" s="67"/>
      <c r="AD299" s="67"/>
      <c r="AE299" s="67"/>
      <c r="AF299" s="67"/>
      <c r="AG299" s="67"/>
      <c r="AH299" s="67"/>
      <c r="AI299" s="67"/>
      <c r="AJ299" s="67"/>
      <c r="AK299" s="67"/>
      <c r="AL299" s="67"/>
      <c r="AM299" s="67"/>
      <c r="AN299" s="67"/>
      <c r="AO299" s="67"/>
      <c r="AP299" s="67">
        <f t="shared" ref="AP299:AV299" si="191">AP126/AP200</f>
        <v>16.582086079875918</v>
      </c>
      <c r="AQ299" s="67">
        <f t="shared" si="191"/>
        <v>12.591280864197531</v>
      </c>
      <c r="AR299" s="67">
        <f t="shared" si="191"/>
        <v>22.094139053821106</v>
      </c>
      <c r="AS299" s="67">
        <f t="shared" si="191"/>
        <v>32.844473733760118</v>
      </c>
      <c r="AT299" s="67">
        <f t="shared" si="191"/>
        <v>42.499217094961772</v>
      </c>
      <c r="AU299" s="67">
        <f t="shared" si="191"/>
        <v>46.874683085838463</v>
      </c>
      <c r="AV299" s="67">
        <f t="shared" si="191"/>
        <v>56</v>
      </c>
      <c r="AW299" s="67">
        <f t="shared" ref="AW299:AX299" si="192">AW126/AW200</f>
        <v>78.555099904022342</v>
      </c>
      <c r="AX299" s="67">
        <f t="shared" si="192"/>
        <v>114.66957787481806</v>
      </c>
      <c r="AY299" s="3" t="s">
        <v>414</v>
      </c>
      <c r="AZ299" s="35"/>
      <c r="BA299" s="35"/>
      <c r="BC299" s="304"/>
      <c r="BD299" s="35"/>
      <c r="BE299"/>
      <c r="BF299" s="43"/>
      <c r="BG299" s="43"/>
      <c r="BH299" s="12"/>
      <c r="BI299" s="12"/>
      <c r="BJ299" s="12"/>
      <c r="BK299" s="12"/>
      <c r="BL299" s="12"/>
      <c r="BM299" s="12"/>
      <c r="BN299" s="12"/>
      <c r="BO299" s="12"/>
      <c r="BP299" s="35"/>
      <c r="BQ299" s="35"/>
      <c r="BR299" s="47"/>
      <c r="BS299" s="3"/>
      <c r="BT299" s="3"/>
      <c r="BU299" s="3"/>
      <c r="BV299" s="3"/>
      <c r="BW299" s="3"/>
      <c r="BX299" s="3"/>
      <c r="BY299" s="3"/>
      <c r="BZ299" s="3"/>
      <c r="CA299" s="3"/>
      <c r="CB299" s="3"/>
    </row>
    <row r="300" spans="1:80" ht="12.5" x14ac:dyDescent="0.25">
      <c r="A300" s="48"/>
      <c r="B300" s="3" t="s">
        <v>126</v>
      </c>
      <c r="C300" s="35"/>
      <c r="D300" s="12"/>
      <c r="E300" s="67">
        <f>E127/E200</f>
        <v>0</v>
      </c>
      <c r="F300" s="67">
        <f t="shared" ref="F300:AJ300" si="193">F127/F199</f>
        <v>0</v>
      </c>
      <c r="G300" s="67">
        <f t="shared" si="193"/>
        <v>0</v>
      </c>
      <c r="H300" s="67">
        <f t="shared" si="193"/>
        <v>0</v>
      </c>
      <c r="I300" s="67">
        <f t="shared" si="193"/>
        <v>0</v>
      </c>
      <c r="J300" s="67">
        <f t="shared" si="193"/>
        <v>0</v>
      </c>
      <c r="K300" s="67">
        <f t="shared" si="193"/>
        <v>0</v>
      </c>
      <c r="L300" s="67">
        <f t="shared" si="193"/>
        <v>0</v>
      </c>
      <c r="M300" s="67">
        <f t="shared" si="193"/>
        <v>0</v>
      </c>
      <c r="N300" s="67">
        <f t="shared" si="193"/>
        <v>0</v>
      </c>
      <c r="O300" s="67">
        <f t="shared" si="193"/>
        <v>0</v>
      </c>
      <c r="P300" s="67">
        <f t="shared" si="193"/>
        <v>0</v>
      </c>
      <c r="Q300" s="67">
        <f t="shared" si="193"/>
        <v>0</v>
      </c>
      <c r="R300" s="67">
        <f t="shared" si="193"/>
        <v>0</v>
      </c>
      <c r="S300" s="67">
        <f t="shared" si="193"/>
        <v>0</v>
      </c>
      <c r="T300" s="67">
        <f t="shared" si="193"/>
        <v>0</v>
      </c>
      <c r="U300" s="67">
        <f t="shared" si="193"/>
        <v>0</v>
      </c>
      <c r="V300" s="67">
        <f t="shared" si="193"/>
        <v>0</v>
      </c>
      <c r="W300" s="67">
        <f t="shared" si="193"/>
        <v>0</v>
      </c>
      <c r="X300" s="67">
        <f t="shared" si="193"/>
        <v>0</v>
      </c>
      <c r="Y300" s="67">
        <f t="shared" si="193"/>
        <v>0</v>
      </c>
      <c r="Z300" s="67">
        <f t="shared" si="193"/>
        <v>0</v>
      </c>
      <c r="AA300" s="68">
        <f t="shared" si="193"/>
        <v>0</v>
      </c>
      <c r="AB300" s="68">
        <f t="shared" si="193"/>
        <v>0</v>
      </c>
      <c r="AC300" s="67">
        <f t="shared" si="193"/>
        <v>0</v>
      </c>
      <c r="AD300" s="67">
        <f t="shared" si="193"/>
        <v>0</v>
      </c>
      <c r="AE300" s="67">
        <f t="shared" si="193"/>
        <v>0</v>
      </c>
      <c r="AF300" s="67">
        <f t="shared" si="193"/>
        <v>0</v>
      </c>
      <c r="AG300" s="67">
        <f t="shared" si="193"/>
        <v>0</v>
      </c>
      <c r="AH300" s="67">
        <f t="shared" si="193"/>
        <v>0</v>
      </c>
      <c r="AI300" s="67">
        <f t="shared" si="193"/>
        <v>0</v>
      </c>
      <c r="AJ300" s="67">
        <f t="shared" si="193"/>
        <v>0</v>
      </c>
      <c r="AK300" s="67">
        <f>AK127/AJ200</f>
        <v>836.81750584236238</v>
      </c>
      <c r="AL300" s="67">
        <f t="shared" ref="AL300:AS300" si="194">AL127/AK200</f>
        <v>0</v>
      </c>
      <c r="AM300" s="67">
        <f t="shared" si="194"/>
        <v>0</v>
      </c>
      <c r="AN300" s="67">
        <f t="shared" si="194"/>
        <v>0</v>
      </c>
      <c r="AO300" s="67">
        <f t="shared" si="194"/>
        <v>0</v>
      </c>
      <c r="AP300" s="67">
        <f t="shared" si="194"/>
        <v>0</v>
      </c>
      <c r="AQ300" s="67">
        <f t="shared" si="194"/>
        <v>0</v>
      </c>
      <c r="AR300" s="67">
        <f t="shared" si="194"/>
        <v>0</v>
      </c>
      <c r="AS300" s="67">
        <f t="shared" si="194"/>
        <v>0</v>
      </c>
      <c r="AT300" s="67">
        <f>AT127/AT200</f>
        <v>0</v>
      </c>
      <c r="AU300" s="67">
        <f>AU127/AU200</f>
        <v>0</v>
      </c>
      <c r="AV300" s="67">
        <f>AV127/AV200</f>
        <v>0</v>
      </c>
      <c r="AW300" s="67">
        <f>AW127/AW200</f>
        <v>0</v>
      </c>
      <c r="AX300" s="67">
        <f>AX127/AX200</f>
        <v>0</v>
      </c>
      <c r="AY300" s="150" t="s">
        <v>126</v>
      </c>
      <c r="AZ300" s="35"/>
      <c r="BA300" s="35"/>
      <c r="BB300" s="5"/>
      <c r="BC300" s="304"/>
      <c r="BD300" s="35"/>
      <c r="BE300"/>
      <c r="BF300" s="43"/>
      <c r="BG300" s="43"/>
      <c r="BH300" s="12"/>
      <c r="BI300" s="12"/>
      <c r="BJ300" s="12"/>
      <c r="BK300" s="12"/>
      <c r="BL300" s="12"/>
      <c r="BM300" s="12"/>
      <c r="BN300" s="12"/>
      <c r="BO300" s="12"/>
      <c r="BP300" s="35"/>
      <c r="BQ300" s="35"/>
      <c r="BR300" s="47"/>
      <c r="BS300" s="3"/>
      <c r="BT300" s="3"/>
      <c r="BU300" s="3"/>
      <c r="BV300" s="3"/>
      <c r="BW300" s="3"/>
      <c r="BX300" s="3"/>
      <c r="BY300" s="3"/>
      <c r="BZ300" s="3"/>
      <c r="CA300" s="3"/>
      <c r="CB300" s="3"/>
    </row>
    <row r="301" spans="1:80" ht="12.5" x14ac:dyDescent="0.25">
      <c r="A301" s="48"/>
      <c r="B301" s="3" t="s">
        <v>257</v>
      </c>
      <c r="C301" s="35"/>
      <c r="D301" s="12"/>
      <c r="E301" s="67">
        <f>E128/E200</f>
        <v>0</v>
      </c>
      <c r="F301" s="67">
        <f t="shared" ref="F301:AH301" si="195">F128/F199</f>
        <v>0</v>
      </c>
      <c r="G301" s="67">
        <f t="shared" si="195"/>
        <v>0</v>
      </c>
      <c r="H301" s="67">
        <f t="shared" si="195"/>
        <v>0</v>
      </c>
      <c r="I301" s="67">
        <f t="shared" si="195"/>
        <v>0</v>
      </c>
      <c r="J301" s="67">
        <f t="shared" si="195"/>
        <v>0</v>
      </c>
      <c r="K301" s="67">
        <f t="shared" si="195"/>
        <v>0</v>
      </c>
      <c r="L301" s="67">
        <f t="shared" si="195"/>
        <v>0</v>
      </c>
      <c r="M301" s="67">
        <f t="shared" si="195"/>
        <v>0</v>
      </c>
      <c r="N301" s="67">
        <f t="shared" si="195"/>
        <v>0</v>
      </c>
      <c r="O301" s="67">
        <f t="shared" si="195"/>
        <v>0</v>
      </c>
      <c r="P301" s="67">
        <f t="shared" si="195"/>
        <v>0</v>
      </c>
      <c r="Q301" s="67">
        <f t="shared" si="195"/>
        <v>0</v>
      </c>
      <c r="R301" s="67">
        <f t="shared" si="195"/>
        <v>0</v>
      </c>
      <c r="S301" s="67">
        <f t="shared" si="195"/>
        <v>0</v>
      </c>
      <c r="T301" s="67">
        <f t="shared" si="195"/>
        <v>0</v>
      </c>
      <c r="U301" s="67">
        <f t="shared" si="195"/>
        <v>0</v>
      </c>
      <c r="V301" s="67">
        <f t="shared" si="195"/>
        <v>0</v>
      </c>
      <c r="W301" s="67">
        <f t="shared" si="195"/>
        <v>0</v>
      </c>
      <c r="X301" s="67">
        <f t="shared" si="195"/>
        <v>0</v>
      </c>
      <c r="Y301" s="67">
        <f t="shared" si="195"/>
        <v>0</v>
      </c>
      <c r="Z301" s="67">
        <f t="shared" si="195"/>
        <v>0</v>
      </c>
      <c r="AA301" s="68">
        <f t="shared" si="195"/>
        <v>0</v>
      </c>
      <c r="AB301" s="68">
        <f t="shared" si="195"/>
        <v>0</v>
      </c>
      <c r="AC301" s="67">
        <f t="shared" si="195"/>
        <v>0</v>
      </c>
      <c r="AD301" s="67">
        <f t="shared" si="195"/>
        <v>0</v>
      </c>
      <c r="AE301" s="67">
        <f t="shared" si="195"/>
        <v>0</v>
      </c>
      <c r="AF301" s="67">
        <f t="shared" si="195"/>
        <v>0</v>
      </c>
      <c r="AG301" s="67">
        <f t="shared" si="195"/>
        <v>0</v>
      </c>
      <c r="AH301" s="67">
        <f t="shared" si="195"/>
        <v>0</v>
      </c>
      <c r="AI301" s="67">
        <f>AI128/AI200</f>
        <v>29.064959081730262</v>
      </c>
      <c r="AJ301" s="67">
        <f t="shared" ref="AJ301:AR301" si="196">AJ128/AJ200</f>
        <v>23.430890163586149</v>
      </c>
      <c r="AK301" s="67">
        <f t="shared" si="196"/>
        <v>0</v>
      </c>
      <c r="AL301" s="67">
        <f t="shared" si="196"/>
        <v>15.387475211355808</v>
      </c>
      <c r="AM301" s="67">
        <f t="shared" si="196"/>
        <v>0</v>
      </c>
      <c r="AN301" s="67">
        <f t="shared" si="196"/>
        <v>0</v>
      </c>
      <c r="AO301" s="67">
        <f t="shared" si="196"/>
        <v>0</v>
      </c>
      <c r="AP301" s="67">
        <f t="shared" si="196"/>
        <v>0</v>
      </c>
      <c r="AQ301" s="67">
        <f t="shared" si="196"/>
        <v>0</v>
      </c>
      <c r="AR301" s="67">
        <f t="shared" si="196"/>
        <v>0</v>
      </c>
      <c r="AS301" s="67">
        <f t="shared" ref="AS301:AX301" si="197">AS128/AS200</f>
        <v>0</v>
      </c>
      <c r="AT301" s="67">
        <f t="shared" si="197"/>
        <v>0</v>
      </c>
      <c r="AU301" s="67">
        <f t="shared" si="197"/>
        <v>0</v>
      </c>
      <c r="AV301" s="67">
        <f t="shared" si="197"/>
        <v>0</v>
      </c>
      <c r="AW301" s="67">
        <f t="shared" si="197"/>
        <v>0</v>
      </c>
      <c r="AX301" s="67">
        <f t="shared" si="197"/>
        <v>0</v>
      </c>
      <c r="AY301" s="150" t="s">
        <v>257</v>
      </c>
      <c r="AZ301" s="35"/>
      <c r="BA301" s="35"/>
      <c r="BB301" s="5"/>
      <c r="BC301" s="304"/>
      <c r="BD301" s="35"/>
      <c r="BE301"/>
      <c r="BF301" s="43"/>
      <c r="BG301" s="43"/>
      <c r="BH301" s="12"/>
      <c r="BI301" s="12"/>
      <c r="BJ301" s="12"/>
      <c r="BK301" s="12"/>
      <c r="BL301" s="12"/>
      <c r="BM301" s="12"/>
      <c r="BN301" s="12"/>
      <c r="BO301" s="12"/>
      <c r="BP301" s="35"/>
      <c r="BQ301" s="35"/>
      <c r="BR301" s="47"/>
      <c r="BS301" s="3"/>
      <c r="BT301" s="3"/>
      <c r="BU301" s="3"/>
      <c r="BV301" s="3"/>
      <c r="BW301" s="3"/>
      <c r="BX301" s="3"/>
      <c r="BY301" s="3"/>
      <c r="BZ301" s="3"/>
      <c r="CA301" s="3"/>
      <c r="CB301" s="3"/>
    </row>
    <row r="302" spans="1:80" ht="12.5" x14ac:dyDescent="0.25">
      <c r="A302" s="48"/>
      <c r="B302" s="3"/>
      <c r="C302" s="35"/>
      <c r="D302" s="12"/>
      <c r="E302" s="67"/>
      <c r="F302" s="67"/>
      <c r="G302" s="67"/>
      <c r="H302" s="67"/>
      <c r="I302" s="67"/>
      <c r="J302" s="67"/>
      <c r="K302" s="67"/>
      <c r="L302" s="67"/>
      <c r="M302" s="67"/>
      <c r="N302" s="67"/>
      <c r="O302" s="67"/>
      <c r="P302" s="67"/>
      <c r="Q302" s="67"/>
      <c r="R302" s="67"/>
      <c r="S302" s="67"/>
      <c r="T302" s="67"/>
      <c r="U302" s="67"/>
      <c r="V302" s="67"/>
      <c r="W302" s="67"/>
      <c r="X302" s="67"/>
      <c r="Y302" s="67"/>
      <c r="Z302" s="67"/>
      <c r="AA302" s="68"/>
      <c r="AB302" s="68"/>
      <c r="AC302" s="67"/>
      <c r="AD302" s="67"/>
      <c r="AE302" s="67"/>
      <c r="AF302" s="67"/>
      <c r="AG302" s="67"/>
      <c r="AH302" s="67">
        <f>AH129/AH199</f>
        <v>0</v>
      </c>
      <c r="AI302" s="67">
        <f>AI129/AI200</f>
        <v>0</v>
      </c>
      <c r="AJ302" s="67">
        <f t="shared" ref="AJ302:AR302" si="198">AJ129/AJ200</f>
        <v>0</v>
      </c>
      <c r="AK302" s="67">
        <f t="shared" si="198"/>
        <v>0</v>
      </c>
      <c r="AL302" s="67">
        <f t="shared" si="198"/>
        <v>14.800166997181924</v>
      </c>
      <c r="AM302" s="67">
        <f t="shared" si="198"/>
        <v>13.908017567153509</v>
      </c>
      <c r="AN302" s="67">
        <f t="shared" si="198"/>
        <v>14.6302</v>
      </c>
      <c r="AO302" s="67">
        <f t="shared" si="198"/>
        <v>14.179663352692193</v>
      </c>
      <c r="AP302" s="67">
        <f t="shared" si="198"/>
        <v>15.272974020938346</v>
      </c>
      <c r="AQ302" s="67">
        <f t="shared" si="198"/>
        <v>13.025462962962964</v>
      </c>
      <c r="AR302" s="67">
        <f t="shared" si="198"/>
        <v>17.783087531124306</v>
      </c>
      <c r="AS302" s="67">
        <f t="shared" ref="AS302:AX302" si="199">AS129/AS200</f>
        <v>17.481736019581998</v>
      </c>
      <c r="AT302" s="67">
        <f t="shared" si="199"/>
        <v>23.633710969881179</v>
      </c>
      <c r="AU302" s="67">
        <f t="shared" si="199"/>
        <v>7.1331039478449831</v>
      </c>
      <c r="AV302" s="67">
        <f t="shared" si="199"/>
        <v>7</v>
      </c>
      <c r="AW302" s="67">
        <f t="shared" si="199"/>
        <v>6.8735712416019545</v>
      </c>
      <c r="AX302" s="67">
        <f t="shared" si="199"/>
        <v>9.6360989810771471</v>
      </c>
      <c r="AY302" s="150" t="str">
        <f>AY129</f>
        <v>Other (FY10 on- includes permitting, siting, analysis; infrastructure security &amp; energy restoration; FY14-on also includes national electricity delivery)</v>
      </c>
      <c r="AZ302" s="35"/>
      <c r="BA302" s="35"/>
      <c r="BB302" s="5"/>
      <c r="BC302" s="304"/>
      <c r="BD302" s="35"/>
      <c r="BE302"/>
      <c r="BF302" s="43"/>
      <c r="BG302" s="43"/>
      <c r="BH302" s="12"/>
      <c r="BI302" s="12"/>
      <c r="BJ302" s="12"/>
      <c r="BK302" s="12"/>
      <c r="BL302" s="12"/>
      <c r="BM302" s="12"/>
      <c r="BN302" s="12"/>
      <c r="BO302" s="12"/>
      <c r="BP302" s="35"/>
      <c r="BQ302" s="35"/>
      <c r="BR302" s="47"/>
      <c r="BS302" s="3"/>
      <c r="BT302" s="3"/>
      <c r="BU302" s="3"/>
      <c r="BV302" s="3"/>
      <c r="BW302" s="3"/>
      <c r="BX302" s="3"/>
      <c r="BY302" s="3"/>
      <c r="BZ302" s="3"/>
      <c r="CA302" s="3"/>
      <c r="CB302" s="3"/>
    </row>
    <row r="303" spans="1:80" ht="12.5" x14ac:dyDescent="0.25">
      <c r="A303" s="187"/>
      <c r="B303" s="150" t="s">
        <v>20</v>
      </c>
      <c r="C303" s="46"/>
      <c r="D303" s="12"/>
      <c r="E303" s="67">
        <f>E130/E200</f>
        <v>0</v>
      </c>
      <c r="F303" s="67">
        <f t="shared" ref="F303:AC303" si="200">F130/F199</f>
        <v>0</v>
      </c>
      <c r="G303" s="67">
        <f t="shared" si="200"/>
        <v>0</v>
      </c>
      <c r="H303" s="67">
        <f t="shared" si="200"/>
        <v>0</v>
      </c>
      <c r="I303" s="67">
        <f t="shared" si="200"/>
        <v>0</v>
      </c>
      <c r="J303" s="67">
        <f t="shared" si="200"/>
        <v>0</v>
      </c>
      <c r="K303" s="67">
        <f t="shared" si="200"/>
        <v>0</v>
      </c>
      <c r="L303" s="67">
        <f t="shared" si="200"/>
        <v>0</v>
      </c>
      <c r="M303" s="67">
        <f t="shared" si="200"/>
        <v>0</v>
      </c>
      <c r="N303" s="67">
        <f t="shared" si="200"/>
        <v>0</v>
      </c>
      <c r="O303" s="67">
        <f t="shared" si="200"/>
        <v>0</v>
      </c>
      <c r="P303" s="67">
        <f t="shared" si="200"/>
        <v>0</v>
      </c>
      <c r="Q303" s="67">
        <f t="shared" si="200"/>
        <v>0</v>
      </c>
      <c r="R303" s="67">
        <f t="shared" si="200"/>
        <v>0</v>
      </c>
      <c r="S303" s="67">
        <f t="shared" si="200"/>
        <v>0</v>
      </c>
      <c r="T303" s="67">
        <f t="shared" si="200"/>
        <v>0</v>
      </c>
      <c r="U303" s="67">
        <f t="shared" si="200"/>
        <v>0</v>
      </c>
      <c r="V303" s="67">
        <f t="shared" si="200"/>
        <v>0</v>
      </c>
      <c r="W303" s="67">
        <f t="shared" si="200"/>
        <v>0</v>
      </c>
      <c r="X303" s="67">
        <f t="shared" si="200"/>
        <v>0</v>
      </c>
      <c r="Y303" s="67">
        <f t="shared" si="200"/>
        <v>0</v>
      </c>
      <c r="Z303" s="67">
        <f t="shared" si="200"/>
        <v>0</v>
      </c>
      <c r="AA303" s="67">
        <f t="shared" si="200"/>
        <v>0</v>
      </c>
      <c r="AB303" s="67">
        <f t="shared" si="200"/>
        <v>0</v>
      </c>
      <c r="AC303" s="67">
        <f t="shared" si="200"/>
        <v>0</v>
      </c>
      <c r="AD303" s="67">
        <f>AD130/AD200</f>
        <v>4.2864479665806607</v>
      </c>
      <c r="AE303" s="67">
        <f t="shared" ref="AE303:AR303" si="201">AE130/AE200</f>
        <v>12.966682669227074</v>
      </c>
      <c r="AF303" s="67">
        <f t="shared" si="201"/>
        <v>10.610802002095216</v>
      </c>
      <c r="AG303" s="67">
        <f t="shared" si="201"/>
        <v>16.874656144306652</v>
      </c>
      <c r="AH303" s="67">
        <f t="shared" si="201"/>
        <v>21.511545644293086</v>
      </c>
      <c r="AI303" s="67">
        <f t="shared" si="201"/>
        <v>21.051163779360191</v>
      </c>
      <c r="AJ303" s="67">
        <f t="shared" si="201"/>
        <v>25.343615891225831</v>
      </c>
      <c r="AK303" s="67">
        <f t="shared" si="201"/>
        <v>26.897705544933078</v>
      </c>
      <c r="AL303" s="67">
        <f t="shared" si="201"/>
        <v>25.136791566642309</v>
      </c>
      <c r="AM303" s="67">
        <f t="shared" si="201"/>
        <v>31.72407312838321</v>
      </c>
      <c r="AN303" s="67">
        <f t="shared" si="201"/>
        <v>30.3858</v>
      </c>
      <c r="AO303" s="67">
        <f t="shared" si="201"/>
        <v>28.359326705384387</v>
      </c>
      <c r="AP303" s="67">
        <f t="shared" si="201"/>
        <v>30.10957735556417</v>
      </c>
      <c r="AQ303" s="67">
        <f t="shared" si="201"/>
        <v>29.958564814814817</v>
      </c>
      <c r="AR303" s="67">
        <f t="shared" si="201"/>
        <v>30.177360658877607</v>
      </c>
      <c r="AS303" s="67">
        <f t="shared" ref="AS303:AX303" si="202">AS130/AS200</f>
        <v>30.195725852005268</v>
      </c>
      <c r="AT303" s="67">
        <f t="shared" si="202"/>
        <v>30.060421847655885</v>
      </c>
      <c r="AU303" s="67">
        <f t="shared" si="202"/>
        <v>17.323252444766389</v>
      </c>
      <c r="AV303" s="67">
        <f t="shared" si="202"/>
        <v>18</v>
      </c>
      <c r="AW303" s="67">
        <f t="shared" si="202"/>
        <v>17.674897478405025</v>
      </c>
      <c r="AX303" s="67">
        <f t="shared" si="202"/>
        <v>19.272197962154294</v>
      </c>
      <c r="AY303" s="150" t="s">
        <v>20</v>
      </c>
      <c r="AZ303" s="35"/>
      <c r="BA303" s="35"/>
      <c r="BB303" s="5"/>
      <c r="BC303" s="304"/>
      <c r="BD303" s="35"/>
      <c r="BE303"/>
      <c r="BF303" s="43"/>
      <c r="BG303" s="43"/>
      <c r="BH303" s="12"/>
      <c r="BI303" s="12"/>
      <c r="BJ303" s="12"/>
      <c r="BK303" s="12"/>
      <c r="BL303" s="12"/>
      <c r="BM303" s="12"/>
      <c r="BN303" s="12"/>
      <c r="BO303" s="12"/>
      <c r="BP303" s="35"/>
      <c r="BQ303" s="35"/>
      <c r="BR303" s="47"/>
      <c r="BS303" s="3"/>
      <c r="BT303" s="3"/>
      <c r="BU303" s="3"/>
      <c r="BV303" s="3"/>
      <c r="BW303" s="3"/>
      <c r="BX303" s="3"/>
      <c r="BY303" s="3"/>
      <c r="BZ303" s="3"/>
      <c r="CA303" s="3"/>
      <c r="CB303" s="3"/>
    </row>
    <row r="304" spans="1:80" x14ac:dyDescent="0.2">
      <c r="A304" s="187"/>
      <c r="B304" s="150"/>
      <c r="C304" s="46"/>
      <c r="D304" s="12"/>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f>AG131/AG200</f>
        <v>0</v>
      </c>
      <c r="AH304" s="67">
        <f t="shared" ref="AH304:AR304" si="203">AH131/AH200</f>
        <v>0</v>
      </c>
      <c r="AI304" s="67">
        <f t="shared" si="203"/>
        <v>0</v>
      </c>
      <c r="AJ304" s="67">
        <f t="shared" si="203"/>
        <v>-0.95636286381984281</v>
      </c>
      <c r="AK304" s="67">
        <f t="shared" si="203"/>
        <v>0</v>
      </c>
      <c r="AL304" s="67">
        <f t="shared" si="203"/>
        <v>0</v>
      </c>
      <c r="AM304" s="67">
        <f t="shared" si="203"/>
        <v>-4.1379225819630276</v>
      </c>
      <c r="AN304" s="67">
        <f t="shared" si="203"/>
        <v>0</v>
      </c>
      <c r="AO304" s="67">
        <f t="shared" si="203"/>
        <v>0</v>
      </c>
      <c r="AP304" s="67">
        <f t="shared" si="203"/>
        <v>0</v>
      </c>
      <c r="AQ304" s="67">
        <f t="shared" si="203"/>
        <v>-0.32563657407407404</v>
      </c>
      <c r="AR304" s="67">
        <f t="shared" si="203"/>
        <v>0</v>
      </c>
      <c r="AS304" s="67">
        <f t="shared" ref="AS304:AX304" si="204">AS131/AS200</f>
        <v>-0.42379966108077571</v>
      </c>
      <c r="AT304" s="67">
        <f t="shared" si="204"/>
        <v>0</v>
      </c>
      <c r="AU304" s="67">
        <f t="shared" si="204"/>
        <v>0</v>
      </c>
      <c r="AV304" s="67">
        <f t="shared" si="204"/>
        <v>0</v>
      </c>
      <c r="AW304" s="67">
        <f t="shared" si="204"/>
        <v>0</v>
      </c>
      <c r="AX304" s="67">
        <f t="shared" si="204"/>
        <v>0</v>
      </c>
      <c r="AY304" s="150" t="s">
        <v>214</v>
      </c>
      <c r="AZ304" s="35"/>
      <c r="BA304" s="35"/>
      <c r="BB304" s="5"/>
      <c r="BC304" s="303"/>
      <c r="BD304" s="35"/>
      <c r="BE304" s="35"/>
      <c r="BF304" s="43"/>
      <c r="BG304" s="43"/>
      <c r="BH304" s="12"/>
      <c r="BI304" s="12"/>
      <c r="BJ304" s="12"/>
      <c r="BK304" s="12"/>
      <c r="BL304" s="12"/>
      <c r="BM304" s="12"/>
      <c r="BN304" s="12"/>
      <c r="BO304" s="12"/>
      <c r="BP304" s="35"/>
      <c r="BQ304" s="35"/>
      <c r="BR304" s="47"/>
      <c r="BS304" s="3"/>
      <c r="BT304" s="3"/>
      <c r="BU304" s="3"/>
      <c r="BV304" s="3"/>
      <c r="BW304" s="3"/>
      <c r="BX304" s="3"/>
      <c r="BY304" s="3"/>
      <c r="BZ304" s="3"/>
      <c r="CA304" s="3"/>
      <c r="CB304" s="3"/>
    </row>
    <row r="305" spans="1:80" x14ac:dyDescent="0.2">
      <c r="A305" s="187"/>
      <c r="B305" s="151" t="str">
        <f>AY305</f>
        <v>Smart Grid Investment Program (deployment)</v>
      </c>
      <c r="C305" s="186"/>
      <c r="D305" s="167"/>
      <c r="E305" s="115">
        <f t="shared" ref="E305:AP305" si="205">E133/E200</f>
        <v>0</v>
      </c>
      <c r="F305" s="115">
        <f t="shared" si="205"/>
        <v>0</v>
      </c>
      <c r="G305" s="115">
        <f t="shared" si="205"/>
        <v>0</v>
      </c>
      <c r="H305" s="115">
        <f t="shared" si="205"/>
        <v>0</v>
      </c>
      <c r="I305" s="115">
        <f t="shared" si="205"/>
        <v>0</v>
      </c>
      <c r="J305" s="115">
        <f t="shared" si="205"/>
        <v>0</v>
      </c>
      <c r="K305" s="115">
        <f t="shared" si="205"/>
        <v>0</v>
      </c>
      <c r="L305" s="115">
        <f t="shared" si="205"/>
        <v>0</v>
      </c>
      <c r="M305" s="115">
        <f t="shared" si="205"/>
        <v>0</v>
      </c>
      <c r="N305" s="115">
        <f t="shared" si="205"/>
        <v>0</v>
      </c>
      <c r="O305" s="115">
        <f t="shared" si="205"/>
        <v>0</v>
      </c>
      <c r="P305" s="115">
        <f t="shared" si="205"/>
        <v>0</v>
      </c>
      <c r="Q305" s="115">
        <f t="shared" si="205"/>
        <v>0</v>
      </c>
      <c r="R305" s="115">
        <f t="shared" si="205"/>
        <v>0</v>
      </c>
      <c r="S305" s="115">
        <f t="shared" si="205"/>
        <v>0</v>
      </c>
      <c r="T305" s="115">
        <f t="shared" si="205"/>
        <v>0</v>
      </c>
      <c r="U305" s="115">
        <f t="shared" si="205"/>
        <v>0</v>
      </c>
      <c r="V305" s="115">
        <f t="shared" si="205"/>
        <v>0</v>
      </c>
      <c r="W305" s="115">
        <f t="shared" si="205"/>
        <v>0</v>
      </c>
      <c r="X305" s="115">
        <f t="shared" si="205"/>
        <v>0</v>
      </c>
      <c r="Y305" s="115">
        <f t="shared" si="205"/>
        <v>0</v>
      </c>
      <c r="Z305" s="115">
        <f t="shared" si="205"/>
        <v>0</v>
      </c>
      <c r="AA305" s="115">
        <f t="shared" si="205"/>
        <v>0</v>
      </c>
      <c r="AB305" s="115">
        <f t="shared" si="205"/>
        <v>0</v>
      </c>
      <c r="AC305" s="115">
        <f t="shared" si="205"/>
        <v>0</v>
      </c>
      <c r="AD305" s="115">
        <f t="shared" si="205"/>
        <v>0</v>
      </c>
      <c r="AE305" s="115">
        <f t="shared" si="205"/>
        <v>0</v>
      </c>
      <c r="AF305" s="115">
        <f t="shared" si="205"/>
        <v>0</v>
      </c>
      <c r="AG305" s="115">
        <f t="shared" si="205"/>
        <v>0</v>
      </c>
      <c r="AH305" s="115">
        <f t="shared" si="205"/>
        <v>0</v>
      </c>
      <c r="AI305" s="115">
        <f t="shared" si="205"/>
        <v>0</v>
      </c>
      <c r="AJ305" s="115">
        <f t="shared" si="205"/>
        <v>0</v>
      </c>
      <c r="AK305" s="115">
        <f t="shared" si="205"/>
        <v>4035.4926492458035</v>
      </c>
      <c r="AL305" s="115">
        <f t="shared" si="205"/>
        <v>0</v>
      </c>
      <c r="AM305" s="115">
        <f t="shared" si="205"/>
        <v>0</v>
      </c>
      <c r="AN305" s="115">
        <f t="shared" si="205"/>
        <v>0</v>
      </c>
      <c r="AO305" s="115">
        <f t="shared" si="205"/>
        <v>0</v>
      </c>
      <c r="AP305" s="115">
        <f t="shared" si="205"/>
        <v>0</v>
      </c>
      <c r="AQ305" s="115">
        <f t="shared" ref="AQ305:AV305" si="206">AQ133/AQ200</f>
        <v>0</v>
      </c>
      <c r="AR305" s="115">
        <f t="shared" si="206"/>
        <v>0</v>
      </c>
      <c r="AS305" s="115">
        <f t="shared" si="206"/>
        <v>0</v>
      </c>
      <c r="AT305" s="115">
        <f t="shared" si="206"/>
        <v>0</v>
      </c>
      <c r="AU305" s="115">
        <f t="shared" si="206"/>
        <v>0</v>
      </c>
      <c r="AV305" s="115">
        <f t="shared" si="206"/>
        <v>0</v>
      </c>
      <c r="AW305" s="115">
        <f t="shared" ref="AW305:AX305" si="207">AW133/AW200</f>
        <v>0</v>
      </c>
      <c r="AX305" s="115">
        <f t="shared" si="207"/>
        <v>0</v>
      </c>
      <c r="AY305" s="151" t="s">
        <v>125</v>
      </c>
      <c r="AZ305" s="35"/>
      <c r="BA305" s="35"/>
      <c r="BB305" s="5"/>
      <c r="BC305" s="303"/>
      <c r="BD305" s="35"/>
      <c r="BE305" s="35"/>
      <c r="BF305" s="43"/>
      <c r="BG305" s="43"/>
      <c r="BH305" s="12"/>
      <c r="BI305" s="12"/>
      <c r="BJ305" s="12"/>
      <c r="BK305" s="12"/>
      <c r="BL305" s="12"/>
      <c r="BM305" s="12"/>
      <c r="BN305" s="12"/>
      <c r="BO305" s="12"/>
      <c r="BP305" s="35"/>
      <c r="BQ305" s="35"/>
      <c r="BR305" s="47"/>
      <c r="BS305" s="3"/>
      <c r="BT305" s="3"/>
      <c r="BU305" s="3"/>
      <c r="BV305" s="3"/>
      <c r="BW305" s="3"/>
      <c r="BX305" s="3"/>
      <c r="BY305" s="3"/>
      <c r="BZ305" s="3"/>
      <c r="CA305" s="3"/>
      <c r="CB305" s="3"/>
    </row>
    <row r="306" spans="1:80" ht="10.5" x14ac:dyDescent="0.25">
      <c r="A306" s="187"/>
      <c r="B306" s="151" t="str">
        <f>AY306</f>
        <v>Other T&amp;D deployment (workforce training, interoperability standards and framework, interconnection planning and analysis, state assistance on electricity policy, enhancing state and local gov't energy assurance, and "other")</v>
      </c>
      <c r="C306" s="186"/>
      <c r="D306" s="167"/>
      <c r="E306" s="115">
        <f>E136/E200</f>
        <v>0</v>
      </c>
      <c r="F306" s="115">
        <f t="shared" ref="F306:AP306" si="208">F136/F200</f>
        <v>0</v>
      </c>
      <c r="G306" s="115">
        <f t="shared" si="208"/>
        <v>0</v>
      </c>
      <c r="H306" s="115">
        <f t="shared" si="208"/>
        <v>0</v>
      </c>
      <c r="I306" s="115">
        <f t="shared" si="208"/>
        <v>0</v>
      </c>
      <c r="J306" s="115">
        <f t="shared" si="208"/>
        <v>0</v>
      </c>
      <c r="K306" s="115">
        <f t="shared" si="208"/>
        <v>0</v>
      </c>
      <c r="L306" s="115">
        <f t="shared" si="208"/>
        <v>0</v>
      </c>
      <c r="M306" s="115">
        <f t="shared" si="208"/>
        <v>0</v>
      </c>
      <c r="N306" s="115">
        <f t="shared" si="208"/>
        <v>0</v>
      </c>
      <c r="O306" s="115">
        <f t="shared" si="208"/>
        <v>0</v>
      </c>
      <c r="P306" s="115">
        <f t="shared" si="208"/>
        <v>0</v>
      </c>
      <c r="Q306" s="115">
        <f t="shared" si="208"/>
        <v>0</v>
      </c>
      <c r="R306" s="115">
        <f t="shared" si="208"/>
        <v>0</v>
      </c>
      <c r="S306" s="115">
        <f t="shared" si="208"/>
        <v>0</v>
      </c>
      <c r="T306" s="115">
        <f t="shared" si="208"/>
        <v>0</v>
      </c>
      <c r="U306" s="115">
        <f t="shared" si="208"/>
        <v>0</v>
      </c>
      <c r="V306" s="115">
        <f t="shared" si="208"/>
        <v>0</v>
      </c>
      <c r="W306" s="115">
        <f t="shared" si="208"/>
        <v>0</v>
      </c>
      <c r="X306" s="115">
        <f t="shared" si="208"/>
        <v>0</v>
      </c>
      <c r="Y306" s="115">
        <f t="shared" si="208"/>
        <v>0</v>
      </c>
      <c r="Z306" s="115">
        <f t="shared" si="208"/>
        <v>0</v>
      </c>
      <c r="AA306" s="115">
        <f t="shared" si="208"/>
        <v>0</v>
      </c>
      <c r="AB306" s="115">
        <f t="shared" si="208"/>
        <v>0</v>
      </c>
      <c r="AC306" s="115">
        <f t="shared" si="208"/>
        <v>0</v>
      </c>
      <c r="AD306" s="115">
        <f t="shared" si="208"/>
        <v>0</v>
      </c>
      <c r="AE306" s="115">
        <f t="shared" si="208"/>
        <v>0</v>
      </c>
      <c r="AF306" s="115">
        <f t="shared" si="208"/>
        <v>0</v>
      </c>
      <c r="AG306" s="115">
        <f t="shared" si="208"/>
        <v>0</v>
      </c>
      <c r="AH306" s="115">
        <f t="shared" si="208"/>
        <v>0</v>
      </c>
      <c r="AI306" s="115">
        <f t="shared" si="208"/>
        <v>0</v>
      </c>
      <c r="AJ306" s="115">
        <f t="shared" si="208"/>
        <v>0</v>
      </c>
      <c r="AK306" s="115">
        <f t="shared" si="208"/>
        <v>0</v>
      </c>
      <c r="AL306" s="115">
        <f t="shared" si="208"/>
        <v>0</v>
      </c>
      <c r="AM306" s="115">
        <f t="shared" si="208"/>
        <v>0</v>
      </c>
      <c r="AN306" s="115">
        <f t="shared" si="208"/>
        <v>0</v>
      </c>
      <c r="AO306" s="115">
        <f t="shared" si="208"/>
        <v>0</v>
      </c>
      <c r="AP306" s="115">
        <f t="shared" si="208"/>
        <v>0</v>
      </c>
      <c r="AQ306" s="115">
        <f t="shared" ref="AQ306:AV306" si="209">AQ136/AQ200</f>
        <v>0</v>
      </c>
      <c r="AR306" s="115">
        <f t="shared" si="209"/>
        <v>0</v>
      </c>
      <c r="AS306" s="115">
        <f t="shared" si="209"/>
        <v>0</v>
      </c>
      <c r="AT306" s="115">
        <f t="shared" si="209"/>
        <v>0</v>
      </c>
      <c r="AU306" s="115">
        <f t="shared" si="209"/>
        <v>0</v>
      </c>
      <c r="AV306" s="115">
        <f t="shared" si="209"/>
        <v>0</v>
      </c>
      <c r="AW306" s="115">
        <f t="shared" ref="AW306:AX306" si="210">AW136/AW200</f>
        <v>0</v>
      </c>
      <c r="AX306" s="115">
        <f t="shared" si="210"/>
        <v>0</v>
      </c>
      <c r="AY306" s="151" t="str">
        <f>AY134</f>
        <v>Other T&amp;D deployment (workforce training, interoperability standards and framework, interconnection planning and analysis, state assistance on electricity policy, enhancing state and local gov't energy assurance, and "other")</v>
      </c>
      <c r="AZ306" s="35"/>
      <c r="BA306" s="35"/>
      <c r="BB306" s="29"/>
      <c r="BC306" s="303"/>
      <c r="BD306" s="35"/>
      <c r="BE306" s="35"/>
      <c r="BF306" s="43"/>
      <c r="BG306" s="43"/>
      <c r="BH306" s="12"/>
      <c r="BI306" s="12"/>
      <c r="BJ306" s="12"/>
      <c r="BK306" s="12"/>
      <c r="BL306" s="12"/>
      <c r="BM306" s="12"/>
      <c r="BN306" s="12"/>
      <c r="BO306" s="12"/>
      <c r="BP306" s="35"/>
      <c r="BQ306" s="35"/>
      <c r="BR306" s="47"/>
      <c r="BS306" s="3"/>
      <c r="BT306" s="3"/>
      <c r="BU306" s="3"/>
      <c r="BV306" s="3"/>
      <c r="BW306" s="3"/>
      <c r="BX306" s="3"/>
      <c r="BY306" s="3"/>
      <c r="BZ306" s="3"/>
      <c r="CA306" s="3"/>
      <c r="CB306" s="3"/>
    </row>
    <row r="307" spans="1:80" x14ac:dyDescent="0.2">
      <c r="A307" s="187"/>
      <c r="B307" s="46"/>
      <c r="C307" s="46"/>
      <c r="D307" s="12"/>
      <c r="E307" s="67"/>
      <c r="F307" s="67"/>
      <c r="G307" s="67"/>
      <c r="H307" s="67"/>
      <c r="I307" s="67"/>
      <c r="J307" s="67"/>
      <c r="K307" s="67"/>
      <c r="L307" s="67"/>
      <c r="M307" s="67"/>
      <c r="N307" s="67"/>
      <c r="O307" s="67"/>
      <c r="P307" s="67"/>
      <c r="Q307" s="67"/>
      <c r="R307" s="67"/>
      <c r="S307" s="67"/>
      <c r="T307" s="67"/>
      <c r="U307" s="68"/>
      <c r="V307" s="68"/>
      <c r="W307" s="67"/>
      <c r="X307" s="68"/>
      <c r="Y307" s="67"/>
      <c r="Z307" s="67"/>
      <c r="AA307" s="69"/>
      <c r="AB307" s="67"/>
      <c r="AC307" s="67"/>
      <c r="AD307" s="68"/>
      <c r="AE307" s="67"/>
      <c r="AF307" s="67"/>
      <c r="AG307" s="67"/>
      <c r="AH307" s="67"/>
      <c r="AI307" s="256">
        <f t="shared" ref="AI307:AQ307" si="211">AI135/AI200</f>
        <v>0</v>
      </c>
      <c r="AJ307" s="256">
        <f t="shared" si="211"/>
        <v>0</v>
      </c>
      <c r="AK307" s="256">
        <f t="shared" si="211"/>
        <v>0</v>
      </c>
      <c r="AL307" s="256">
        <f t="shared" si="211"/>
        <v>0</v>
      </c>
      <c r="AM307" s="256">
        <f t="shared" si="211"/>
        <v>0</v>
      </c>
      <c r="AN307" s="256">
        <f t="shared" si="211"/>
        <v>0</v>
      </c>
      <c r="AO307" s="256">
        <f t="shared" si="211"/>
        <v>0</v>
      </c>
      <c r="AP307" s="256">
        <f t="shared" si="211"/>
        <v>0</v>
      </c>
      <c r="AQ307" s="256">
        <f t="shared" si="211"/>
        <v>0</v>
      </c>
      <c r="AR307" s="256">
        <f t="shared" ref="AR307:AW307" si="212">AR135/AR200</f>
        <v>0</v>
      </c>
      <c r="AS307" s="256">
        <f t="shared" si="212"/>
        <v>0</v>
      </c>
      <c r="AT307" s="256">
        <f t="shared" si="212"/>
        <v>0</v>
      </c>
      <c r="AU307" s="256">
        <f t="shared" si="212"/>
        <v>0</v>
      </c>
      <c r="AV307" s="256">
        <f t="shared" si="212"/>
        <v>0</v>
      </c>
      <c r="AW307" s="256">
        <f t="shared" si="212"/>
        <v>0</v>
      </c>
      <c r="AX307" s="256">
        <f t="shared" ref="AX307" si="213">AX135/AX200</f>
        <v>0</v>
      </c>
      <c r="AY307" s="255" t="str">
        <f>AY135</f>
        <v>State Energy Reliability and Assurance Grants</v>
      </c>
      <c r="AZ307" s="35"/>
      <c r="BA307" s="35"/>
      <c r="BB307" s="186"/>
      <c r="BC307" s="303"/>
      <c r="BD307" s="35"/>
      <c r="BE307" s="35"/>
      <c r="BF307" s="43"/>
      <c r="BG307" s="43"/>
      <c r="BH307" s="12"/>
      <c r="BI307" s="12"/>
      <c r="BJ307" s="12"/>
      <c r="BK307" s="12"/>
      <c r="BL307" s="12"/>
      <c r="BM307" s="12"/>
      <c r="BN307" s="12"/>
      <c r="BO307" s="12"/>
      <c r="BP307" s="35"/>
      <c r="BQ307" s="35"/>
      <c r="BR307" s="47"/>
      <c r="BS307" s="3"/>
      <c r="BT307" s="3"/>
      <c r="BU307" s="3"/>
      <c r="BV307" s="3"/>
      <c r="BW307" s="3"/>
      <c r="BX307" s="3"/>
      <c r="BY307" s="3"/>
      <c r="BZ307" s="3"/>
      <c r="CA307" s="3"/>
      <c r="CB307" s="3"/>
    </row>
    <row r="308" spans="1:80" x14ac:dyDescent="0.2">
      <c r="A308" s="187"/>
      <c r="B308" s="46"/>
      <c r="C308" s="46"/>
      <c r="D308" s="12"/>
      <c r="E308" s="67"/>
      <c r="F308" s="67"/>
      <c r="G308" s="67"/>
      <c r="H308" s="67"/>
      <c r="I308" s="67"/>
      <c r="J308" s="67"/>
      <c r="K308" s="67"/>
      <c r="L308" s="67"/>
      <c r="M308" s="67"/>
      <c r="N308" s="67"/>
      <c r="O308" s="67"/>
      <c r="P308" s="67"/>
      <c r="Q308" s="67"/>
      <c r="R308" s="67"/>
      <c r="S308" s="67"/>
      <c r="T308" s="67"/>
      <c r="U308" s="68"/>
      <c r="V308" s="68"/>
      <c r="W308" s="67"/>
      <c r="X308" s="68"/>
      <c r="Y308" s="67"/>
      <c r="Z308" s="67"/>
      <c r="AA308" s="69"/>
      <c r="AB308" s="67"/>
      <c r="AC308" s="67"/>
      <c r="AD308" s="68"/>
      <c r="AE308" s="67"/>
      <c r="AF308" s="67"/>
      <c r="AG308" s="67"/>
      <c r="AH308" s="67"/>
      <c r="AI308" s="12"/>
      <c r="AJ308" s="12"/>
      <c r="AK308" s="12"/>
      <c r="AL308" s="12"/>
      <c r="AM308" s="12"/>
      <c r="AN308" s="12"/>
      <c r="AO308" s="12"/>
      <c r="AP308" s="12"/>
      <c r="AQ308" s="12"/>
      <c r="AR308" s="12"/>
      <c r="AS308" s="12"/>
      <c r="AT308" s="12"/>
      <c r="AU308" s="12"/>
      <c r="AV308" s="12"/>
      <c r="AW308" s="12"/>
      <c r="AX308" s="12"/>
      <c r="AY308" s="46"/>
      <c r="AZ308" s="35"/>
      <c r="BA308" s="35"/>
      <c r="BB308" s="186"/>
      <c r="BC308" s="35"/>
      <c r="BD308" s="35"/>
      <c r="BE308" s="35"/>
      <c r="BF308" s="43"/>
      <c r="BG308" s="43"/>
      <c r="BH308" s="12"/>
      <c r="BI308" s="12"/>
      <c r="BJ308" s="12"/>
      <c r="BK308" s="12"/>
      <c r="BL308" s="12"/>
      <c r="BM308" s="12"/>
      <c r="BN308" s="12"/>
      <c r="BO308" s="12"/>
      <c r="BP308" s="35"/>
      <c r="BQ308" s="35"/>
      <c r="BR308" s="47"/>
      <c r="BS308" s="3"/>
      <c r="BT308" s="3"/>
      <c r="BU308" s="3"/>
      <c r="BV308" s="3"/>
      <c r="BW308" s="3"/>
      <c r="BX308" s="3"/>
      <c r="BY308" s="3"/>
      <c r="BZ308" s="3"/>
      <c r="CA308" s="3"/>
      <c r="CB308" s="3"/>
    </row>
    <row r="309" spans="1:80" x14ac:dyDescent="0.2">
      <c r="A309" s="27"/>
      <c r="B309" s="5"/>
      <c r="C309" s="5"/>
      <c r="D309" s="53"/>
      <c r="E309" s="70"/>
      <c r="F309" s="70"/>
      <c r="G309" s="70"/>
      <c r="H309" s="70"/>
      <c r="I309" s="70"/>
      <c r="J309" s="70"/>
      <c r="K309" s="70"/>
      <c r="L309" s="70"/>
      <c r="M309" s="70"/>
      <c r="N309" s="70"/>
      <c r="O309" s="70"/>
      <c r="P309" s="70"/>
      <c r="Q309" s="70"/>
      <c r="R309" s="70"/>
      <c r="S309" s="70"/>
      <c r="T309" s="70"/>
      <c r="U309" s="64"/>
      <c r="V309" s="64"/>
      <c r="W309" s="70"/>
      <c r="X309" s="64"/>
      <c r="Y309" s="70"/>
      <c r="Z309" s="70"/>
      <c r="AA309" s="71"/>
      <c r="AB309" s="70"/>
      <c r="AC309" s="70"/>
      <c r="AD309" s="64"/>
      <c r="AE309" s="70"/>
      <c r="AF309" s="70"/>
      <c r="AG309" s="70"/>
      <c r="AH309" s="70"/>
      <c r="AI309" s="53"/>
      <c r="AJ309" s="53"/>
      <c r="AK309" s="53"/>
      <c r="AL309" s="53"/>
      <c r="AM309" s="53"/>
      <c r="AN309" s="53"/>
      <c r="AO309" s="53"/>
      <c r="AP309" s="53"/>
      <c r="AQ309" s="53"/>
      <c r="AR309" s="53"/>
      <c r="AS309" s="53"/>
      <c r="AT309" s="53"/>
      <c r="AU309" s="53"/>
      <c r="AV309" s="53"/>
      <c r="AW309" s="53"/>
      <c r="AX309" s="53"/>
      <c r="BB309" s="5"/>
      <c r="BF309" s="36"/>
      <c r="BG309" s="36"/>
      <c r="BH309" s="53"/>
      <c r="BI309" s="53"/>
      <c r="BJ309" s="53"/>
      <c r="BK309" s="53"/>
      <c r="BL309" s="53"/>
      <c r="BM309" s="53"/>
      <c r="BN309" s="53"/>
      <c r="BO309" s="53"/>
    </row>
    <row r="310" spans="1:80" x14ac:dyDescent="0.2">
      <c r="A310" s="27" t="s">
        <v>285</v>
      </c>
      <c r="B310" s="5"/>
      <c r="C310" s="5"/>
      <c r="D310" s="53"/>
      <c r="E310" s="70"/>
      <c r="F310" s="70"/>
      <c r="G310" s="70"/>
      <c r="H310" s="70"/>
      <c r="I310" s="70"/>
      <c r="J310" s="70"/>
      <c r="K310" s="70"/>
      <c r="L310" s="70"/>
      <c r="M310" s="70"/>
      <c r="N310" s="70"/>
      <c r="O310" s="70"/>
      <c r="P310" s="70"/>
      <c r="Q310" s="70"/>
      <c r="R310" s="70"/>
      <c r="S310" s="70"/>
      <c r="T310" s="70"/>
      <c r="U310" s="64"/>
      <c r="V310" s="64"/>
      <c r="W310" s="70"/>
      <c r="X310" s="64"/>
      <c r="Y310" s="70"/>
      <c r="Z310" s="70"/>
      <c r="AA310" s="71"/>
      <c r="AB310" s="70"/>
      <c r="AC310" s="70"/>
      <c r="AD310" s="64"/>
      <c r="AE310" s="70"/>
      <c r="AF310" s="70"/>
      <c r="AG310" s="70"/>
      <c r="AH310" s="70"/>
    </row>
    <row r="311" spans="1:80" x14ac:dyDescent="0.2">
      <c r="D311" s="53"/>
      <c r="E311" s="70"/>
      <c r="F311" s="70"/>
      <c r="G311" s="70"/>
      <c r="H311" s="70"/>
      <c r="I311" s="70"/>
      <c r="J311" s="70"/>
      <c r="K311" s="70"/>
      <c r="L311" s="70"/>
      <c r="M311" s="70"/>
      <c r="N311" s="70"/>
      <c r="O311" s="70"/>
      <c r="P311" s="70"/>
      <c r="Q311" s="70"/>
      <c r="R311" s="70"/>
      <c r="S311" s="70"/>
      <c r="T311" s="70"/>
      <c r="U311" s="64"/>
      <c r="V311" s="64"/>
      <c r="W311" s="70"/>
      <c r="X311" s="64"/>
      <c r="Y311" s="70"/>
      <c r="Z311" s="70"/>
      <c r="AA311" s="71"/>
      <c r="AB311" s="70"/>
      <c r="AC311" s="70"/>
      <c r="AD311" s="64"/>
      <c r="AE311" s="70"/>
      <c r="AF311" s="70"/>
      <c r="AG311" s="70"/>
      <c r="AH311" s="70"/>
    </row>
    <row r="312" spans="1:80" x14ac:dyDescent="0.2">
      <c r="B312" s="10" t="s">
        <v>112</v>
      </c>
      <c r="D312" s="53"/>
      <c r="E312" s="70"/>
      <c r="F312" s="70"/>
      <c r="G312" s="70"/>
      <c r="H312" s="70"/>
      <c r="I312" s="70"/>
      <c r="J312" s="70"/>
      <c r="K312" s="70"/>
      <c r="L312" s="70"/>
      <c r="M312" s="70"/>
      <c r="N312" s="70"/>
      <c r="O312" s="70"/>
      <c r="P312" s="70"/>
      <c r="Q312" s="70"/>
      <c r="R312" s="70"/>
      <c r="S312" s="70"/>
      <c r="T312" s="70"/>
      <c r="U312" s="64"/>
      <c r="V312" s="64"/>
      <c r="W312" s="70"/>
      <c r="X312" s="64"/>
      <c r="Y312" s="70"/>
      <c r="Z312" s="70"/>
      <c r="AA312" s="71"/>
      <c r="AB312" s="70"/>
      <c r="AC312" s="70"/>
      <c r="AD312" s="64"/>
      <c r="AE312" s="70"/>
      <c r="AF312" s="70"/>
      <c r="AG312" s="70"/>
      <c r="AH312" s="70"/>
    </row>
    <row r="313" spans="1:80" x14ac:dyDescent="0.2">
      <c r="B313" s="10" t="s">
        <v>286</v>
      </c>
      <c r="D313" s="53"/>
      <c r="E313" s="70"/>
      <c r="F313" s="70"/>
      <c r="G313" s="70"/>
      <c r="H313" s="70"/>
      <c r="I313" s="70"/>
      <c r="J313" s="70"/>
      <c r="K313" s="70"/>
      <c r="L313" s="70"/>
      <c r="M313" s="70"/>
      <c r="N313" s="70"/>
      <c r="O313" s="70"/>
      <c r="P313" s="70"/>
      <c r="Q313" s="70"/>
      <c r="R313" s="70"/>
      <c r="S313" s="70"/>
      <c r="T313" s="70"/>
      <c r="U313" s="64"/>
      <c r="V313" s="64"/>
      <c r="W313" s="70"/>
      <c r="X313" s="64"/>
      <c r="Y313" s="70"/>
      <c r="Z313" s="70"/>
      <c r="AA313" s="71"/>
      <c r="AB313" s="70"/>
      <c r="AC313" s="70"/>
      <c r="AD313" s="64"/>
      <c r="AE313" s="70"/>
      <c r="AF313" s="70"/>
      <c r="AG313" s="70"/>
      <c r="AH313" s="70"/>
    </row>
    <row r="314" spans="1:80" x14ac:dyDescent="0.2">
      <c r="B314" s="10" t="s">
        <v>140</v>
      </c>
      <c r="D314" s="53"/>
      <c r="E314" s="70"/>
      <c r="F314" s="70"/>
      <c r="G314" s="70"/>
      <c r="H314" s="70"/>
      <c r="I314" s="70"/>
      <c r="J314" s="70"/>
      <c r="K314" s="70"/>
      <c r="L314" s="70"/>
      <c r="M314" s="70"/>
      <c r="N314" s="70"/>
      <c r="O314" s="70"/>
      <c r="P314" s="70"/>
      <c r="Q314" s="70"/>
      <c r="R314" s="70"/>
      <c r="S314" s="70"/>
      <c r="T314" s="70"/>
      <c r="U314" s="64"/>
      <c r="V314" s="64"/>
      <c r="W314" s="70"/>
      <c r="X314" s="64"/>
      <c r="Y314" s="70"/>
      <c r="Z314" s="70"/>
      <c r="AA314" s="71"/>
      <c r="AB314" s="70"/>
      <c r="AC314" s="70"/>
      <c r="AD314" s="64"/>
      <c r="AE314" s="70"/>
      <c r="AF314" s="70"/>
      <c r="AG314" s="70"/>
      <c r="AH314" s="70"/>
    </row>
    <row r="315" spans="1:80" x14ac:dyDescent="0.2">
      <c r="B315" s="10" t="s">
        <v>101</v>
      </c>
      <c r="D315" s="53"/>
      <c r="E315" s="70"/>
      <c r="F315" s="70"/>
      <c r="G315" s="70"/>
      <c r="H315" s="70"/>
      <c r="I315" s="70"/>
      <c r="J315" s="70"/>
      <c r="K315" s="70"/>
      <c r="L315" s="70"/>
      <c r="M315" s="70"/>
      <c r="N315" s="70"/>
      <c r="O315" s="70"/>
      <c r="P315" s="70"/>
      <c r="Q315" s="70"/>
      <c r="R315" s="70"/>
      <c r="S315" s="70"/>
      <c r="T315" s="70"/>
      <c r="U315" s="64"/>
      <c r="V315" s="64"/>
      <c r="W315" s="70"/>
      <c r="X315" s="64"/>
      <c r="Y315" s="70"/>
      <c r="Z315" s="70"/>
      <c r="AA315" s="71"/>
      <c r="AB315" s="70"/>
      <c r="AC315" s="70"/>
      <c r="AD315" s="64"/>
      <c r="AE315" s="70"/>
      <c r="AF315" s="70"/>
      <c r="AG315" s="70"/>
      <c r="AH315" s="70"/>
    </row>
    <row r="316" spans="1:80" x14ac:dyDescent="0.2">
      <c r="B316" s="5" t="s">
        <v>102</v>
      </c>
      <c r="C316" s="5"/>
      <c r="D316" s="36"/>
      <c r="E316" s="64"/>
      <c r="F316" s="64"/>
      <c r="G316" s="64"/>
      <c r="H316" s="64"/>
      <c r="I316" s="64"/>
      <c r="J316" s="64"/>
      <c r="K316" s="64"/>
      <c r="L316" s="64"/>
      <c r="M316" s="64"/>
      <c r="N316" s="64"/>
      <c r="O316" s="64"/>
      <c r="P316" s="64"/>
      <c r="Q316" s="64"/>
      <c r="R316" s="64"/>
      <c r="S316" s="64"/>
      <c r="T316" s="64"/>
      <c r="U316" s="64"/>
      <c r="V316" s="64"/>
      <c r="W316" s="64"/>
      <c r="X316" s="64"/>
      <c r="Y316" s="70"/>
      <c r="Z316" s="70"/>
      <c r="AA316" s="71"/>
      <c r="AB316" s="70"/>
      <c r="AC316" s="70"/>
      <c r="AD316" s="64"/>
      <c r="AE316" s="70"/>
      <c r="AF316" s="70"/>
      <c r="AG316" s="70"/>
      <c r="AH316" s="70"/>
    </row>
    <row r="317" spans="1:80" x14ac:dyDescent="0.2">
      <c r="D317" s="53"/>
      <c r="E317" s="70"/>
      <c r="F317" s="70"/>
      <c r="G317" s="70"/>
      <c r="H317" s="70"/>
      <c r="I317" s="70"/>
      <c r="J317" s="70"/>
      <c r="K317" s="70"/>
      <c r="L317" s="70"/>
      <c r="M317" s="70"/>
      <c r="N317" s="70"/>
      <c r="O317" s="70"/>
      <c r="P317" s="70"/>
      <c r="Q317" s="70"/>
      <c r="R317" s="70"/>
      <c r="S317" s="70"/>
      <c r="T317" s="70"/>
      <c r="U317" s="64"/>
      <c r="V317" s="64"/>
      <c r="W317" s="70"/>
      <c r="X317" s="64"/>
      <c r="Y317" s="70"/>
      <c r="Z317" s="70"/>
      <c r="AA317" s="71"/>
      <c r="AB317" s="70"/>
      <c r="AC317" s="70"/>
      <c r="AD317" s="64"/>
      <c r="AE317" s="70"/>
      <c r="AF317" s="70"/>
      <c r="AG317" s="70"/>
      <c r="AH317" s="70"/>
    </row>
    <row r="318" spans="1:80" x14ac:dyDescent="0.2">
      <c r="A318" s="18" t="s">
        <v>220</v>
      </c>
      <c r="D318" s="53"/>
      <c r="E318" s="70"/>
      <c r="F318" s="70"/>
      <c r="G318" s="70"/>
      <c r="H318" s="70"/>
      <c r="I318" s="70"/>
      <c r="J318" s="70"/>
      <c r="K318" s="70"/>
      <c r="L318" s="70"/>
      <c r="M318" s="70"/>
      <c r="N318" s="70"/>
      <c r="O318" s="70"/>
      <c r="P318" s="70"/>
      <c r="Q318" s="70"/>
      <c r="R318" s="70"/>
      <c r="S318" s="70"/>
      <c r="T318" s="70"/>
      <c r="U318" s="64"/>
      <c r="V318" s="64"/>
      <c r="W318" s="70"/>
      <c r="X318" s="64"/>
      <c r="Y318" s="70"/>
      <c r="Z318" s="70"/>
      <c r="AA318" s="71"/>
      <c r="AB318" s="70"/>
      <c r="AC318" s="70"/>
      <c r="AD318" s="64"/>
      <c r="AE318" s="70"/>
      <c r="AF318" s="70"/>
      <c r="AG318" s="70"/>
      <c r="AH318" s="70"/>
    </row>
    <row r="319" spans="1:80" x14ac:dyDescent="0.2">
      <c r="D319" s="53"/>
      <c r="E319" s="70"/>
      <c r="F319" s="70"/>
      <c r="G319" s="70"/>
      <c r="H319" s="70"/>
      <c r="I319" s="70"/>
      <c r="J319" s="70"/>
      <c r="K319" s="70"/>
      <c r="L319" s="70"/>
      <c r="M319" s="70"/>
      <c r="N319" s="70"/>
      <c r="O319" s="70"/>
      <c r="P319" s="70"/>
      <c r="Q319" s="70"/>
      <c r="R319" s="70"/>
      <c r="S319" s="70"/>
      <c r="T319" s="70"/>
      <c r="U319" s="64"/>
      <c r="V319" s="64"/>
      <c r="W319" s="70"/>
      <c r="X319" s="64"/>
      <c r="Y319" s="70"/>
      <c r="Z319" s="70"/>
      <c r="AA319" s="71"/>
      <c r="AB319" s="70"/>
      <c r="AC319" s="70"/>
      <c r="AD319" s="64"/>
      <c r="AE319" s="70"/>
      <c r="AF319" s="70"/>
      <c r="AG319" s="70"/>
      <c r="AH319" s="70"/>
    </row>
    <row r="320" spans="1:80" x14ac:dyDescent="0.2">
      <c r="A320" s="72" t="s">
        <v>219</v>
      </c>
      <c r="D320" s="53"/>
      <c r="E320" s="70"/>
      <c r="F320" s="70"/>
      <c r="G320" s="70"/>
      <c r="H320" s="70"/>
      <c r="I320" s="70"/>
      <c r="J320" s="70"/>
      <c r="K320" s="70"/>
      <c r="L320" s="70"/>
      <c r="M320" s="70"/>
      <c r="N320" s="70"/>
      <c r="O320" s="70"/>
      <c r="P320" s="70"/>
      <c r="Q320" s="70"/>
      <c r="R320" s="70"/>
      <c r="S320" s="70"/>
      <c r="T320" s="70"/>
      <c r="U320" s="64"/>
      <c r="V320" s="64"/>
      <c r="W320" s="70"/>
      <c r="X320" s="64"/>
      <c r="Y320" s="70"/>
      <c r="Z320" s="70"/>
      <c r="AA320" s="71"/>
      <c r="AB320" s="70"/>
      <c r="AC320" s="70"/>
      <c r="AD320" s="64"/>
      <c r="AE320" s="70"/>
      <c r="AF320" s="70"/>
      <c r="AG320" s="70"/>
      <c r="AH320" s="70"/>
    </row>
    <row r="321" spans="4:34" x14ac:dyDescent="0.2">
      <c r="D321" s="53"/>
      <c r="E321" s="70"/>
      <c r="F321" s="70"/>
      <c r="G321" s="70"/>
      <c r="H321" s="70"/>
      <c r="I321" s="70"/>
      <c r="J321" s="70"/>
      <c r="K321" s="70"/>
      <c r="L321" s="70"/>
      <c r="M321" s="70"/>
      <c r="N321" s="70"/>
      <c r="O321" s="70"/>
      <c r="P321" s="70"/>
      <c r="Q321" s="70"/>
      <c r="R321" s="70"/>
      <c r="S321" s="70"/>
      <c r="T321" s="70"/>
      <c r="U321" s="64"/>
      <c r="V321" s="64"/>
      <c r="W321" s="70"/>
      <c r="X321" s="64"/>
      <c r="Y321" s="70"/>
      <c r="Z321" s="70"/>
      <c r="AA321" s="71"/>
      <c r="AB321" s="70"/>
      <c r="AC321" s="70"/>
      <c r="AD321" s="64"/>
      <c r="AE321" s="70"/>
      <c r="AF321" s="70"/>
      <c r="AG321" s="70"/>
      <c r="AH321" s="70"/>
    </row>
    <row r="322" spans="4:34" x14ac:dyDescent="0.2">
      <c r="D322" s="53"/>
      <c r="E322" s="70"/>
      <c r="F322" s="70"/>
      <c r="G322" s="70"/>
      <c r="H322" s="70"/>
      <c r="I322" s="70"/>
      <c r="J322" s="70"/>
      <c r="K322" s="70"/>
      <c r="L322" s="70"/>
      <c r="M322" s="70"/>
      <c r="N322" s="70"/>
      <c r="O322" s="70"/>
      <c r="P322" s="70"/>
      <c r="Q322" s="70"/>
      <c r="R322" s="70"/>
      <c r="S322" s="70"/>
      <c r="T322" s="70"/>
      <c r="U322" s="64"/>
      <c r="V322" s="64"/>
      <c r="W322" s="70"/>
      <c r="X322" s="64"/>
      <c r="Y322" s="70"/>
      <c r="Z322" s="70"/>
      <c r="AA322" s="71"/>
      <c r="AB322" s="70"/>
      <c r="AC322" s="70"/>
      <c r="AD322" s="64"/>
      <c r="AE322" s="70"/>
      <c r="AF322" s="70"/>
      <c r="AG322" s="70"/>
      <c r="AH322" s="70"/>
    </row>
    <row r="323" spans="4:34" x14ac:dyDescent="0.2">
      <c r="D323" s="53"/>
      <c r="E323" s="70"/>
      <c r="F323" s="70"/>
      <c r="G323" s="70"/>
      <c r="H323" s="70"/>
      <c r="I323" s="70"/>
      <c r="J323" s="70"/>
      <c r="K323" s="70"/>
      <c r="L323" s="70"/>
      <c r="M323" s="70"/>
      <c r="N323" s="70"/>
      <c r="O323" s="70"/>
      <c r="P323" s="70"/>
      <c r="Q323" s="70"/>
      <c r="R323" s="70"/>
      <c r="S323" s="70"/>
      <c r="T323" s="70"/>
      <c r="U323" s="64"/>
      <c r="V323" s="64"/>
      <c r="W323" s="70"/>
      <c r="X323" s="64"/>
      <c r="Y323" s="70"/>
      <c r="Z323" s="70"/>
      <c r="AA323" s="71"/>
      <c r="AB323" s="70"/>
      <c r="AC323" s="70"/>
      <c r="AD323" s="64"/>
      <c r="AE323" s="70"/>
      <c r="AF323" s="70"/>
      <c r="AG323" s="70"/>
      <c r="AH323" s="70"/>
    </row>
    <row r="324" spans="4:34" x14ac:dyDescent="0.2">
      <c r="D324" s="53"/>
      <c r="E324" s="70"/>
      <c r="F324" s="70"/>
      <c r="G324" s="70"/>
      <c r="H324" s="70"/>
      <c r="I324" s="70"/>
      <c r="J324" s="70"/>
      <c r="K324" s="70"/>
      <c r="L324" s="70"/>
      <c r="M324" s="70"/>
      <c r="N324" s="70"/>
      <c r="O324" s="70"/>
      <c r="P324" s="70"/>
      <c r="Q324" s="70"/>
      <c r="R324" s="70"/>
      <c r="S324" s="70"/>
      <c r="T324" s="70"/>
      <c r="U324" s="64"/>
      <c r="V324" s="64"/>
      <c r="W324" s="70"/>
      <c r="X324" s="64"/>
      <c r="Y324" s="70"/>
      <c r="Z324" s="70"/>
      <c r="AA324" s="71"/>
      <c r="AB324" s="70"/>
      <c r="AC324" s="70"/>
      <c r="AD324" s="64"/>
      <c r="AE324" s="70"/>
      <c r="AF324" s="70"/>
      <c r="AG324" s="70"/>
      <c r="AH324" s="70"/>
    </row>
    <row r="325" spans="4:34" x14ac:dyDescent="0.2">
      <c r="D325" s="53"/>
      <c r="E325" s="70"/>
      <c r="F325" s="70"/>
      <c r="G325" s="70"/>
      <c r="H325" s="70"/>
      <c r="I325" s="70"/>
      <c r="J325" s="70"/>
      <c r="K325" s="70"/>
      <c r="L325" s="70"/>
      <c r="M325" s="70"/>
      <c r="N325" s="70"/>
      <c r="O325" s="70"/>
      <c r="P325" s="70"/>
      <c r="Q325" s="70"/>
      <c r="R325" s="70"/>
      <c r="S325" s="70"/>
      <c r="T325" s="70"/>
      <c r="U325" s="64"/>
      <c r="V325" s="64"/>
      <c r="W325" s="70"/>
      <c r="X325" s="64"/>
      <c r="Y325" s="70"/>
      <c r="Z325" s="70"/>
      <c r="AA325" s="71"/>
      <c r="AB325" s="70"/>
      <c r="AC325" s="70"/>
      <c r="AD325" s="64"/>
      <c r="AE325" s="70"/>
      <c r="AF325" s="70"/>
      <c r="AG325" s="70"/>
      <c r="AH325" s="70"/>
    </row>
    <row r="326" spans="4:34" x14ac:dyDescent="0.2">
      <c r="D326" s="53"/>
      <c r="E326" s="70"/>
      <c r="F326" s="70"/>
      <c r="G326" s="70"/>
      <c r="H326" s="70"/>
      <c r="I326" s="70"/>
      <c r="J326" s="70"/>
      <c r="K326" s="70"/>
      <c r="L326" s="70"/>
      <c r="M326" s="70"/>
      <c r="N326" s="70"/>
      <c r="O326" s="70"/>
      <c r="P326" s="70"/>
      <c r="Q326" s="70"/>
      <c r="R326" s="70"/>
      <c r="S326" s="70"/>
      <c r="T326" s="70"/>
      <c r="U326" s="64"/>
      <c r="V326" s="64"/>
      <c r="W326" s="70"/>
      <c r="X326" s="64"/>
      <c r="Y326" s="70"/>
      <c r="Z326" s="70"/>
      <c r="AA326" s="71"/>
      <c r="AB326" s="70"/>
      <c r="AC326" s="70"/>
      <c r="AD326" s="64"/>
      <c r="AE326" s="70"/>
      <c r="AF326" s="70"/>
      <c r="AG326" s="70"/>
      <c r="AH326" s="70"/>
    </row>
    <row r="327" spans="4:34" x14ac:dyDescent="0.2">
      <c r="D327" s="53"/>
      <c r="E327" s="70"/>
      <c r="F327" s="70"/>
      <c r="G327" s="70"/>
      <c r="H327" s="70"/>
      <c r="I327" s="70"/>
      <c r="J327" s="70"/>
      <c r="K327" s="70"/>
      <c r="L327" s="70"/>
      <c r="M327" s="70"/>
      <c r="N327" s="70"/>
      <c r="O327" s="70"/>
      <c r="P327" s="70"/>
      <c r="Q327" s="70"/>
      <c r="R327" s="70"/>
      <c r="S327" s="70"/>
      <c r="T327" s="70"/>
      <c r="U327" s="64"/>
      <c r="V327" s="64"/>
      <c r="W327" s="70"/>
      <c r="X327" s="64"/>
      <c r="Y327" s="70"/>
      <c r="Z327" s="70"/>
      <c r="AA327" s="71"/>
      <c r="AB327" s="70"/>
      <c r="AC327" s="70"/>
      <c r="AD327" s="64"/>
      <c r="AE327" s="70"/>
      <c r="AF327" s="70"/>
      <c r="AG327" s="70"/>
      <c r="AH327" s="70"/>
    </row>
    <row r="328" spans="4:34" x14ac:dyDescent="0.2">
      <c r="D328" s="53"/>
      <c r="E328" s="70"/>
      <c r="F328" s="70"/>
      <c r="G328" s="70"/>
      <c r="H328" s="70"/>
      <c r="I328" s="70"/>
      <c r="J328" s="70"/>
      <c r="K328" s="70"/>
      <c r="L328" s="70"/>
      <c r="M328" s="70"/>
      <c r="N328" s="70"/>
      <c r="O328" s="70"/>
      <c r="P328" s="70"/>
      <c r="Q328" s="70"/>
      <c r="R328" s="70"/>
      <c r="S328" s="70"/>
      <c r="T328" s="70"/>
      <c r="U328" s="64"/>
      <c r="V328" s="64"/>
      <c r="W328" s="70"/>
      <c r="X328" s="64"/>
      <c r="Y328" s="70"/>
      <c r="Z328" s="70"/>
      <c r="AA328" s="71"/>
      <c r="AB328" s="70"/>
      <c r="AC328" s="70"/>
      <c r="AD328" s="64"/>
      <c r="AE328" s="70"/>
      <c r="AF328" s="70"/>
      <c r="AG328" s="70"/>
      <c r="AH328" s="70"/>
    </row>
    <row r="329" spans="4:34" x14ac:dyDescent="0.2">
      <c r="D329" s="53"/>
      <c r="E329" s="70"/>
      <c r="F329" s="70"/>
      <c r="G329" s="70"/>
      <c r="H329" s="70"/>
      <c r="I329" s="70"/>
      <c r="J329" s="70"/>
      <c r="K329" s="70"/>
      <c r="L329" s="70"/>
      <c r="M329" s="70"/>
      <c r="N329" s="70"/>
      <c r="O329" s="70"/>
      <c r="P329" s="70"/>
      <c r="Q329" s="70"/>
      <c r="R329" s="70"/>
      <c r="S329" s="70"/>
      <c r="T329" s="70"/>
      <c r="U329" s="64"/>
      <c r="V329" s="64"/>
      <c r="W329" s="70"/>
      <c r="X329" s="64"/>
      <c r="Y329" s="70"/>
      <c r="Z329" s="70"/>
      <c r="AA329" s="71"/>
      <c r="AB329" s="70"/>
      <c r="AC329" s="70"/>
      <c r="AD329" s="64"/>
      <c r="AE329" s="70"/>
      <c r="AF329" s="70"/>
      <c r="AG329" s="70"/>
      <c r="AH329" s="70"/>
    </row>
    <row r="330" spans="4:34" x14ac:dyDescent="0.2">
      <c r="D330" s="53"/>
      <c r="E330" s="70"/>
      <c r="F330" s="70"/>
      <c r="G330" s="70"/>
      <c r="H330" s="70"/>
      <c r="I330" s="70"/>
      <c r="J330" s="70"/>
      <c r="K330" s="70"/>
      <c r="L330" s="70"/>
      <c r="M330" s="70"/>
      <c r="N330" s="70"/>
      <c r="O330" s="70"/>
      <c r="P330" s="70"/>
      <c r="Q330" s="70"/>
      <c r="R330" s="70"/>
      <c r="S330" s="70"/>
      <c r="T330" s="70"/>
      <c r="U330" s="64"/>
      <c r="V330" s="64"/>
      <c r="W330" s="70"/>
      <c r="X330" s="64"/>
      <c r="Y330" s="70"/>
      <c r="Z330" s="70"/>
      <c r="AA330" s="71"/>
      <c r="AB330" s="70"/>
      <c r="AC330" s="70"/>
      <c r="AD330" s="64"/>
      <c r="AE330" s="70"/>
      <c r="AF330" s="70"/>
      <c r="AG330" s="70"/>
      <c r="AH330" s="70"/>
    </row>
    <row r="331" spans="4:34" x14ac:dyDescent="0.2">
      <c r="D331" s="53"/>
      <c r="E331" s="70"/>
      <c r="F331" s="70"/>
      <c r="G331" s="70"/>
      <c r="H331" s="70"/>
      <c r="I331" s="70"/>
      <c r="J331" s="70"/>
      <c r="K331" s="70"/>
      <c r="L331" s="70"/>
      <c r="M331" s="70"/>
      <c r="N331" s="70"/>
      <c r="O331" s="70"/>
      <c r="P331" s="70"/>
      <c r="Q331" s="70"/>
      <c r="R331" s="70"/>
      <c r="S331" s="70"/>
      <c r="T331" s="70"/>
      <c r="U331" s="64"/>
      <c r="V331" s="64"/>
      <c r="W331" s="70"/>
      <c r="X331" s="64"/>
      <c r="Y331" s="70"/>
      <c r="Z331" s="70"/>
      <c r="AA331" s="71"/>
      <c r="AB331" s="70"/>
      <c r="AC331" s="70"/>
      <c r="AD331" s="64"/>
      <c r="AE331" s="70"/>
      <c r="AF331" s="70"/>
      <c r="AG331" s="70"/>
      <c r="AH331" s="70"/>
    </row>
    <row r="332" spans="4:34" x14ac:dyDescent="0.2">
      <c r="D332" s="53"/>
      <c r="E332" s="70"/>
      <c r="F332" s="70"/>
      <c r="G332" s="70"/>
      <c r="H332" s="70"/>
      <c r="I332" s="70"/>
      <c r="J332" s="70"/>
      <c r="K332" s="70"/>
      <c r="L332" s="70"/>
      <c r="M332" s="70"/>
      <c r="N332" s="70"/>
      <c r="O332" s="70"/>
      <c r="P332" s="70"/>
      <c r="Q332" s="70"/>
      <c r="R332" s="70"/>
      <c r="S332" s="70"/>
      <c r="T332" s="70"/>
      <c r="U332" s="64"/>
      <c r="V332" s="64"/>
      <c r="W332" s="70"/>
      <c r="X332" s="64"/>
      <c r="Y332" s="70"/>
      <c r="Z332" s="70"/>
      <c r="AA332" s="71"/>
      <c r="AB332" s="70"/>
      <c r="AC332" s="70"/>
      <c r="AD332" s="64"/>
      <c r="AE332" s="70"/>
      <c r="AF332" s="70"/>
      <c r="AG332" s="70"/>
      <c r="AH332" s="70"/>
    </row>
    <row r="333" spans="4:34" x14ac:dyDescent="0.2">
      <c r="D333" s="53"/>
      <c r="E333" s="70"/>
      <c r="F333" s="70"/>
      <c r="G333" s="70"/>
      <c r="H333" s="70"/>
      <c r="I333" s="70"/>
      <c r="J333" s="70"/>
      <c r="K333" s="70"/>
      <c r="L333" s="70"/>
      <c r="M333" s="70"/>
      <c r="N333" s="70"/>
      <c r="O333" s="70"/>
      <c r="P333" s="70"/>
      <c r="Q333" s="70"/>
      <c r="R333" s="70"/>
      <c r="S333" s="70"/>
      <c r="T333" s="70"/>
      <c r="U333" s="64"/>
      <c r="V333" s="64"/>
      <c r="W333" s="70"/>
      <c r="X333" s="64"/>
      <c r="Y333" s="70"/>
      <c r="Z333" s="70"/>
      <c r="AA333" s="71"/>
      <c r="AB333" s="70"/>
      <c r="AC333" s="70"/>
      <c r="AD333" s="64"/>
      <c r="AE333" s="70"/>
      <c r="AF333" s="70"/>
      <c r="AG333" s="70"/>
      <c r="AH333" s="70"/>
    </row>
    <row r="334" spans="4:34" x14ac:dyDescent="0.2">
      <c r="D334" s="53"/>
      <c r="E334" s="70"/>
      <c r="F334" s="70"/>
      <c r="G334" s="70"/>
      <c r="H334" s="70"/>
      <c r="I334" s="70"/>
      <c r="J334" s="70"/>
      <c r="K334" s="70"/>
      <c r="L334" s="70"/>
      <c r="M334" s="70"/>
      <c r="N334" s="70"/>
      <c r="O334" s="70"/>
      <c r="P334" s="70"/>
      <c r="Q334" s="70"/>
      <c r="R334" s="70"/>
      <c r="S334" s="70"/>
      <c r="T334" s="70"/>
      <c r="U334" s="64"/>
      <c r="V334" s="64"/>
      <c r="W334" s="70"/>
      <c r="X334" s="64"/>
      <c r="Y334" s="70"/>
      <c r="Z334" s="70"/>
      <c r="AA334" s="71"/>
      <c r="AB334" s="70"/>
      <c r="AC334" s="70"/>
      <c r="AD334" s="64"/>
      <c r="AE334" s="70"/>
      <c r="AF334" s="70"/>
      <c r="AG334" s="70"/>
      <c r="AH334" s="70"/>
    </row>
    <row r="335" spans="4:34" x14ac:dyDescent="0.2">
      <c r="D335" s="53"/>
      <c r="E335" s="70"/>
      <c r="F335" s="70"/>
      <c r="G335" s="70"/>
      <c r="H335" s="70"/>
      <c r="I335" s="70"/>
      <c r="J335" s="70"/>
      <c r="K335" s="70"/>
      <c r="L335" s="70"/>
      <c r="M335" s="70"/>
      <c r="N335" s="70"/>
      <c r="O335" s="70"/>
      <c r="P335" s="70"/>
      <c r="Q335" s="70"/>
      <c r="R335" s="70"/>
      <c r="S335" s="70"/>
      <c r="T335" s="70"/>
      <c r="U335" s="64"/>
      <c r="V335" s="64"/>
      <c r="W335" s="70"/>
      <c r="X335" s="64"/>
      <c r="Y335" s="70"/>
      <c r="Z335" s="70"/>
      <c r="AA335" s="71"/>
      <c r="AB335" s="70"/>
      <c r="AC335" s="70"/>
      <c r="AD335" s="64"/>
      <c r="AE335" s="70"/>
      <c r="AF335" s="70"/>
      <c r="AG335" s="70"/>
      <c r="AH335" s="70"/>
    </row>
    <row r="336" spans="4:34" x14ac:dyDescent="0.2">
      <c r="D336" s="53"/>
      <c r="E336" s="70"/>
      <c r="F336" s="70"/>
      <c r="G336" s="70"/>
      <c r="H336" s="70"/>
      <c r="I336" s="70"/>
      <c r="J336" s="70"/>
      <c r="K336" s="70"/>
      <c r="L336" s="70"/>
      <c r="M336" s="70"/>
      <c r="N336" s="70"/>
      <c r="O336" s="70"/>
      <c r="P336" s="70"/>
      <c r="Q336" s="70"/>
      <c r="R336" s="70"/>
      <c r="S336" s="70"/>
      <c r="T336" s="70"/>
      <c r="U336" s="64"/>
      <c r="V336" s="64"/>
      <c r="W336" s="70"/>
      <c r="X336" s="64"/>
      <c r="Y336" s="70"/>
      <c r="Z336" s="70"/>
      <c r="AA336" s="71"/>
      <c r="AB336" s="70"/>
      <c r="AC336" s="70"/>
      <c r="AD336" s="64"/>
      <c r="AE336" s="70"/>
      <c r="AF336" s="70"/>
      <c r="AG336" s="70"/>
      <c r="AH336" s="70"/>
    </row>
    <row r="337" spans="4:34" x14ac:dyDescent="0.2">
      <c r="D337" s="53"/>
      <c r="E337" s="70"/>
      <c r="F337" s="70"/>
      <c r="G337" s="70"/>
      <c r="H337" s="70"/>
      <c r="I337" s="70"/>
      <c r="J337" s="70"/>
      <c r="K337" s="70"/>
      <c r="L337" s="70"/>
      <c r="M337" s="70"/>
      <c r="N337" s="70"/>
      <c r="O337" s="70"/>
      <c r="P337" s="70"/>
      <c r="Q337" s="70"/>
      <c r="R337" s="70"/>
      <c r="S337" s="70"/>
      <c r="T337" s="70"/>
      <c r="U337" s="64"/>
      <c r="V337" s="64"/>
      <c r="W337" s="70"/>
      <c r="X337" s="64"/>
      <c r="Y337" s="70"/>
      <c r="Z337" s="70"/>
      <c r="AA337" s="71"/>
      <c r="AB337" s="70"/>
      <c r="AC337" s="70"/>
      <c r="AD337" s="64"/>
      <c r="AE337" s="70"/>
      <c r="AF337" s="70"/>
      <c r="AG337" s="70"/>
      <c r="AH337" s="70"/>
    </row>
    <row r="338" spans="4:34" x14ac:dyDescent="0.2">
      <c r="D338" s="53"/>
      <c r="E338" s="70"/>
      <c r="F338" s="70"/>
      <c r="G338" s="70"/>
      <c r="H338" s="70"/>
      <c r="I338" s="70"/>
      <c r="J338" s="70"/>
      <c r="K338" s="70"/>
      <c r="L338" s="70"/>
      <c r="M338" s="70"/>
      <c r="N338" s="70"/>
      <c r="O338" s="70"/>
      <c r="P338" s="70"/>
      <c r="Q338" s="70"/>
      <c r="R338" s="70"/>
      <c r="S338" s="70"/>
      <c r="T338" s="70"/>
      <c r="U338" s="64"/>
      <c r="V338" s="64"/>
      <c r="W338" s="70"/>
      <c r="X338" s="64"/>
      <c r="Y338" s="70"/>
      <c r="Z338" s="70"/>
      <c r="AA338" s="71"/>
      <c r="AB338" s="70"/>
      <c r="AC338" s="70"/>
      <c r="AD338" s="64"/>
      <c r="AE338" s="70"/>
      <c r="AF338" s="70"/>
      <c r="AG338" s="70"/>
      <c r="AH338" s="70"/>
    </row>
    <row r="339" spans="4:34" x14ac:dyDescent="0.2">
      <c r="D339" s="53"/>
      <c r="E339" s="70"/>
      <c r="F339" s="70"/>
      <c r="G339" s="70"/>
      <c r="H339" s="70"/>
      <c r="I339" s="70"/>
      <c r="J339" s="70"/>
      <c r="K339" s="70"/>
      <c r="L339" s="70"/>
      <c r="M339" s="70"/>
      <c r="N339" s="70"/>
      <c r="O339" s="70"/>
      <c r="P339" s="70"/>
      <c r="Q339" s="70"/>
      <c r="R339" s="70"/>
      <c r="S339" s="70"/>
      <c r="T339" s="70"/>
      <c r="U339" s="64"/>
      <c r="V339" s="64"/>
      <c r="W339" s="70"/>
      <c r="X339" s="64"/>
      <c r="Y339" s="70"/>
      <c r="Z339" s="70"/>
      <c r="AA339" s="71"/>
      <c r="AB339" s="70"/>
      <c r="AC339" s="70"/>
      <c r="AD339" s="64"/>
      <c r="AE339" s="70"/>
      <c r="AF339" s="70"/>
      <c r="AG339" s="70"/>
      <c r="AH339" s="70"/>
    </row>
    <row r="340" spans="4:34" x14ac:dyDescent="0.2">
      <c r="D340" s="53"/>
      <c r="E340" s="70"/>
      <c r="F340" s="70"/>
      <c r="G340" s="70"/>
      <c r="H340" s="70"/>
      <c r="I340" s="70"/>
      <c r="J340" s="70"/>
      <c r="K340" s="70"/>
      <c r="L340" s="70"/>
      <c r="M340" s="70"/>
      <c r="N340" s="70"/>
      <c r="O340" s="70"/>
      <c r="P340" s="70"/>
      <c r="Q340" s="70"/>
      <c r="R340" s="70"/>
      <c r="S340" s="70"/>
      <c r="T340" s="70"/>
      <c r="U340" s="64"/>
      <c r="V340" s="64"/>
      <c r="W340" s="70"/>
      <c r="X340" s="64"/>
      <c r="Y340" s="70"/>
      <c r="Z340" s="70"/>
      <c r="AA340" s="71"/>
      <c r="AB340" s="70"/>
      <c r="AC340" s="70"/>
      <c r="AD340" s="64"/>
      <c r="AE340" s="70"/>
      <c r="AF340" s="70"/>
      <c r="AG340" s="70"/>
      <c r="AH340" s="70"/>
    </row>
    <row r="341" spans="4:34" x14ac:dyDescent="0.2">
      <c r="D341" s="53"/>
      <c r="E341" s="70"/>
      <c r="F341" s="70"/>
      <c r="G341" s="70"/>
      <c r="H341" s="70"/>
      <c r="I341" s="70"/>
      <c r="J341" s="70"/>
      <c r="K341" s="70"/>
      <c r="L341" s="70"/>
      <c r="M341" s="70"/>
      <c r="N341" s="70"/>
      <c r="O341" s="70"/>
      <c r="P341" s="70"/>
      <c r="Q341" s="70"/>
      <c r="R341" s="70"/>
      <c r="S341" s="70"/>
      <c r="T341" s="70"/>
      <c r="U341" s="64"/>
      <c r="V341" s="64"/>
      <c r="W341" s="70"/>
      <c r="X341" s="64"/>
      <c r="Y341" s="70"/>
      <c r="Z341" s="70"/>
      <c r="AA341" s="71"/>
      <c r="AB341" s="70"/>
      <c r="AC341" s="70"/>
      <c r="AD341" s="64"/>
      <c r="AE341" s="70"/>
      <c r="AF341" s="70"/>
      <c r="AG341" s="70"/>
      <c r="AH341" s="70"/>
    </row>
    <row r="342" spans="4:34" x14ac:dyDescent="0.2">
      <c r="D342" s="53"/>
      <c r="E342" s="70"/>
      <c r="F342" s="70"/>
      <c r="G342" s="70"/>
      <c r="H342" s="70"/>
      <c r="I342" s="70"/>
      <c r="J342" s="70"/>
      <c r="K342" s="70"/>
      <c r="L342" s="70"/>
      <c r="M342" s="70"/>
      <c r="N342" s="70"/>
      <c r="O342" s="70"/>
      <c r="P342" s="70"/>
      <c r="Q342" s="70"/>
      <c r="R342" s="70"/>
      <c r="S342" s="70"/>
      <c r="T342" s="70"/>
      <c r="U342" s="64"/>
      <c r="V342" s="64"/>
      <c r="W342" s="70"/>
      <c r="X342" s="64"/>
      <c r="Y342" s="70"/>
      <c r="Z342" s="70"/>
      <c r="AA342" s="71"/>
      <c r="AB342" s="70"/>
      <c r="AC342" s="70"/>
      <c r="AD342" s="64"/>
      <c r="AE342" s="70"/>
      <c r="AF342" s="70"/>
      <c r="AG342" s="70"/>
      <c r="AH342" s="70"/>
    </row>
    <row r="343" spans="4:34" x14ac:dyDescent="0.2">
      <c r="D343" s="53"/>
      <c r="E343" s="70"/>
      <c r="F343" s="70"/>
      <c r="G343" s="70"/>
      <c r="H343" s="70"/>
      <c r="I343" s="70"/>
      <c r="J343" s="70"/>
      <c r="K343" s="70"/>
      <c r="L343" s="70"/>
      <c r="M343" s="70"/>
      <c r="N343" s="70"/>
      <c r="O343" s="70"/>
      <c r="P343" s="70"/>
      <c r="Q343" s="70"/>
      <c r="R343" s="70"/>
      <c r="S343" s="70"/>
      <c r="T343" s="70"/>
      <c r="U343" s="64"/>
      <c r="V343" s="64"/>
      <c r="W343" s="70"/>
      <c r="X343" s="64"/>
      <c r="Y343" s="70"/>
      <c r="Z343" s="70"/>
      <c r="AA343" s="71"/>
      <c r="AB343" s="70"/>
      <c r="AC343" s="70"/>
      <c r="AD343" s="64"/>
      <c r="AE343" s="70"/>
      <c r="AF343" s="70"/>
      <c r="AG343" s="70"/>
      <c r="AH343" s="70"/>
    </row>
    <row r="344" spans="4:34" x14ac:dyDescent="0.2">
      <c r="D344" s="53"/>
      <c r="E344" s="70"/>
      <c r="F344" s="70"/>
      <c r="G344" s="70"/>
      <c r="H344" s="70"/>
      <c r="I344" s="70"/>
      <c r="J344" s="70"/>
      <c r="K344" s="70"/>
      <c r="L344" s="70"/>
      <c r="M344" s="70"/>
      <c r="N344" s="70"/>
      <c r="O344" s="70"/>
      <c r="P344" s="70"/>
      <c r="Q344" s="70"/>
      <c r="R344" s="70"/>
      <c r="S344" s="70"/>
      <c r="T344" s="70"/>
      <c r="U344" s="64"/>
      <c r="V344" s="64"/>
      <c r="W344" s="70"/>
      <c r="X344" s="64"/>
      <c r="Y344" s="70"/>
      <c r="Z344" s="70"/>
      <c r="AA344" s="71"/>
      <c r="AB344" s="70"/>
      <c r="AC344" s="70"/>
      <c r="AD344" s="64"/>
      <c r="AE344" s="70"/>
      <c r="AF344" s="70"/>
      <c r="AG344" s="70"/>
      <c r="AH344" s="70"/>
    </row>
    <row r="345" spans="4:34" x14ac:dyDescent="0.2">
      <c r="D345" s="53"/>
      <c r="E345" s="70"/>
      <c r="F345" s="70"/>
      <c r="G345" s="70"/>
      <c r="H345" s="70"/>
      <c r="I345" s="70"/>
      <c r="J345" s="70"/>
      <c r="K345" s="70"/>
      <c r="L345" s="70"/>
      <c r="M345" s="70"/>
      <c r="N345" s="70"/>
      <c r="O345" s="70"/>
      <c r="P345" s="70"/>
      <c r="Q345" s="70"/>
      <c r="R345" s="70"/>
      <c r="S345" s="70"/>
      <c r="T345" s="70"/>
      <c r="U345" s="64"/>
      <c r="V345" s="64"/>
      <c r="W345" s="70"/>
      <c r="X345" s="64"/>
      <c r="Y345" s="70"/>
      <c r="Z345" s="70"/>
      <c r="AA345" s="71"/>
      <c r="AB345" s="70"/>
      <c r="AC345" s="70"/>
      <c r="AD345" s="64"/>
      <c r="AE345" s="70"/>
      <c r="AF345" s="70"/>
      <c r="AG345" s="70"/>
      <c r="AH345" s="70"/>
    </row>
    <row r="346" spans="4:34" x14ac:dyDescent="0.2">
      <c r="D346" s="53"/>
      <c r="E346" s="70"/>
      <c r="F346" s="70"/>
      <c r="G346" s="70"/>
      <c r="H346" s="70"/>
      <c r="I346" s="70"/>
      <c r="J346" s="70"/>
      <c r="K346" s="70"/>
      <c r="L346" s="70"/>
      <c r="M346" s="70"/>
      <c r="N346" s="70"/>
      <c r="O346" s="70"/>
      <c r="P346" s="70"/>
      <c r="Q346" s="70"/>
      <c r="R346" s="70"/>
      <c r="S346" s="70"/>
      <c r="T346" s="70"/>
      <c r="U346" s="64"/>
      <c r="V346" s="64"/>
      <c r="W346" s="70"/>
      <c r="X346" s="64"/>
      <c r="Y346" s="70"/>
      <c r="Z346" s="70"/>
      <c r="AA346" s="71"/>
      <c r="AB346" s="70"/>
      <c r="AC346" s="70"/>
      <c r="AD346" s="64"/>
      <c r="AE346" s="70"/>
      <c r="AF346" s="70"/>
      <c r="AG346" s="70"/>
      <c r="AH346" s="70"/>
    </row>
    <row r="347" spans="4:34" x14ac:dyDescent="0.2">
      <c r="D347" s="53"/>
      <c r="E347" s="70"/>
      <c r="F347" s="70"/>
      <c r="G347" s="70"/>
      <c r="H347" s="70"/>
      <c r="I347" s="70"/>
      <c r="J347" s="70"/>
      <c r="K347" s="70"/>
      <c r="L347" s="70"/>
      <c r="M347" s="70"/>
      <c r="N347" s="70"/>
      <c r="O347" s="70"/>
      <c r="P347" s="70"/>
      <c r="Q347" s="70"/>
      <c r="R347" s="70"/>
      <c r="S347" s="70"/>
      <c r="T347" s="70"/>
      <c r="U347" s="64"/>
      <c r="V347" s="64"/>
      <c r="W347" s="70"/>
      <c r="X347" s="64"/>
      <c r="Y347" s="70"/>
      <c r="Z347" s="70"/>
      <c r="AA347" s="71"/>
      <c r="AB347" s="70"/>
      <c r="AC347" s="70"/>
      <c r="AD347" s="64"/>
      <c r="AE347" s="70"/>
      <c r="AF347" s="70"/>
      <c r="AG347" s="70"/>
      <c r="AH347" s="70"/>
    </row>
    <row r="348" spans="4:34" x14ac:dyDescent="0.2">
      <c r="D348" s="53"/>
      <c r="E348" s="70"/>
      <c r="F348" s="70"/>
      <c r="G348" s="70"/>
      <c r="H348" s="70"/>
      <c r="I348" s="70"/>
      <c r="J348" s="70"/>
      <c r="K348" s="70"/>
      <c r="L348" s="70"/>
      <c r="M348" s="70"/>
      <c r="N348" s="70"/>
      <c r="O348" s="70"/>
      <c r="P348" s="70"/>
      <c r="Q348" s="70"/>
      <c r="R348" s="70"/>
      <c r="S348" s="70"/>
      <c r="T348" s="70"/>
      <c r="U348" s="64"/>
      <c r="V348" s="64"/>
      <c r="W348" s="70"/>
      <c r="X348" s="64"/>
      <c r="Y348" s="70"/>
      <c r="Z348" s="70"/>
      <c r="AA348" s="71"/>
      <c r="AB348" s="70"/>
      <c r="AC348" s="70"/>
      <c r="AD348" s="64"/>
      <c r="AE348" s="70"/>
      <c r="AF348" s="70"/>
      <c r="AG348" s="70"/>
      <c r="AH348" s="70"/>
    </row>
    <row r="349" spans="4:34" x14ac:dyDescent="0.2">
      <c r="D349" s="53"/>
      <c r="E349" s="70"/>
      <c r="F349" s="70"/>
      <c r="G349" s="70"/>
      <c r="H349" s="70"/>
      <c r="I349" s="70"/>
      <c r="J349" s="70"/>
      <c r="K349" s="70"/>
      <c r="L349" s="70"/>
      <c r="M349" s="70"/>
      <c r="N349" s="70"/>
      <c r="O349" s="70"/>
      <c r="P349" s="70"/>
      <c r="Q349" s="70"/>
      <c r="R349" s="70"/>
      <c r="S349" s="70"/>
      <c r="T349" s="70"/>
      <c r="U349" s="64"/>
      <c r="V349" s="64"/>
      <c r="W349" s="70"/>
      <c r="X349" s="64"/>
      <c r="Y349" s="70"/>
      <c r="Z349" s="70"/>
      <c r="AA349" s="71"/>
      <c r="AB349" s="70"/>
      <c r="AC349" s="70"/>
      <c r="AD349" s="64"/>
      <c r="AE349" s="70"/>
      <c r="AF349" s="70"/>
      <c r="AG349" s="70"/>
      <c r="AH349" s="70"/>
    </row>
    <row r="350" spans="4:34" x14ac:dyDescent="0.2">
      <c r="D350" s="53"/>
      <c r="E350" s="70"/>
      <c r="F350" s="70"/>
      <c r="G350" s="70"/>
      <c r="H350" s="70"/>
      <c r="I350" s="70"/>
      <c r="J350" s="70"/>
      <c r="K350" s="70"/>
      <c r="L350" s="70"/>
      <c r="M350" s="70"/>
      <c r="N350" s="70"/>
      <c r="O350" s="70"/>
      <c r="P350" s="70"/>
      <c r="Q350" s="70"/>
      <c r="R350" s="70"/>
      <c r="S350" s="70"/>
      <c r="T350" s="70"/>
      <c r="U350" s="64"/>
      <c r="V350" s="64"/>
      <c r="W350" s="70"/>
      <c r="X350" s="64"/>
      <c r="Y350" s="70"/>
      <c r="Z350" s="70"/>
      <c r="AA350" s="71"/>
      <c r="AB350" s="70"/>
      <c r="AC350" s="70"/>
      <c r="AD350" s="64"/>
      <c r="AE350" s="70"/>
      <c r="AF350" s="70"/>
      <c r="AG350" s="70"/>
      <c r="AH350" s="70"/>
    </row>
    <row r="351" spans="4:34" x14ac:dyDescent="0.2">
      <c r="D351" s="53"/>
      <c r="E351" s="70"/>
      <c r="F351" s="70"/>
      <c r="G351" s="70"/>
      <c r="H351" s="70"/>
      <c r="I351" s="70"/>
      <c r="J351" s="70"/>
      <c r="K351" s="70"/>
      <c r="L351" s="70"/>
      <c r="M351" s="70"/>
      <c r="N351" s="70"/>
      <c r="O351" s="70"/>
      <c r="P351" s="70"/>
      <c r="Q351" s="70"/>
      <c r="R351" s="70"/>
      <c r="S351" s="70"/>
      <c r="T351" s="70"/>
      <c r="U351" s="64"/>
      <c r="V351" s="64"/>
      <c r="W351" s="70"/>
      <c r="X351" s="64"/>
      <c r="Y351" s="70"/>
      <c r="Z351" s="70"/>
      <c r="AA351" s="71"/>
      <c r="AB351" s="70"/>
      <c r="AC351" s="70"/>
      <c r="AD351" s="64"/>
      <c r="AE351" s="70"/>
      <c r="AF351" s="70"/>
      <c r="AG351" s="70"/>
      <c r="AH351" s="70"/>
    </row>
    <row r="352" spans="4:34" x14ac:dyDescent="0.2">
      <c r="D352" s="53"/>
      <c r="E352" s="70"/>
      <c r="F352" s="70"/>
      <c r="G352" s="70"/>
      <c r="H352" s="70"/>
      <c r="I352" s="70"/>
      <c r="J352" s="70"/>
      <c r="K352" s="70"/>
      <c r="L352" s="70"/>
      <c r="M352" s="70"/>
      <c r="N352" s="70"/>
      <c r="O352" s="70"/>
      <c r="P352" s="70"/>
      <c r="Q352" s="70"/>
      <c r="R352" s="70"/>
      <c r="S352" s="70"/>
      <c r="T352" s="70"/>
      <c r="U352" s="64"/>
      <c r="V352" s="64"/>
      <c r="W352" s="70"/>
      <c r="X352" s="64"/>
      <c r="Y352" s="70"/>
      <c r="Z352" s="70"/>
      <c r="AA352" s="71"/>
      <c r="AB352" s="70"/>
      <c r="AC352" s="70"/>
      <c r="AD352" s="64"/>
      <c r="AE352" s="70"/>
      <c r="AF352" s="70"/>
      <c r="AG352" s="70"/>
      <c r="AH352" s="70"/>
    </row>
    <row r="353" spans="4:34" x14ac:dyDescent="0.2">
      <c r="D353" s="53"/>
      <c r="E353" s="70"/>
      <c r="F353" s="70"/>
      <c r="G353" s="70"/>
      <c r="H353" s="70"/>
      <c r="I353" s="70"/>
      <c r="J353" s="70"/>
      <c r="K353" s="70"/>
      <c r="L353" s="70"/>
      <c r="M353" s="70"/>
      <c r="N353" s="70"/>
      <c r="O353" s="70"/>
      <c r="P353" s="70"/>
      <c r="Q353" s="70"/>
      <c r="R353" s="70"/>
      <c r="S353" s="70"/>
      <c r="T353" s="70"/>
      <c r="U353" s="64"/>
      <c r="V353" s="64"/>
      <c r="W353" s="70"/>
      <c r="X353" s="64"/>
      <c r="Y353" s="70"/>
      <c r="Z353" s="70"/>
      <c r="AA353" s="71"/>
      <c r="AB353" s="70"/>
      <c r="AC353" s="70"/>
      <c r="AD353" s="64"/>
      <c r="AE353" s="70"/>
      <c r="AF353" s="70"/>
      <c r="AG353" s="70"/>
      <c r="AH353" s="70"/>
    </row>
    <row r="354" spans="4:34" x14ac:dyDescent="0.2">
      <c r="D354" s="53"/>
      <c r="E354" s="70"/>
      <c r="F354" s="70"/>
      <c r="G354" s="70"/>
      <c r="H354" s="70"/>
      <c r="I354" s="70"/>
      <c r="J354" s="70"/>
      <c r="K354" s="70"/>
      <c r="L354" s="70"/>
      <c r="M354" s="70"/>
      <c r="N354" s="70"/>
      <c r="O354" s="70"/>
      <c r="P354" s="70"/>
      <c r="Q354" s="70"/>
      <c r="R354" s="70"/>
      <c r="S354" s="70"/>
      <c r="T354" s="70"/>
      <c r="U354" s="64"/>
      <c r="V354" s="64"/>
      <c r="W354" s="70"/>
      <c r="X354" s="64"/>
      <c r="Y354" s="70"/>
      <c r="Z354" s="70"/>
      <c r="AA354" s="71"/>
      <c r="AB354" s="70"/>
      <c r="AC354" s="70"/>
      <c r="AD354" s="64"/>
      <c r="AE354" s="70"/>
      <c r="AF354" s="70"/>
      <c r="AG354" s="70"/>
      <c r="AH354" s="70"/>
    </row>
    <row r="355" spans="4:34" x14ac:dyDescent="0.2">
      <c r="D355" s="53"/>
      <c r="E355" s="70"/>
      <c r="F355" s="70"/>
      <c r="G355" s="70"/>
      <c r="H355" s="70"/>
      <c r="I355" s="70"/>
      <c r="J355" s="70"/>
      <c r="K355" s="70"/>
      <c r="L355" s="70"/>
      <c r="M355" s="70"/>
      <c r="N355" s="70"/>
      <c r="O355" s="70"/>
      <c r="P355" s="70"/>
      <c r="Q355" s="70"/>
      <c r="R355" s="70"/>
      <c r="S355" s="70"/>
      <c r="T355" s="70"/>
      <c r="U355" s="64"/>
      <c r="V355" s="64"/>
      <c r="W355" s="70"/>
      <c r="X355" s="64"/>
      <c r="Y355" s="70"/>
      <c r="Z355" s="70"/>
      <c r="AA355" s="71"/>
      <c r="AB355" s="70"/>
      <c r="AC355" s="70"/>
      <c r="AD355" s="64"/>
      <c r="AE355" s="70"/>
      <c r="AF355" s="70"/>
      <c r="AG355" s="70"/>
      <c r="AH355" s="70"/>
    </row>
    <row r="356" spans="4:34" x14ac:dyDescent="0.2">
      <c r="D356" s="53"/>
      <c r="E356" s="70"/>
      <c r="F356" s="70"/>
      <c r="G356" s="70"/>
      <c r="H356" s="70"/>
      <c r="I356" s="70"/>
      <c r="J356" s="70"/>
      <c r="K356" s="70"/>
      <c r="L356" s="70"/>
      <c r="M356" s="70"/>
      <c r="N356" s="70"/>
      <c r="O356" s="70"/>
      <c r="P356" s="70"/>
      <c r="Q356" s="70"/>
      <c r="R356" s="70"/>
      <c r="S356" s="70"/>
      <c r="T356" s="70"/>
      <c r="U356" s="64"/>
      <c r="V356" s="64"/>
      <c r="W356" s="70"/>
      <c r="X356" s="64"/>
      <c r="Y356" s="70"/>
      <c r="Z356" s="70"/>
      <c r="AA356" s="71"/>
      <c r="AB356" s="70"/>
      <c r="AC356" s="70"/>
      <c r="AD356" s="64"/>
      <c r="AE356" s="70"/>
      <c r="AF356" s="70"/>
      <c r="AG356" s="70"/>
      <c r="AH356" s="70"/>
    </row>
    <row r="357" spans="4:34" x14ac:dyDescent="0.2">
      <c r="D357" s="53"/>
      <c r="E357" s="70"/>
      <c r="F357" s="70"/>
      <c r="G357" s="70"/>
      <c r="H357" s="70"/>
      <c r="I357" s="70"/>
      <c r="J357" s="70"/>
      <c r="K357" s="70"/>
      <c r="L357" s="70"/>
      <c r="M357" s="70"/>
      <c r="N357" s="70"/>
      <c r="O357" s="70"/>
      <c r="P357" s="70"/>
      <c r="Q357" s="70"/>
      <c r="R357" s="70"/>
      <c r="S357" s="70"/>
      <c r="T357" s="70"/>
      <c r="U357" s="64"/>
      <c r="V357" s="64"/>
      <c r="W357" s="70"/>
      <c r="X357" s="64"/>
      <c r="Y357" s="70"/>
      <c r="Z357" s="70"/>
      <c r="AA357" s="71"/>
      <c r="AB357" s="70"/>
      <c r="AC357" s="70"/>
      <c r="AD357" s="64"/>
      <c r="AE357" s="70"/>
      <c r="AF357" s="70"/>
      <c r="AG357" s="70"/>
      <c r="AH357" s="70"/>
    </row>
    <row r="358" spans="4:34" x14ac:dyDescent="0.2">
      <c r="D358" s="53"/>
      <c r="E358" s="70"/>
      <c r="F358" s="70"/>
      <c r="G358" s="70"/>
      <c r="H358" s="70"/>
      <c r="I358" s="70"/>
      <c r="J358" s="70"/>
      <c r="K358" s="70"/>
      <c r="L358" s="70"/>
      <c r="M358" s="70"/>
      <c r="N358" s="70"/>
      <c r="O358" s="70"/>
      <c r="P358" s="70"/>
      <c r="Q358" s="70"/>
      <c r="R358" s="70"/>
      <c r="S358" s="70"/>
      <c r="T358" s="70"/>
      <c r="U358" s="64"/>
      <c r="V358" s="64"/>
      <c r="W358" s="70"/>
      <c r="X358" s="64"/>
      <c r="Y358" s="70"/>
      <c r="Z358" s="70"/>
      <c r="AA358" s="71"/>
      <c r="AB358" s="70"/>
      <c r="AC358" s="70"/>
      <c r="AD358" s="64"/>
      <c r="AE358" s="70"/>
      <c r="AF358" s="70"/>
      <c r="AG358" s="70"/>
      <c r="AH358" s="70"/>
    </row>
    <row r="359" spans="4:34" x14ac:dyDescent="0.2">
      <c r="D359" s="53"/>
      <c r="E359" s="70"/>
      <c r="F359" s="70"/>
      <c r="G359" s="70"/>
      <c r="H359" s="70"/>
      <c r="I359" s="70"/>
      <c r="J359" s="70"/>
      <c r="K359" s="70"/>
      <c r="L359" s="70"/>
      <c r="M359" s="70"/>
      <c r="N359" s="70"/>
      <c r="O359" s="70"/>
      <c r="P359" s="70"/>
      <c r="Q359" s="70"/>
      <c r="R359" s="70"/>
      <c r="S359" s="70"/>
      <c r="T359" s="70"/>
      <c r="U359" s="64"/>
      <c r="V359" s="64"/>
      <c r="W359" s="70"/>
      <c r="X359" s="64"/>
      <c r="Y359" s="70"/>
      <c r="Z359" s="70"/>
      <c r="AA359" s="71"/>
      <c r="AB359" s="70"/>
      <c r="AC359" s="70"/>
      <c r="AD359" s="64"/>
      <c r="AE359" s="70"/>
      <c r="AF359" s="70"/>
      <c r="AG359" s="70"/>
      <c r="AH359" s="70"/>
    </row>
    <row r="360" spans="4:34" x14ac:dyDescent="0.2">
      <c r="D360" s="53"/>
      <c r="E360" s="70"/>
      <c r="F360" s="70"/>
      <c r="G360" s="70"/>
      <c r="H360" s="70"/>
      <c r="I360" s="70"/>
      <c r="J360" s="70"/>
      <c r="K360" s="70"/>
      <c r="L360" s="70"/>
      <c r="M360" s="70"/>
      <c r="N360" s="70"/>
      <c r="O360" s="70"/>
      <c r="P360" s="70"/>
      <c r="Q360" s="70"/>
      <c r="R360" s="70"/>
      <c r="S360" s="70"/>
      <c r="T360" s="70"/>
      <c r="U360" s="64"/>
      <c r="V360" s="64"/>
      <c r="W360" s="70"/>
      <c r="X360" s="64"/>
      <c r="Y360" s="70"/>
      <c r="Z360" s="70"/>
      <c r="AA360" s="71"/>
      <c r="AB360" s="70"/>
      <c r="AC360" s="70"/>
      <c r="AD360" s="64"/>
      <c r="AE360" s="70"/>
      <c r="AF360" s="70"/>
      <c r="AG360" s="70"/>
      <c r="AH360" s="70"/>
    </row>
    <row r="361" spans="4:34" x14ac:dyDescent="0.2">
      <c r="D361" s="53"/>
      <c r="E361" s="70"/>
      <c r="F361" s="70"/>
      <c r="G361" s="70"/>
      <c r="H361" s="70"/>
      <c r="I361" s="70"/>
      <c r="J361" s="70"/>
      <c r="K361" s="70"/>
      <c r="L361" s="70"/>
      <c r="M361" s="70"/>
      <c r="N361" s="70"/>
      <c r="O361" s="70"/>
      <c r="P361" s="70"/>
      <c r="Q361" s="70"/>
      <c r="R361" s="70"/>
      <c r="S361" s="70"/>
      <c r="T361" s="70"/>
      <c r="U361" s="64"/>
      <c r="V361" s="64"/>
      <c r="W361" s="70"/>
      <c r="X361" s="64"/>
      <c r="Y361" s="70"/>
      <c r="Z361" s="70"/>
      <c r="AA361" s="71"/>
      <c r="AB361" s="70"/>
      <c r="AC361" s="70"/>
      <c r="AD361" s="64"/>
      <c r="AE361" s="70"/>
      <c r="AF361" s="70"/>
      <c r="AG361" s="70"/>
      <c r="AH361" s="70"/>
    </row>
    <row r="362" spans="4:34" x14ac:dyDescent="0.2">
      <c r="D362" s="53"/>
      <c r="E362" s="70"/>
      <c r="F362" s="70"/>
      <c r="G362" s="70"/>
      <c r="H362" s="70"/>
      <c r="I362" s="70"/>
      <c r="J362" s="70"/>
      <c r="K362" s="70"/>
      <c r="L362" s="70"/>
      <c r="M362" s="70"/>
      <c r="N362" s="70"/>
      <c r="O362" s="70"/>
      <c r="P362" s="70"/>
      <c r="Q362" s="70"/>
      <c r="R362" s="70"/>
      <c r="S362" s="70"/>
      <c r="T362" s="70"/>
      <c r="U362" s="64"/>
      <c r="V362" s="64"/>
      <c r="W362" s="70"/>
      <c r="X362" s="64"/>
      <c r="Y362" s="70"/>
      <c r="Z362" s="70"/>
      <c r="AA362" s="71"/>
      <c r="AB362" s="70"/>
      <c r="AC362" s="70"/>
      <c r="AD362" s="64"/>
      <c r="AE362" s="70"/>
      <c r="AF362" s="70"/>
      <c r="AG362" s="70"/>
      <c r="AH362" s="70"/>
    </row>
    <row r="363" spans="4:34" x14ac:dyDescent="0.2">
      <c r="D363" s="53"/>
      <c r="E363" s="70"/>
      <c r="F363" s="70"/>
      <c r="G363" s="70"/>
      <c r="H363" s="70"/>
      <c r="I363" s="70"/>
      <c r="J363" s="70"/>
      <c r="K363" s="70"/>
      <c r="L363" s="70"/>
      <c r="M363" s="70"/>
      <c r="N363" s="70"/>
      <c r="O363" s="70"/>
      <c r="P363" s="70"/>
      <c r="Q363" s="70"/>
      <c r="R363" s="70"/>
      <c r="S363" s="70"/>
      <c r="T363" s="70"/>
      <c r="U363" s="64"/>
      <c r="V363" s="64"/>
      <c r="W363" s="70"/>
      <c r="X363" s="64"/>
      <c r="Y363" s="70"/>
      <c r="Z363" s="70"/>
      <c r="AA363" s="71"/>
      <c r="AB363" s="70"/>
      <c r="AC363" s="70"/>
      <c r="AD363" s="64"/>
      <c r="AE363" s="70"/>
      <c r="AF363" s="70"/>
      <c r="AG363" s="70"/>
      <c r="AH363" s="70"/>
    </row>
    <row r="364" spans="4:34" x14ac:dyDescent="0.2">
      <c r="D364" s="53"/>
      <c r="E364" s="70"/>
      <c r="F364" s="70"/>
      <c r="G364" s="70"/>
      <c r="H364" s="70"/>
      <c r="I364" s="70"/>
      <c r="J364" s="70"/>
      <c r="K364" s="70"/>
      <c r="L364" s="70"/>
      <c r="M364" s="70"/>
      <c r="N364" s="70"/>
      <c r="O364" s="70"/>
      <c r="P364" s="70"/>
      <c r="Q364" s="70"/>
      <c r="R364" s="70"/>
      <c r="S364" s="70"/>
      <c r="T364" s="70"/>
      <c r="U364" s="64"/>
      <c r="V364" s="64"/>
      <c r="W364" s="70"/>
      <c r="X364" s="64"/>
      <c r="Y364" s="70"/>
      <c r="Z364" s="70"/>
      <c r="AA364" s="71"/>
      <c r="AB364" s="70"/>
      <c r="AC364" s="70"/>
      <c r="AD364" s="64"/>
      <c r="AE364" s="70"/>
      <c r="AF364" s="70"/>
      <c r="AG364" s="70"/>
      <c r="AH364" s="70"/>
    </row>
    <row r="365" spans="4:34" x14ac:dyDescent="0.2">
      <c r="D365" s="53"/>
      <c r="E365" s="70"/>
      <c r="F365" s="70"/>
      <c r="G365" s="70"/>
      <c r="H365" s="70"/>
      <c r="I365" s="70"/>
      <c r="J365" s="70"/>
      <c r="K365" s="70"/>
      <c r="L365" s="70"/>
      <c r="M365" s="70"/>
      <c r="N365" s="70"/>
      <c r="O365" s="70"/>
      <c r="P365" s="70"/>
      <c r="Q365" s="70"/>
      <c r="R365" s="70"/>
      <c r="S365" s="70"/>
      <c r="T365" s="70"/>
      <c r="U365" s="64"/>
      <c r="V365" s="64"/>
      <c r="W365" s="70"/>
      <c r="X365" s="64"/>
      <c r="Y365" s="70"/>
      <c r="Z365" s="70"/>
      <c r="AA365" s="71"/>
      <c r="AB365" s="70"/>
      <c r="AC365" s="70"/>
      <c r="AD365" s="64"/>
      <c r="AE365" s="70"/>
      <c r="AF365" s="70"/>
      <c r="AG365" s="70"/>
      <c r="AH365" s="70"/>
    </row>
    <row r="366" spans="4:34" x14ac:dyDescent="0.2">
      <c r="D366" s="53"/>
      <c r="E366" s="70"/>
      <c r="F366" s="70"/>
      <c r="G366" s="70"/>
      <c r="H366" s="70"/>
      <c r="I366" s="70"/>
      <c r="J366" s="70"/>
      <c r="K366" s="70"/>
      <c r="L366" s="70"/>
      <c r="M366" s="70"/>
      <c r="N366" s="70"/>
      <c r="O366" s="70"/>
      <c r="P366" s="70"/>
      <c r="Q366" s="70"/>
      <c r="R366" s="70"/>
      <c r="S366" s="70"/>
      <c r="T366" s="70"/>
      <c r="U366" s="64"/>
      <c r="V366" s="64"/>
      <c r="W366" s="70"/>
      <c r="X366" s="64"/>
      <c r="Y366" s="70"/>
      <c r="Z366" s="70"/>
      <c r="AA366" s="71"/>
      <c r="AB366" s="70"/>
      <c r="AC366" s="70"/>
      <c r="AD366" s="64"/>
      <c r="AE366" s="70"/>
      <c r="AF366" s="70"/>
      <c r="AG366" s="70"/>
      <c r="AH366" s="70"/>
    </row>
    <row r="367" spans="4:34" x14ac:dyDescent="0.2">
      <c r="D367" s="53"/>
      <c r="E367" s="70"/>
      <c r="F367" s="70"/>
      <c r="G367" s="70"/>
      <c r="H367" s="70"/>
      <c r="I367" s="70"/>
      <c r="J367" s="70"/>
      <c r="K367" s="70"/>
      <c r="L367" s="70"/>
      <c r="M367" s="70"/>
      <c r="N367" s="70"/>
      <c r="O367" s="70"/>
      <c r="P367" s="70"/>
      <c r="Q367" s="70"/>
      <c r="R367" s="70"/>
      <c r="S367" s="70"/>
      <c r="T367" s="70"/>
      <c r="U367" s="64"/>
      <c r="V367" s="64"/>
      <c r="W367" s="70"/>
      <c r="X367" s="64"/>
      <c r="Y367" s="70"/>
      <c r="Z367" s="70"/>
      <c r="AA367" s="71"/>
      <c r="AB367" s="70"/>
      <c r="AC367" s="70"/>
      <c r="AD367" s="64"/>
      <c r="AE367" s="70"/>
      <c r="AF367" s="70"/>
      <c r="AG367" s="70"/>
      <c r="AH367" s="70"/>
    </row>
    <row r="368" spans="4:34" x14ac:dyDescent="0.2">
      <c r="D368" s="53"/>
      <c r="E368" s="70"/>
      <c r="F368" s="70"/>
      <c r="G368" s="70"/>
      <c r="H368" s="70"/>
      <c r="I368" s="70"/>
      <c r="J368" s="70"/>
      <c r="K368" s="70"/>
      <c r="L368" s="70"/>
      <c r="M368" s="70"/>
      <c r="N368" s="70"/>
      <c r="O368" s="70"/>
      <c r="P368" s="70"/>
      <c r="Q368" s="70"/>
      <c r="R368" s="70"/>
      <c r="S368" s="70"/>
      <c r="T368" s="70"/>
      <c r="U368" s="64"/>
      <c r="V368" s="64"/>
      <c r="W368" s="70"/>
      <c r="X368" s="64"/>
      <c r="Y368" s="70"/>
      <c r="Z368" s="70"/>
      <c r="AA368" s="71"/>
      <c r="AB368" s="70"/>
      <c r="AC368" s="70"/>
      <c r="AD368" s="64"/>
      <c r="AE368" s="70"/>
      <c r="AF368" s="70"/>
      <c r="AG368" s="70"/>
      <c r="AH368" s="70"/>
    </row>
    <row r="369" spans="4:34" x14ac:dyDescent="0.2">
      <c r="D369" s="53"/>
      <c r="E369" s="70"/>
      <c r="F369" s="70"/>
      <c r="G369" s="70"/>
      <c r="H369" s="70"/>
      <c r="I369" s="70"/>
      <c r="J369" s="70"/>
      <c r="K369" s="70"/>
      <c r="L369" s="70"/>
      <c r="M369" s="70"/>
      <c r="N369" s="70"/>
      <c r="O369" s="70"/>
      <c r="P369" s="70"/>
      <c r="Q369" s="70"/>
      <c r="R369" s="70"/>
      <c r="S369" s="70"/>
      <c r="T369" s="70"/>
      <c r="U369" s="64"/>
      <c r="V369" s="64"/>
      <c r="W369" s="70"/>
      <c r="X369" s="64"/>
      <c r="Y369" s="70"/>
      <c r="Z369" s="70"/>
      <c r="AA369" s="71"/>
      <c r="AB369" s="70"/>
      <c r="AC369" s="70"/>
      <c r="AD369" s="64"/>
      <c r="AE369" s="70"/>
      <c r="AF369" s="70"/>
      <c r="AG369" s="70"/>
      <c r="AH369" s="70"/>
    </row>
    <row r="370" spans="4:34" x14ac:dyDescent="0.2">
      <c r="D370" s="53"/>
      <c r="E370" s="70"/>
      <c r="F370" s="70"/>
      <c r="G370" s="70"/>
      <c r="H370" s="70"/>
      <c r="I370" s="70"/>
      <c r="J370" s="70"/>
      <c r="K370" s="70"/>
      <c r="L370" s="70"/>
      <c r="M370" s="70"/>
      <c r="N370" s="70"/>
      <c r="O370" s="70"/>
      <c r="P370" s="70"/>
      <c r="Q370" s="70"/>
      <c r="R370" s="70"/>
      <c r="S370" s="70"/>
      <c r="T370" s="70"/>
      <c r="U370" s="64"/>
      <c r="V370" s="64"/>
      <c r="W370" s="70"/>
      <c r="X370" s="64"/>
      <c r="Y370" s="70"/>
      <c r="Z370" s="70"/>
      <c r="AA370" s="71"/>
      <c r="AB370" s="70"/>
      <c r="AC370" s="70"/>
      <c r="AD370" s="64"/>
      <c r="AE370" s="70"/>
      <c r="AF370" s="70"/>
      <c r="AG370" s="70"/>
      <c r="AH370" s="70"/>
    </row>
    <row r="371" spans="4:34" x14ac:dyDescent="0.2">
      <c r="D371" s="53"/>
      <c r="E371" s="70"/>
      <c r="F371" s="70"/>
      <c r="G371" s="70"/>
      <c r="H371" s="70"/>
      <c r="I371" s="70"/>
      <c r="J371" s="70"/>
      <c r="K371" s="70"/>
      <c r="L371" s="70"/>
      <c r="M371" s="70"/>
      <c r="N371" s="70"/>
      <c r="O371" s="70"/>
      <c r="P371" s="70"/>
      <c r="Q371" s="70"/>
      <c r="R371" s="70"/>
      <c r="S371" s="70"/>
      <c r="T371" s="70"/>
      <c r="U371" s="64"/>
      <c r="V371" s="64"/>
      <c r="W371" s="70"/>
      <c r="X371" s="64"/>
      <c r="Y371" s="70"/>
      <c r="Z371" s="70"/>
      <c r="AA371" s="71"/>
      <c r="AB371" s="70"/>
      <c r="AC371" s="70"/>
      <c r="AD371" s="64"/>
      <c r="AE371" s="70"/>
      <c r="AF371" s="70"/>
      <c r="AG371" s="70"/>
      <c r="AH371" s="70"/>
    </row>
    <row r="372" spans="4:34" x14ac:dyDescent="0.2">
      <c r="D372" s="53"/>
      <c r="E372" s="70"/>
      <c r="F372" s="70"/>
      <c r="G372" s="70"/>
      <c r="H372" s="70"/>
      <c r="I372" s="70"/>
      <c r="J372" s="70"/>
      <c r="K372" s="70"/>
      <c r="L372" s="70"/>
      <c r="M372" s="70"/>
      <c r="N372" s="70"/>
      <c r="O372" s="70"/>
      <c r="P372" s="70"/>
      <c r="Q372" s="70"/>
      <c r="R372" s="70"/>
      <c r="S372" s="70"/>
      <c r="T372" s="70"/>
      <c r="U372" s="64"/>
      <c r="V372" s="64"/>
      <c r="W372" s="70"/>
      <c r="X372" s="64"/>
      <c r="Y372" s="70"/>
      <c r="Z372" s="70"/>
      <c r="AA372" s="71"/>
      <c r="AB372" s="70"/>
      <c r="AC372" s="70"/>
      <c r="AD372" s="64"/>
      <c r="AE372" s="70"/>
      <c r="AF372" s="70"/>
      <c r="AG372" s="70"/>
      <c r="AH372" s="70"/>
    </row>
    <row r="373" spans="4:34" x14ac:dyDescent="0.2">
      <c r="D373" s="53"/>
      <c r="E373" s="70"/>
      <c r="F373" s="70"/>
      <c r="G373" s="70"/>
      <c r="H373" s="70"/>
      <c r="I373" s="70"/>
      <c r="J373" s="70"/>
      <c r="K373" s="70"/>
      <c r="L373" s="70"/>
      <c r="M373" s="70"/>
      <c r="N373" s="70"/>
      <c r="O373" s="70"/>
      <c r="P373" s="70"/>
      <c r="Q373" s="70"/>
      <c r="R373" s="70"/>
      <c r="S373" s="70"/>
      <c r="T373" s="70"/>
      <c r="U373" s="64"/>
      <c r="V373" s="64"/>
      <c r="W373" s="70"/>
      <c r="X373" s="64"/>
      <c r="Y373" s="70"/>
      <c r="Z373" s="70"/>
      <c r="AA373" s="71"/>
      <c r="AB373" s="70"/>
      <c r="AC373" s="70"/>
      <c r="AD373" s="64"/>
      <c r="AE373" s="70"/>
      <c r="AF373" s="70"/>
      <c r="AG373" s="70"/>
      <c r="AH373" s="70"/>
    </row>
    <row r="374" spans="4:34" x14ac:dyDescent="0.2">
      <c r="D374" s="53"/>
      <c r="E374" s="70"/>
      <c r="F374" s="70"/>
      <c r="G374" s="70"/>
      <c r="H374" s="70"/>
      <c r="I374" s="70"/>
      <c r="J374" s="70"/>
      <c r="K374" s="70"/>
      <c r="L374" s="70"/>
      <c r="M374" s="70"/>
      <c r="N374" s="70"/>
      <c r="O374" s="70"/>
      <c r="P374" s="70"/>
      <c r="Q374" s="70"/>
      <c r="R374" s="70"/>
      <c r="S374" s="70"/>
      <c r="T374" s="70"/>
      <c r="U374" s="64"/>
      <c r="V374" s="64"/>
      <c r="W374" s="70"/>
      <c r="X374" s="64"/>
      <c r="Y374" s="70"/>
      <c r="Z374" s="70"/>
      <c r="AA374" s="71"/>
      <c r="AB374" s="70"/>
      <c r="AC374" s="70"/>
      <c r="AD374" s="64"/>
      <c r="AE374" s="70"/>
      <c r="AF374" s="70"/>
      <c r="AG374" s="70"/>
      <c r="AH374" s="70"/>
    </row>
    <row r="375" spans="4:34" x14ac:dyDescent="0.2">
      <c r="D375" s="53"/>
      <c r="E375" s="70"/>
      <c r="F375" s="70"/>
      <c r="G375" s="70"/>
      <c r="H375" s="70"/>
      <c r="I375" s="70"/>
      <c r="J375" s="70"/>
      <c r="K375" s="70"/>
      <c r="L375" s="70"/>
      <c r="M375" s="70"/>
      <c r="N375" s="70"/>
      <c r="O375" s="70"/>
      <c r="P375" s="70"/>
      <c r="Q375" s="70"/>
      <c r="R375" s="70"/>
      <c r="S375" s="70"/>
      <c r="T375" s="70"/>
      <c r="U375" s="64"/>
      <c r="V375" s="64"/>
      <c r="W375" s="70"/>
      <c r="X375" s="64"/>
      <c r="Y375" s="70"/>
      <c r="Z375" s="70"/>
      <c r="AA375" s="71"/>
      <c r="AB375" s="70"/>
      <c r="AC375" s="70"/>
      <c r="AD375" s="64"/>
      <c r="AE375" s="70"/>
      <c r="AF375" s="70"/>
      <c r="AG375" s="70"/>
      <c r="AH375" s="70"/>
    </row>
    <row r="376" spans="4:34" x14ac:dyDescent="0.2">
      <c r="D376" s="53"/>
      <c r="E376" s="70"/>
      <c r="F376" s="70"/>
      <c r="G376" s="70"/>
      <c r="H376" s="70"/>
      <c r="I376" s="70"/>
      <c r="J376" s="70"/>
      <c r="K376" s="70"/>
      <c r="L376" s="70"/>
      <c r="M376" s="70"/>
      <c r="N376" s="70"/>
      <c r="O376" s="70"/>
      <c r="P376" s="70"/>
      <c r="Q376" s="70"/>
      <c r="R376" s="70"/>
      <c r="S376" s="70"/>
      <c r="T376" s="70"/>
      <c r="U376" s="64"/>
      <c r="V376" s="64"/>
      <c r="W376" s="70"/>
      <c r="X376" s="64"/>
      <c r="Y376" s="70"/>
      <c r="Z376" s="70"/>
      <c r="AA376" s="71"/>
      <c r="AB376" s="70"/>
      <c r="AC376" s="70"/>
      <c r="AD376" s="64"/>
      <c r="AE376" s="70"/>
      <c r="AF376" s="70"/>
      <c r="AG376" s="70"/>
      <c r="AH376" s="70"/>
    </row>
    <row r="377" spans="4:34" x14ac:dyDescent="0.2">
      <c r="D377" s="53"/>
      <c r="E377" s="70"/>
      <c r="F377" s="70"/>
      <c r="G377" s="70"/>
      <c r="H377" s="70"/>
      <c r="I377" s="70"/>
      <c r="J377" s="70"/>
      <c r="K377" s="70"/>
      <c r="L377" s="70"/>
      <c r="M377" s="70"/>
      <c r="N377" s="70"/>
      <c r="O377" s="70"/>
      <c r="P377" s="70"/>
      <c r="Q377" s="70"/>
      <c r="R377" s="70"/>
      <c r="S377" s="70"/>
      <c r="T377" s="70"/>
      <c r="U377" s="64"/>
      <c r="V377" s="64"/>
      <c r="W377" s="70"/>
      <c r="X377" s="64"/>
      <c r="Y377" s="70"/>
      <c r="Z377" s="70"/>
      <c r="AA377" s="71"/>
      <c r="AB377" s="70"/>
      <c r="AC377" s="70"/>
      <c r="AD377" s="64"/>
      <c r="AE377" s="70"/>
      <c r="AF377" s="70"/>
      <c r="AG377" s="70"/>
      <c r="AH377" s="70"/>
    </row>
    <row r="378" spans="4:34" x14ac:dyDescent="0.2">
      <c r="D378" s="53"/>
      <c r="E378" s="70"/>
      <c r="F378" s="70"/>
      <c r="G378" s="70"/>
      <c r="H378" s="70"/>
      <c r="I378" s="70"/>
      <c r="J378" s="70"/>
      <c r="K378" s="70"/>
      <c r="L378" s="70"/>
      <c r="M378" s="70"/>
      <c r="N378" s="70"/>
      <c r="O378" s="70"/>
      <c r="P378" s="70"/>
      <c r="Q378" s="70"/>
      <c r="R378" s="70"/>
      <c r="S378" s="70"/>
      <c r="T378" s="70"/>
      <c r="U378" s="64"/>
      <c r="V378" s="64"/>
      <c r="W378" s="70"/>
      <c r="X378" s="64"/>
      <c r="Y378" s="70"/>
      <c r="Z378" s="70"/>
      <c r="AA378" s="71"/>
      <c r="AB378" s="70"/>
      <c r="AC378" s="70"/>
      <c r="AD378" s="64"/>
      <c r="AE378" s="70"/>
      <c r="AF378" s="70"/>
      <c r="AG378" s="70"/>
      <c r="AH378" s="70"/>
    </row>
    <row r="379" spans="4:34" x14ac:dyDescent="0.2">
      <c r="D379" s="53"/>
      <c r="E379" s="70"/>
      <c r="F379" s="70"/>
      <c r="G379" s="70"/>
      <c r="H379" s="70"/>
      <c r="I379" s="70"/>
      <c r="J379" s="70"/>
      <c r="K379" s="70"/>
      <c r="L379" s="70"/>
      <c r="M379" s="70"/>
      <c r="N379" s="70"/>
      <c r="O379" s="70"/>
      <c r="P379" s="70"/>
      <c r="Q379" s="70"/>
      <c r="R379" s="70"/>
      <c r="S379" s="70"/>
      <c r="T379" s="70"/>
      <c r="U379" s="64"/>
      <c r="V379" s="64"/>
      <c r="W379" s="70"/>
      <c r="X379" s="64"/>
      <c r="Y379" s="70"/>
      <c r="Z379" s="70"/>
      <c r="AA379" s="71"/>
      <c r="AB379" s="70"/>
      <c r="AC379" s="70"/>
      <c r="AD379" s="64"/>
      <c r="AE379" s="70"/>
      <c r="AF379" s="70"/>
      <c r="AG379" s="70"/>
      <c r="AH379" s="70"/>
    </row>
    <row r="380" spans="4:34" x14ac:dyDescent="0.2">
      <c r="D380" s="53"/>
      <c r="E380" s="70"/>
      <c r="F380" s="70"/>
      <c r="G380" s="70"/>
      <c r="H380" s="70"/>
      <c r="I380" s="70"/>
      <c r="J380" s="70"/>
      <c r="K380" s="70"/>
      <c r="L380" s="70"/>
      <c r="M380" s="70"/>
      <c r="N380" s="70"/>
      <c r="O380" s="70"/>
      <c r="P380" s="70"/>
      <c r="Q380" s="70"/>
      <c r="R380" s="70"/>
      <c r="S380" s="70"/>
      <c r="T380" s="70"/>
      <c r="U380" s="64"/>
      <c r="V380" s="64"/>
      <c r="W380" s="70"/>
      <c r="X380" s="64"/>
      <c r="Y380" s="70"/>
      <c r="Z380" s="70"/>
      <c r="AA380" s="71"/>
      <c r="AB380" s="70"/>
      <c r="AC380" s="70"/>
      <c r="AD380" s="64"/>
      <c r="AE380" s="70"/>
      <c r="AF380" s="70"/>
      <c r="AG380" s="70"/>
      <c r="AH380" s="70"/>
    </row>
    <row r="381" spans="4:34" x14ac:dyDescent="0.2">
      <c r="D381" s="53"/>
      <c r="E381" s="70"/>
      <c r="F381" s="70"/>
      <c r="G381" s="70"/>
      <c r="H381" s="70"/>
      <c r="I381" s="70"/>
      <c r="J381" s="70"/>
      <c r="K381" s="70"/>
      <c r="L381" s="70"/>
      <c r="M381" s="70"/>
      <c r="N381" s="70"/>
      <c r="O381" s="70"/>
      <c r="P381" s="70"/>
      <c r="Q381" s="70"/>
      <c r="R381" s="70"/>
      <c r="S381" s="70"/>
      <c r="T381" s="70"/>
      <c r="U381" s="64"/>
      <c r="V381" s="64"/>
      <c r="W381" s="70"/>
      <c r="X381" s="64"/>
      <c r="Y381" s="70"/>
      <c r="Z381" s="70"/>
      <c r="AA381" s="71"/>
      <c r="AB381" s="70"/>
      <c r="AC381" s="70"/>
      <c r="AD381" s="64"/>
      <c r="AE381" s="70"/>
      <c r="AF381" s="70"/>
      <c r="AG381" s="70"/>
      <c r="AH381" s="70"/>
    </row>
    <row r="382" spans="4:34" x14ac:dyDescent="0.2">
      <c r="D382" s="53"/>
      <c r="E382" s="70"/>
      <c r="F382" s="70"/>
      <c r="G382" s="70"/>
      <c r="H382" s="70"/>
      <c r="I382" s="70"/>
      <c r="J382" s="70"/>
      <c r="K382" s="70"/>
      <c r="L382" s="70"/>
      <c r="M382" s="70"/>
      <c r="N382" s="70"/>
      <c r="O382" s="70"/>
      <c r="P382" s="70"/>
      <c r="Q382" s="70"/>
      <c r="R382" s="70"/>
      <c r="S382" s="70"/>
      <c r="T382" s="70"/>
      <c r="U382" s="64"/>
      <c r="V382" s="64"/>
      <c r="W382" s="70"/>
      <c r="X382" s="64"/>
      <c r="Y382" s="70"/>
      <c r="Z382" s="70"/>
      <c r="AA382" s="71"/>
      <c r="AB382" s="70"/>
      <c r="AC382" s="70"/>
      <c r="AD382" s="64"/>
      <c r="AE382" s="70"/>
      <c r="AF382" s="70"/>
      <c r="AG382" s="70"/>
      <c r="AH382" s="70"/>
    </row>
    <row r="383" spans="4:34" x14ac:dyDescent="0.2">
      <c r="D383" s="53"/>
      <c r="E383" s="70"/>
      <c r="F383" s="70"/>
      <c r="G383" s="70"/>
      <c r="H383" s="70"/>
      <c r="I383" s="70"/>
      <c r="J383" s="70"/>
      <c r="K383" s="70"/>
      <c r="L383" s="70"/>
      <c r="M383" s="70"/>
      <c r="N383" s="70"/>
      <c r="O383" s="70"/>
      <c r="P383" s="70"/>
      <c r="Q383" s="70"/>
      <c r="R383" s="70"/>
      <c r="S383" s="70"/>
      <c r="T383" s="70"/>
      <c r="U383" s="64"/>
      <c r="V383" s="64"/>
      <c r="W383" s="70"/>
      <c r="X383" s="64"/>
      <c r="Y383" s="70"/>
      <c r="Z383" s="70"/>
      <c r="AA383" s="71"/>
      <c r="AB383" s="70"/>
      <c r="AC383" s="70"/>
      <c r="AD383" s="64"/>
      <c r="AE383" s="70"/>
      <c r="AF383" s="70"/>
      <c r="AG383" s="70"/>
      <c r="AH383" s="70"/>
    </row>
    <row r="384" spans="4:34" x14ac:dyDescent="0.2">
      <c r="D384" s="53"/>
      <c r="E384" s="70"/>
      <c r="F384" s="70"/>
      <c r="G384" s="70"/>
      <c r="H384" s="70"/>
      <c r="I384" s="70"/>
      <c r="J384" s="70"/>
      <c r="K384" s="70"/>
      <c r="L384" s="70"/>
      <c r="M384" s="70"/>
      <c r="N384" s="70"/>
      <c r="O384" s="70"/>
      <c r="P384" s="70"/>
      <c r="Q384" s="70"/>
      <c r="R384" s="70"/>
      <c r="S384" s="70"/>
      <c r="T384" s="70"/>
      <c r="U384" s="64"/>
      <c r="V384" s="64"/>
      <c r="W384" s="70"/>
      <c r="X384" s="64"/>
      <c r="Y384" s="70"/>
      <c r="Z384" s="70"/>
      <c r="AA384" s="71"/>
      <c r="AB384" s="70"/>
      <c r="AC384" s="70"/>
      <c r="AD384" s="64"/>
      <c r="AE384" s="70"/>
      <c r="AF384" s="70"/>
      <c r="AG384" s="70"/>
      <c r="AH384" s="70"/>
    </row>
    <row r="385" spans="4:34" x14ac:dyDescent="0.2">
      <c r="D385" s="53"/>
      <c r="E385" s="70"/>
      <c r="F385" s="70"/>
      <c r="G385" s="70"/>
      <c r="H385" s="70"/>
      <c r="I385" s="70"/>
      <c r="J385" s="70"/>
      <c r="K385" s="70"/>
      <c r="L385" s="70"/>
      <c r="M385" s="70"/>
      <c r="N385" s="70"/>
      <c r="O385" s="70"/>
      <c r="P385" s="70"/>
      <c r="Q385" s="70"/>
      <c r="R385" s="70"/>
      <c r="S385" s="70"/>
      <c r="T385" s="70"/>
      <c r="U385" s="64"/>
      <c r="V385" s="64"/>
      <c r="W385" s="70"/>
      <c r="X385" s="64"/>
      <c r="Y385" s="70"/>
      <c r="Z385" s="70"/>
      <c r="AA385" s="71"/>
      <c r="AB385" s="70"/>
      <c r="AC385" s="70"/>
      <c r="AD385" s="64"/>
      <c r="AE385" s="70"/>
      <c r="AF385" s="70"/>
      <c r="AG385" s="70"/>
      <c r="AH385" s="70"/>
    </row>
    <row r="386" spans="4:34" x14ac:dyDescent="0.2">
      <c r="D386" s="53"/>
      <c r="E386" s="70"/>
      <c r="F386" s="70"/>
      <c r="G386" s="70"/>
      <c r="H386" s="70"/>
      <c r="I386" s="70"/>
      <c r="J386" s="70"/>
      <c r="K386" s="70"/>
      <c r="L386" s="70"/>
      <c r="M386" s="70"/>
      <c r="N386" s="70"/>
      <c r="O386" s="70"/>
      <c r="P386" s="70"/>
      <c r="Q386" s="70"/>
      <c r="R386" s="70"/>
      <c r="S386" s="70"/>
      <c r="T386" s="70"/>
      <c r="U386" s="64"/>
      <c r="V386" s="64"/>
      <c r="W386" s="70"/>
      <c r="X386" s="64"/>
      <c r="Y386" s="70"/>
      <c r="Z386" s="70"/>
      <c r="AA386" s="71"/>
      <c r="AB386" s="70"/>
      <c r="AC386" s="70"/>
      <c r="AD386" s="64"/>
      <c r="AE386" s="70"/>
      <c r="AF386" s="70"/>
      <c r="AG386" s="70"/>
      <c r="AH386" s="70"/>
    </row>
    <row r="387" spans="4:34" x14ac:dyDescent="0.2">
      <c r="D387" s="53"/>
      <c r="E387" s="70"/>
      <c r="F387" s="70"/>
      <c r="G387" s="70"/>
      <c r="H387" s="70"/>
      <c r="I387" s="70"/>
      <c r="J387" s="70"/>
      <c r="K387" s="70"/>
      <c r="L387" s="70"/>
      <c r="M387" s="70"/>
      <c r="N387" s="70"/>
      <c r="O387" s="70"/>
      <c r="P387" s="70"/>
      <c r="Q387" s="70"/>
      <c r="R387" s="70"/>
      <c r="S387" s="70"/>
      <c r="T387" s="70"/>
      <c r="U387" s="64"/>
      <c r="V387" s="64"/>
      <c r="W387" s="70"/>
      <c r="X387" s="64"/>
      <c r="Y387" s="70"/>
      <c r="Z387" s="70"/>
      <c r="AA387" s="71"/>
      <c r="AB387" s="70"/>
      <c r="AC387" s="70"/>
      <c r="AD387" s="64"/>
      <c r="AE387" s="70"/>
      <c r="AF387" s="70"/>
      <c r="AG387" s="70"/>
      <c r="AH387" s="70"/>
    </row>
    <row r="388" spans="4:34" x14ac:dyDescent="0.2">
      <c r="D388" s="53"/>
      <c r="E388" s="70"/>
      <c r="F388" s="70"/>
      <c r="G388" s="70"/>
      <c r="H388" s="70"/>
      <c r="I388" s="70"/>
      <c r="J388" s="70"/>
      <c r="K388" s="70"/>
      <c r="L388" s="70"/>
      <c r="M388" s="70"/>
      <c r="N388" s="70"/>
      <c r="O388" s="70"/>
      <c r="P388" s="70"/>
      <c r="Q388" s="70"/>
      <c r="R388" s="70"/>
      <c r="S388" s="70"/>
      <c r="T388" s="70"/>
      <c r="U388" s="64"/>
      <c r="V388" s="64"/>
      <c r="W388" s="70"/>
      <c r="X388" s="64"/>
      <c r="Y388" s="70"/>
      <c r="Z388" s="70"/>
      <c r="AA388" s="71"/>
      <c r="AB388" s="70"/>
      <c r="AC388" s="70"/>
      <c r="AD388" s="64"/>
      <c r="AE388" s="70"/>
      <c r="AF388" s="70"/>
      <c r="AG388" s="70"/>
      <c r="AH388" s="70"/>
    </row>
    <row r="389" spans="4:34" x14ac:dyDescent="0.2">
      <c r="D389" s="53"/>
      <c r="E389" s="70"/>
      <c r="F389" s="70"/>
      <c r="G389" s="70"/>
      <c r="H389" s="70"/>
      <c r="I389" s="70"/>
      <c r="J389" s="70"/>
      <c r="K389" s="70"/>
      <c r="L389" s="70"/>
      <c r="M389" s="70"/>
      <c r="N389" s="70"/>
      <c r="O389" s="70"/>
      <c r="P389" s="70"/>
      <c r="Q389" s="70"/>
      <c r="R389" s="70"/>
      <c r="S389" s="70"/>
      <c r="T389" s="70"/>
      <c r="U389" s="64"/>
      <c r="V389" s="64"/>
      <c r="W389" s="70"/>
      <c r="X389" s="64"/>
      <c r="Y389" s="70"/>
      <c r="Z389" s="70"/>
      <c r="AA389" s="71"/>
      <c r="AB389" s="70"/>
      <c r="AC389" s="70"/>
      <c r="AD389" s="64"/>
      <c r="AE389" s="70"/>
      <c r="AF389" s="70"/>
      <c r="AG389" s="70"/>
      <c r="AH389" s="70"/>
    </row>
    <row r="390" spans="4:34" x14ac:dyDescent="0.2">
      <c r="D390" s="53"/>
      <c r="E390" s="70"/>
      <c r="F390" s="70"/>
      <c r="G390" s="70"/>
      <c r="H390" s="70"/>
      <c r="I390" s="70"/>
      <c r="J390" s="70"/>
      <c r="K390" s="70"/>
      <c r="L390" s="70"/>
      <c r="M390" s="70"/>
      <c r="N390" s="70"/>
      <c r="O390" s="70"/>
      <c r="P390" s="70"/>
      <c r="Q390" s="70"/>
      <c r="R390" s="70"/>
      <c r="S390" s="70"/>
      <c r="T390" s="70"/>
      <c r="U390" s="64"/>
      <c r="V390" s="64"/>
      <c r="W390" s="70"/>
      <c r="X390" s="64"/>
      <c r="Y390" s="70"/>
      <c r="Z390" s="70"/>
      <c r="AA390" s="71"/>
      <c r="AB390" s="70"/>
      <c r="AC390" s="70"/>
      <c r="AD390" s="64"/>
      <c r="AE390" s="70"/>
      <c r="AF390" s="70"/>
      <c r="AG390" s="70"/>
      <c r="AH390" s="70"/>
    </row>
    <row r="391" spans="4:34" x14ac:dyDescent="0.2">
      <c r="D391" s="53"/>
      <c r="E391" s="70"/>
      <c r="F391" s="70"/>
      <c r="G391" s="70"/>
      <c r="H391" s="70"/>
      <c r="I391" s="70"/>
      <c r="J391" s="70"/>
      <c r="K391" s="70"/>
      <c r="L391" s="70"/>
      <c r="M391" s="70"/>
      <c r="N391" s="70"/>
      <c r="O391" s="70"/>
      <c r="P391" s="70"/>
      <c r="Q391" s="70"/>
      <c r="R391" s="70"/>
      <c r="S391" s="70"/>
      <c r="T391" s="70"/>
      <c r="U391" s="64"/>
      <c r="V391" s="64"/>
      <c r="W391" s="70"/>
      <c r="X391" s="64"/>
      <c r="Y391" s="70"/>
      <c r="Z391" s="70"/>
      <c r="AA391" s="71"/>
      <c r="AB391" s="70"/>
      <c r="AC391" s="70"/>
      <c r="AD391" s="64"/>
      <c r="AE391" s="70"/>
      <c r="AF391" s="70"/>
      <c r="AG391" s="70"/>
      <c r="AH391" s="70"/>
    </row>
    <row r="392" spans="4:34" x14ac:dyDescent="0.2">
      <c r="D392" s="53"/>
      <c r="E392" s="70"/>
      <c r="F392" s="70"/>
      <c r="G392" s="70"/>
      <c r="H392" s="70"/>
      <c r="I392" s="70"/>
      <c r="J392" s="70"/>
      <c r="K392" s="70"/>
      <c r="L392" s="70"/>
      <c r="M392" s="70"/>
      <c r="N392" s="70"/>
      <c r="O392" s="70"/>
      <c r="P392" s="70"/>
      <c r="Q392" s="70"/>
      <c r="R392" s="70"/>
      <c r="S392" s="70"/>
      <c r="T392" s="70"/>
      <c r="U392" s="64"/>
      <c r="V392" s="64"/>
      <c r="W392" s="70"/>
      <c r="X392" s="64"/>
      <c r="Y392" s="70"/>
      <c r="Z392" s="70"/>
      <c r="AA392" s="71"/>
      <c r="AB392" s="70"/>
      <c r="AC392" s="70"/>
      <c r="AD392" s="64"/>
      <c r="AE392" s="70"/>
      <c r="AF392" s="70"/>
      <c r="AG392" s="70"/>
      <c r="AH392" s="70"/>
    </row>
    <row r="393" spans="4:34" x14ac:dyDescent="0.2">
      <c r="D393" s="53"/>
      <c r="E393" s="70"/>
      <c r="F393" s="70"/>
      <c r="G393" s="70"/>
      <c r="H393" s="70"/>
      <c r="I393" s="70"/>
      <c r="J393" s="70"/>
      <c r="K393" s="70"/>
      <c r="L393" s="70"/>
      <c r="M393" s="70"/>
      <c r="N393" s="70"/>
      <c r="O393" s="70"/>
      <c r="P393" s="70"/>
      <c r="Q393" s="70"/>
      <c r="R393" s="70"/>
      <c r="S393" s="70"/>
      <c r="T393" s="70"/>
      <c r="U393" s="64"/>
      <c r="V393" s="64"/>
      <c r="W393" s="70"/>
      <c r="X393" s="64"/>
      <c r="Y393" s="70"/>
      <c r="Z393" s="70"/>
      <c r="AA393" s="71"/>
      <c r="AB393" s="70"/>
      <c r="AC393" s="70"/>
      <c r="AD393" s="64"/>
      <c r="AE393" s="70"/>
      <c r="AF393" s="70"/>
      <c r="AG393" s="70"/>
      <c r="AH393" s="70"/>
    </row>
    <row r="394" spans="4:34" x14ac:dyDescent="0.2">
      <c r="D394" s="53"/>
      <c r="E394" s="70"/>
      <c r="F394" s="70"/>
      <c r="G394" s="70"/>
      <c r="H394" s="70"/>
      <c r="I394" s="70"/>
      <c r="J394" s="70"/>
      <c r="K394" s="70"/>
      <c r="L394" s="70"/>
      <c r="M394" s="70"/>
      <c r="N394" s="70"/>
      <c r="O394" s="70"/>
      <c r="P394" s="70"/>
      <c r="Q394" s="70"/>
      <c r="R394" s="70"/>
      <c r="S394" s="70"/>
      <c r="T394" s="70"/>
      <c r="U394" s="64"/>
      <c r="V394" s="64"/>
      <c r="W394" s="70"/>
      <c r="X394" s="64"/>
      <c r="Y394" s="70"/>
      <c r="Z394" s="70"/>
      <c r="AA394" s="71"/>
      <c r="AB394" s="70"/>
      <c r="AC394" s="70"/>
      <c r="AD394" s="64"/>
      <c r="AE394" s="70"/>
      <c r="AF394" s="70"/>
      <c r="AG394" s="70"/>
      <c r="AH394" s="70"/>
    </row>
    <row r="395" spans="4:34" x14ac:dyDescent="0.2">
      <c r="D395" s="53"/>
      <c r="E395" s="70"/>
      <c r="F395" s="70"/>
      <c r="G395" s="70"/>
      <c r="H395" s="70"/>
      <c r="I395" s="70"/>
      <c r="J395" s="70"/>
      <c r="K395" s="70"/>
      <c r="L395" s="70"/>
      <c r="M395" s="70"/>
      <c r="N395" s="70"/>
      <c r="O395" s="70"/>
      <c r="P395" s="70"/>
      <c r="Q395" s="70"/>
      <c r="R395" s="70"/>
      <c r="S395" s="70"/>
      <c r="T395" s="70"/>
      <c r="U395" s="64"/>
      <c r="V395" s="64"/>
      <c r="W395" s="70"/>
      <c r="X395" s="64"/>
      <c r="Y395" s="70"/>
      <c r="Z395" s="70"/>
      <c r="AA395" s="71"/>
      <c r="AB395" s="70"/>
      <c r="AC395" s="70"/>
      <c r="AD395" s="64"/>
      <c r="AE395" s="70"/>
      <c r="AF395" s="70"/>
      <c r="AG395" s="70"/>
      <c r="AH395" s="70"/>
    </row>
    <row r="396" spans="4:34" x14ac:dyDescent="0.2">
      <c r="D396" s="53"/>
      <c r="E396" s="70"/>
      <c r="F396" s="70"/>
      <c r="G396" s="70"/>
      <c r="H396" s="70"/>
      <c r="I396" s="70"/>
      <c r="J396" s="70"/>
      <c r="K396" s="70"/>
      <c r="L396" s="70"/>
      <c r="M396" s="70"/>
      <c r="N396" s="70"/>
      <c r="O396" s="70"/>
      <c r="P396" s="70"/>
      <c r="Q396" s="70"/>
      <c r="R396" s="70"/>
      <c r="S396" s="70"/>
      <c r="T396" s="70"/>
      <c r="U396" s="64"/>
      <c r="V396" s="64"/>
      <c r="W396" s="70"/>
      <c r="X396" s="64"/>
      <c r="Y396" s="70"/>
      <c r="Z396" s="70"/>
      <c r="AA396" s="71"/>
      <c r="AB396" s="70"/>
      <c r="AC396" s="70"/>
      <c r="AD396" s="64"/>
      <c r="AE396" s="70"/>
      <c r="AF396" s="70"/>
      <c r="AG396" s="70"/>
      <c r="AH396" s="70"/>
    </row>
    <row r="397" spans="4:34" x14ac:dyDescent="0.2">
      <c r="D397" s="53"/>
      <c r="E397" s="70"/>
      <c r="F397" s="70"/>
      <c r="G397" s="70"/>
      <c r="H397" s="70"/>
      <c r="I397" s="70"/>
      <c r="J397" s="70"/>
      <c r="K397" s="70"/>
      <c r="L397" s="70"/>
      <c r="M397" s="70"/>
      <c r="N397" s="70"/>
      <c r="O397" s="70"/>
      <c r="P397" s="70"/>
      <c r="Q397" s="70"/>
      <c r="R397" s="70"/>
      <c r="S397" s="70"/>
      <c r="T397" s="70"/>
      <c r="U397" s="64"/>
      <c r="V397" s="64"/>
      <c r="W397" s="70"/>
      <c r="X397" s="64"/>
      <c r="Y397" s="70"/>
      <c r="Z397" s="70"/>
      <c r="AA397" s="71"/>
      <c r="AB397" s="70"/>
      <c r="AC397" s="70"/>
      <c r="AD397" s="64"/>
      <c r="AE397" s="70"/>
      <c r="AF397" s="70"/>
      <c r="AG397" s="70"/>
      <c r="AH397" s="70"/>
    </row>
    <row r="398" spans="4:34" x14ac:dyDescent="0.2">
      <c r="D398" s="53"/>
      <c r="E398" s="70"/>
      <c r="F398" s="70"/>
      <c r="G398" s="70"/>
      <c r="H398" s="70"/>
      <c r="I398" s="70"/>
      <c r="J398" s="70"/>
      <c r="K398" s="70"/>
      <c r="L398" s="70"/>
      <c r="M398" s="70"/>
      <c r="N398" s="70"/>
      <c r="O398" s="70"/>
      <c r="P398" s="70"/>
      <c r="Q398" s="70"/>
      <c r="R398" s="70"/>
      <c r="S398" s="70"/>
      <c r="T398" s="70"/>
      <c r="U398" s="64"/>
      <c r="V398" s="64"/>
      <c r="W398" s="70"/>
      <c r="X398" s="64"/>
      <c r="Y398" s="70"/>
      <c r="Z398" s="70"/>
      <c r="AA398" s="71"/>
      <c r="AB398" s="70"/>
      <c r="AC398" s="70"/>
      <c r="AD398" s="64"/>
      <c r="AE398" s="70"/>
      <c r="AF398" s="70"/>
      <c r="AG398" s="70"/>
      <c r="AH398" s="70"/>
    </row>
    <row r="399" spans="4:34" x14ac:dyDescent="0.2">
      <c r="D399" s="53"/>
      <c r="E399" s="70"/>
      <c r="F399" s="70"/>
      <c r="G399" s="70"/>
      <c r="H399" s="70"/>
      <c r="I399" s="70"/>
      <c r="J399" s="70"/>
      <c r="K399" s="70"/>
      <c r="L399" s="70"/>
      <c r="M399" s="70"/>
      <c r="N399" s="70"/>
      <c r="O399" s="70"/>
      <c r="P399" s="70"/>
      <c r="Q399" s="70"/>
      <c r="R399" s="70"/>
      <c r="S399" s="70"/>
      <c r="T399" s="70"/>
      <c r="U399" s="64"/>
      <c r="V399" s="64"/>
      <c r="W399" s="70"/>
      <c r="X399" s="64"/>
      <c r="Y399" s="70"/>
      <c r="Z399" s="70"/>
      <c r="AA399" s="71"/>
      <c r="AB399" s="70"/>
      <c r="AC399" s="70"/>
      <c r="AD399" s="64"/>
      <c r="AE399" s="70"/>
      <c r="AF399" s="70"/>
      <c r="AG399" s="70"/>
      <c r="AH399" s="70"/>
    </row>
    <row r="400" spans="4:34" x14ac:dyDescent="0.2">
      <c r="D400" s="53"/>
      <c r="E400" s="70"/>
      <c r="F400" s="70"/>
      <c r="G400" s="70"/>
      <c r="H400" s="70"/>
      <c r="I400" s="70"/>
      <c r="J400" s="70"/>
      <c r="K400" s="70"/>
      <c r="L400" s="70"/>
      <c r="M400" s="70"/>
      <c r="N400" s="70"/>
      <c r="O400" s="70"/>
      <c r="P400" s="70"/>
      <c r="Q400" s="70"/>
      <c r="R400" s="70"/>
      <c r="S400" s="70"/>
      <c r="T400" s="70"/>
      <c r="U400" s="64"/>
      <c r="V400" s="64"/>
      <c r="W400" s="70"/>
      <c r="X400" s="64"/>
      <c r="Y400" s="70"/>
      <c r="Z400" s="70"/>
      <c r="AA400" s="71"/>
      <c r="AB400" s="70"/>
      <c r="AC400" s="70"/>
      <c r="AD400" s="64"/>
      <c r="AE400" s="70"/>
      <c r="AF400" s="70"/>
      <c r="AG400" s="70"/>
      <c r="AH400" s="70"/>
    </row>
    <row r="401" spans="4:34" x14ac:dyDescent="0.2">
      <c r="D401" s="53"/>
      <c r="E401" s="70"/>
      <c r="F401" s="70"/>
      <c r="G401" s="70"/>
      <c r="H401" s="70"/>
      <c r="I401" s="70"/>
      <c r="J401" s="70"/>
      <c r="K401" s="70"/>
      <c r="L401" s="70"/>
      <c r="M401" s="70"/>
      <c r="N401" s="70"/>
      <c r="O401" s="70"/>
      <c r="P401" s="70"/>
      <c r="Q401" s="70"/>
      <c r="R401" s="70"/>
      <c r="S401" s="70"/>
      <c r="T401" s="70"/>
      <c r="U401" s="64"/>
      <c r="V401" s="64"/>
      <c r="W401" s="70"/>
      <c r="X401" s="64"/>
      <c r="Y401" s="70"/>
      <c r="Z401" s="70"/>
      <c r="AA401" s="71"/>
      <c r="AB401" s="70"/>
      <c r="AC401" s="70"/>
      <c r="AD401" s="64"/>
      <c r="AE401" s="70"/>
      <c r="AF401" s="70"/>
      <c r="AG401" s="70"/>
      <c r="AH401" s="70"/>
    </row>
    <row r="402" spans="4:34" x14ac:dyDescent="0.2">
      <c r="D402" s="53"/>
      <c r="E402" s="70"/>
      <c r="F402" s="70"/>
      <c r="G402" s="70"/>
      <c r="H402" s="70"/>
      <c r="I402" s="70"/>
      <c r="J402" s="70"/>
      <c r="K402" s="70"/>
      <c r="L402" s="70"/>
      <c r="M402" s="70"/>
      <c r="N402" s="70"/>
      <c r="O402" s="70"/>
      <c r="P402" s="70"/>
      <c r="Q402" s="70"/>
      <c r="R402" s="70"/>
      <c r="S402" s="70"/>
      <c r="T402" s="70"/>
      <c r="U402" s="64"/>
      <c r="V402" s="64"/>
      <c r="W402" s="70"/>
      <c r="X402" s="64"/>
      <c r="Y402" s="70"/>
      <c r="Z402" s="70"/>
      <c r="AA402" s="71"/>
      <c r="AB402" s="70"/>
      <c r="AC402" s="70"/>
      <c r="AD402" s="64"/>
      <c r="AE402" s="70"/>
      <c r="AF402" s="70"/>
      <c r="AG402" s="70"/>
      <c r="AH402" s="70"/>
    </row>
    <row r="403" spans="4:34" x14ac:dyDescent="0.2">
      <c r="D403" s="53"/>
      <c r="E403" s="70"/>
      <c r="F403" s="70"/>
      <c r="G403" s="70"/>
      <c r="H403" s="70"/>
      <c r="I403" s="70"/>
      <c r="J403" s="70"/>
      <c r="K403" s="70"/>
      <c r="L403" s="70"/>
      <c r="M403" s="70"/>
      <c r="N403" s="70"/>
      <c r="O403" s="70"/>
      <c r="P403" s="70"/>
      <c r="Q403" s="70"/>
      <c r="R403" s="70"/>
      <c r="S403" s="70"/>
      <c r="T403" s="70"/>
      <c r="U403" s="64"/>
      <c r="V403" s="64"/>
      <c r="W403" s="70"/>
      <c r="X403" s="64"/>
      <c r="Y403" s="70"/>
      <c r="Z403" s="70"/>
      <c r="AA403" s="71"/>
      <c r="AB403" s="70"/>
      <c r="AC403" s="70"/>
      <c r="AD403" s="64"/>
      <c r="AE403" s="70"/>
      <c r="AF403" s="70"/>
      <c r="AG403" s="70"/>
      <c r="AH403" s="70"/>
    </row>
    <row r="404" spans="4:34" x14ac:dyDescent="0.2">
      <c r="D404" s="53"/>
      <c r="E404" s="70"/>
      <c r="F404" s="70"/>
      <c r="G404" s="70"/>
      <c r="H404" s="70"/>
      <c r="I404" s="70"/>
      <c r="J404" s="70"/>
      <c r="K404" s="70"/>
      <c r="L404" s="70"/>
      <c r="M404" s="70"/>
      <c r="N404" s="70"/>
      <c r="O404" s="70"/>
      <c r="P404" s="70"/>
      <c r="Q404" s="70"/>
      <c r="R404" s="70"/>
      <c r="S404" s="70"/>
      <c r="T404" s="70"/>
      <c r="U404" s="64"/>
      <c r="V404" s="64"/>
      <c r="W404" s="70"/>
      <c r="X404" s="64"/>
      <c r="Y404" s="70"/>
      <c r="Z404" s="70"/>
      <c r="AA404" s="71"/>
      <c r="AB404" s="70"/>
      <c r="AC404" s="70"/>
      <c r="AD404" s="64"/>
      <c r="AE404" s="70"/>
      <c r="AF404" s="70"/>
      <c r="AG404" s="70"/>
      <c r="AH404" s="70"/>
    </row>
    <row r="405" spans="4:34" x14ac:dyDescent="0.2">
      <c r="D405" s="53"/>
      <c r="E405" s="70"/>
      <c r="F405" s="70"/>
      <c r="G405" s="70"/>
      <c r="H405" s="70"/>
      <c r="I405" s="70"/>
      <c r="J405" s="70"/>
      <c r="K405" s="70"/>
      <c r="L405" s="70"/>
      <c r="M405" s="70"/>
      <c r="N405" s="70"/>
      <c r="O405" s="70"/>
      <c r="P405" s="70"/>
      <c r="Q405" s="70"/>
      <c r="R405" s="70"/>
      <c r="S405" s="70"/>
      <c r="T405" s="70"/>
      <c r="U405" s="64"/>
      <c r="V405" s="64"/>
      <c r="W405" s="70"/>
      <c r="X405" s="64"/>
      <c r="Y405" s="70"/>
      <c r="Z405" s="70"/>
      <c r="AA405" s="71"/>
      <c r="AB405" s="70"/>
      <c r="AC405" s="70"/>
      <c r="AD405" s="64"/>
      <c r="AE405" s="70"/>
      <c r="AF405" s="70"/>
      <c r="AG405" s="70"/>
      <c r="AH405" s="70"/>
    </row>
    <row r="406" spans="4:34" x14ac:dyDescent="0.2">
      <c r="D406" s="53"/>
      <c r="E406" s="70"/>
      <c r="F406" s="70"/>
      <c r="G406" s="70"/>
      <c r="H406" s="70"/>
      <c r="I406" s="70"/>
      <c r="J406" s="70"/>
      <c r="K406" s="70"/>
      <c r="L406" s="70"/>
      <c r="M406" s="70"/>
      <c r="N406" s="70"/>
      <c r="O406" s="70"/>
      <c r="P406" s="70"/>
      <c r="Q406" s="70"/>
      <c r="R406" s="70"/>
      <c r="S406" s="70"/>
      <c r="T406" s="70"/>
      <c r="U406" s="64"/>
      <c r="V406" s="64"/>
      <c r="W406" s="70"/>
      <c r="X406" s="64"/>
      <c r="Y406" s="70"/>
      <c r="Z406" s="70"/>
      <c r="AA406" s="71"/>
      <c r="AB406" s="70"/>
      <c r="AC406" s="70"/>
      <c r="AD406" s="64"/>
      <c r="AE406" s="70"/>
      <c r="AF406" s="70"/>
      <c r="AG406" s="70"/>
      <c r="AH406" s="70"/>
    </row>
    <row r="407" spans="4:34" x14ac:dyDescent="0.2">
      <c r="D407" s="53"/>
      <c r="E407" s="70"/>
      <c r="F407" s="70"/>
      <c r="G407" s="70"/>
      <c r="H407" s="70"/>
      <c r="I407" s="70"/>
      <c r="J407" s="70"/>
      <c r="K407" s="70"/>
      <c r="L407" s="70"/>
      <c r="M407" s="70"/>
      <c r="N407" s="70"/>
      <c r="O407" s="70"/>
      <c r="P407" s="70"/>
      <c r="Q407" s="70"/>
      <c r="R407" s="70"/>
      <c r="S407" s="70"/>
      <c r="T407" s="70"/>
      <c r="U407" s="64"/>
      <c r="V407" s="64"/>
      <c r="W407" s="70"/>
      <c r="X407" s="64"/>
      <c r="Y407" s="70"/>
      <c r="Z407" s="70"/>
      <c r="AA407" s="71"/>
      <c r="AB407" s="70"/>
      <c r="AC407" s="70"/>
      <c r="AD407" s="64"/>
      <c r="AE407" s="70"/>
      <c r="AF407" s="70"/>
      <c r="AG407" s="70"/>
      <c r="AH407" s="70"/>
    </row>
    <row r="408" spans="4:34" x14ac:dyDescent="0.2">
      <c r="D408" s="53"/>
      <c r="E408" s="70"/>
      <c r="F408" s="70"/>
      <c r="G408" s="70"/>
      <c r="H408" s="70"/>
      <c r="I408" s="70"/>
      <c r="J408" s="70"/>
      <c r="K408" s="70"/>
      <c r="L408" s="70"/>
      <c r="M408" s="70"/>
      <c r="N408" s="70"/>
      <c r="O408" s="70"/>
      <c r="P408" s="70"/>
      <c r="Q408" s="70"/>
      <c r="R408" s="70"/>
      <c r="S408" s="70"/>
      <c r="T408" s="70"/>
      <c r="U408" s="64"/>
      <c r="V408" s="64"/>
      <c r="W408" s="70"/>
      <c r="X408" s="64"/>
      <c r="Y408" s="70"/>
      <c r="Z408" s="70"/>
      <c r="AA408" s="71"/>
      <c r="AB408" s="70"/>
      <c r="AC408" s="70"/>
      <c r="AD408" s="64"/>
      <c r="AE408" s="70"/>
      <c r="AF408" s="70"/>
      <c r="AG408" s="70"/>
      <c r="AH408" s="70"/>
    </row>
    <row r="409" spans="4:34" x14ac:dyDescent="0.2">
      <c r="D409" s="53"/>
      <c r="E409" s="70"/>
      <c r="F409" s="70"/>
      <c r="G409" s="70"/>
      <c r="H409" s="70"/>
      <c r="I409" s="70"/>
      <c r="J409" s="70"/>
      <c r="K409" s="70"/>
      <c r="L409" s="70"/>
      <c r="M409" s="70"/>
      <c r="N409" s="70"/>
      <c r="O409" s="70"/>
      <c r="P409" s="70"/>
      <c r="Q409" s="70"/>
      <c r="R409" s="70"/>
      <c r="S409" s="70"/>
      <c r="T409" s="70"/>
      <c r="U409" s="64"/>
      <c r="V409" s="64"/>
      <c r="W409" s="70"/>
      <c r="X409" s="64"/>
      <c r="Y409" s="70"/>
      <c r="Z409" s="70"/>
      <c r="AA409" s="71"/>
      <c r="AB409" s="70"/>
      <c r="AC409" s="70"/>
      <c r="AD409" s="64"/>
      <c r="AE409" s="70"/>
      <c r="AF409" s="70"/>
      <c r="AG409" s="70"/>
      <c r="AH409" s="70"/>
    </row>
    <row r="410" spans="4:34" x14ac:dyDescent="0.2">
      <c r="D410" s="53"/>
      <c r="E410" s="70"/>
      <c r="F410" s="70"/>
      <c r="G410" s="70"/>
      <c r="H410" s="70"/>
      <c r="I410" s="70"/>
      <c r="J410" s="70"/>
      <c r="K410" s="70"/>
      <c r="L410" s="70"/>
      <c r="M410" s="70"/>
      <c r="N410" s="70"/>
      <c r="O410" s="70"/>
      <c r="P410" s="70"/>
      <c r="Q410" s="70"/>
      <c r="R410" s="70"/>
      <c r="S410" s="70"/>
      <c r="T410" s="70"/>
      <c r="U410" s="64"/>
      <c r="V410" s="64"/>
      <c r="W410" s="70"/>
      <c r="X410" s="64"/>
      <c r="Y410" s="70"/>
      <c r="Z410" s="70"/>
      <c r="AA410" s="71"/>
      <c r="AB410" s="70"/>
      <c r="AC410" s="70"/>
      <c r="AD410" s="64"/>
      <c r="AE410" s="70"/>
      <c r="AF410" s="70"/>
      <c r="AG410" s="70"/>
      <c r="AH410" s="70"/>
    </row>
    <row r="411" spans="4:34" x14ac:dyDescent="0.2">
      <c r="D411" s="53"/>
      <c r="E411" s="70"/>
      <c r="F411" s="70"/>
      <c r="G411" s="70"/>
      <c r="H411" s="70"/>
      <c r="I411" s="70"/>
      <c r="J411" s="70"/>
      <c r="K411" s="70"/>
      <c r="L411" s="70"/>
      <c r="M411" s="70"/>
      <c r="N411" s="70"/>
      <c r="O411" s="70"/>
      <c r="P411" s="70"/>
      <c r="Q411" s="70"/>
      <c r="R411" s="70"/>
      <c r="S411" s="70"/>
      <c r="T411" s="70"/>
      <c r="U411" s="64"/>
      <c r="V411" s="64"/>
      <c r="W411" s="70"/>
      <c r="X411" s="64"/>
      <c r="Y411" s="70"/>
      <c r="Z411" s="70"/>
      <c r="AA411" s="71"/>
      <c r="AB411" s="70"/>
      <c r="AC411" s="70"/>
      <c r="AD411" s="64"/>
      <c r="AE411" s="70"/>
      <c r="AF411" s="70"/>
      <c r="AG411" s="70"/>
      <c r="AH411" s="70"/>
    </row>
    <row r="412" spans="4:34" x14ac:dyDescent="0.2">
      <c r="D412" s="53"/>
      <c r="E412" s="70"/>
      <c r="F412" s="70"/>
      <c r="G412" s="70"/>
      <c r="H412" s="70"/>
      <c r="I412" s="70"/>
      <c r="J412" s="70"/>
      <c r="K412" s="70"/>
      <c r="L412" s="70"/>
      <c r="M412" s="70"/>
      <c r="N412" s="70"/>
      <c r="O412" s="70"/>
      <c r="P412" s="70"/>
      <c r="Q412" s="70"/>
      <c r="R412" s="70"/>
      <c r="S412" s="70"/>
      <c r="T412" s="70"/>
      <c r="U412" s="64"/>
      <c r="V412" s="64"/>
      <c r="W412" s="70"/>
      <c r="X412" s="64"/>
      <c r="Y412" s="70"/>
      <c r="Z412" s="70"/>
      <c r="AA412" s="71"/>
      <c r="AB412" s="70"/>
      <c r="AC412" s="70"/>
      <c r="AD412" s="64"/>
      <c r="AE412" s="70"/>
      <c r="AF412" s="70"/>
      <c r="AG412" s="70"/>
      <c r="AH412" s="70"/>
    </row>
    <row r="413" spans="4:34" x14ac:dyDescent="0.2">
      <c r="D413" s="53"/>
      <c r="E413" s="70"/>
      <c r="F413" s="70"/>
      <c r="G413" s="70"/>
      <c r="H413" s="70"/>
      <c r="I413" s="70"/>
      <c r="J413" s="70"/>
      <c r="K413" s="70"/>
      <c r="L413" s="70"/>
      <c r="M413" s="70"/>
      <c r="N413" s="70"/>
      <c r="O413" s="70"/>
      <c r="P413" s="70"/>
      <c r="Q413" s="70"/>
      <c r="R413" s="70"/>
      <c r="S413" s="70"/>
      <c r="T413" s="70"/>
      <c r="U413" s="64"/>
      <c r="V413" s="64"/>
      <c r="W413" s="70"/>
      <c r="X413" s="64"/>
      <c r="Y413" s="70"/>
      <c r="Z413" s="70"/>
      <c r="AA413" s="71"/>
      <c r="AB413" s="70"/>
      <c r="AC413" s="70"/>
      <c r="AD413" s="64"/>
      <c r="AE413" s="70"/>
      <c r="AF413" s="70"/>
      <c r="AG413" s="70"/>
      <c r="AH413" s="70"/>
    </row>
    <row r="414" spans="4:34" x14ac:dyDescent="0.2">
      <c r="D414" s="53"/>
      <c r="E414" s="70"/>
      <c r="F414" s="70"/>
      <c r="G414" s="70"/>
      <c r="H414" s="70"/>
      <c r="I414" s="70"/>
      <c r="J414" s="70"/>
      <c r="K414" s="70"/>
      <c r="L414" s="70"/>
      <c r="M414" s="70"/>
      <c r="N414" s="70"/>
      <c r="O414" s="70"/>
      <c r="P414" s="70"/>
      <c r="Q414" s="70"/>
      <c r="R414" s="70"/>
      <c r="S414" s="70"/>
      <c r="T414" s="70"/>
      <c r="U414" s="64"/>
      <c r="V414" s="64"/>
      <c r="W414" s="70"/>
      <c r="X414" s="64"/>
      <c r="Y414" s="70"/>
      <c r="Z414" s="70"/>
      <c r="AA414" s="71"/>
      <c r="AB414" s="70"/>
      <c r="AC414" s="70"/>
      <c r="AD414" s="64"/>
      <c r="AE414" s="70"/>
      <c r="AF414" s="70"/>
      <c r="AG414" s="70"/>
      <c r="AH414" s="70"/>
    </row>
    <row r="415" spans="4:34" x14ac:dyDescent="0.2">
      <c r="D415" s="53"/>
      <c r="E415" s="70"/>
      <c r="F415" s="70"/>
      <c r="G415" s="70"/>
      <c r="H415" s="70"/>
      <c r="I415" s="70"/>
      <c r="J415" s="70"/>
      <c r="K415" s="70"/>
      <c r="L415" s="70"/>
      <c r="M415" s="70"/>
      <c r="N415" s="70"/>
      <c r="O415" s="70"/>
      <c r="P415" s="70"/>
      <c r="Q415" s="70"/>
      <c r="R415" s="70"/>
      <c r="S415" s="70"/>
      <c r="T415" s="70"/>
      <c r="U415" s="64"/>
      <c r="V415" s="64"/>
      <c r="W415" s="70"/>
      <c r="X415" s="64"/>
      <c r="Y415" s="70"/>
      <c r="Z415" s="70"/>
      <c r="AA415" s="71"/>
      <c r="AB415" s="70"/>
      <c r="AC415" s="70"/>
      <c r="AD415" s="64"/>
      <c r="AE415" s="70"/>
      <c r="AF415" s="70"/>
      <c r="AG415" s="70"/>
      <c r="AH415" s="70"/>
    </row>
    <row r="416" spans="4:34" x14ac:dyDescent="0.2">
      <c r="D416" s="53"/>
      <c r="E416" s="70"/>
      <c r="F416" s="70"/>
      <c r="G416" s="70"/>
      <c r="H416" s="70"/>
      <c r="I416" s="70"/>
      <c r="J416" s="70"/>
      <c r="K416" s="70"/>
      <c r="L416" s="70"/>
      <c r="M416" s="70"/>
      <c r="N416" s="70"/>
      <c r="O416" s="70"/>
      <c r="P416" s="70"/>
      <c r="Q416" s="70"/>
      <c r="R416" s="70"/>
      <c r="S416" s="70"/>
      <c r="T416" s="70"/>
      <c r="U416" s="64"/>
      <c r="V416" s="64"/>
      <c r="W416" s="70"/>
      <c r="X416" s="64"/>
      <c r="Y416" s="70"/>
      <c r="Z416" s="70"/>
      <c r="AA416" s="71"/>
      <c r="AB416" s="70"/>
      <c r="AC416" s="70"/>
      <c r="AD416" s="64"/>
      <c r="AE416" s="70"/>
      <c r="AF416" s="70"/>
      <c r="AG416" s="70"/>
      <c r="AH416" s="70"/>
    </row>
    <row r="417" spans="4:34" x14ac:dyDescent="0.2">
      <c r="D417" s="53"/>
      <c r="E417" s="70"/>
      <c r="F417" s="70"/>
      <c r="G417" s="70"/>
      <c r="H417" s="70"/>
      <c r="I417" s="70"/>
      <c r="J417" s="70"/>
      <c r="K417" s="70"/>
      <c r="L417" s="70"/>
      <c r="M417" s="70"/>
      <c r="N417" s="70"/>
      <c r="O417" s="70"/>
      <c r="P417" s="70"/>
      <c r="Q417" s="70"/>
      <c r="R417" s="70"/>
      <c r="S417" s="70"/>
      <c r="T417" s="70"/>
      <c r="U417" s="64"/>
      <c r="V417" s="64"/>
      <c r="W417" s="70"/>
      <c r="X417" s="64"/>
      <c r="Y417" s="70"/>
      <c r="Z417" s="70"/>
      <c r="AA417" s="71"/>
      <c r="AB417" s="70"/>
      <c r="AC417" s="70"/>
      <c r="AD417" s="64"/>
      <c r="AE417" s="70"/>
      <c r="AF417" s="70"/>
      <c r="AG417" s="70"/>
      <c r="AH417" s="70"/>
    </row>
    <row r="418" spans="4:34" x14ac:dyDescent="0.2">
      <c r="D418" s="53"/>
      <c r="E418" s="70"/>
      <c r="F418" s="70"/>
      <c r="G418" s="70"/>
      <c r="H418" s="70"/>
      <c r="I418" s="70"/>
      <c r="J418" s="70"/>
      <c r="K418" s="70"/>
      <c r="L418" s="70"/>
      <c r="M418" s="70"/>
      <c r="N418" s="70"/>
      <c r="O418" s="70"/>
      <c r="P418" s="70"/>
      <c r="Q418" s="70"/>
      <c r="R418" s="70"/>
      <c r="S418" s="70"/>
      <c r="T418" s="70"/>
      <c r="U418" s="64"/>
      <c r="V418" s="64"/>
      <c r="W418" s="70"/>
      <c r="X418" s="64"/>
      <c r="Y418" s="70"/>
      <c r="Z418" s="70"/>
      <c r="AA418" s="71"/>
      <c r="AB418" s="70"/>
      <c r="AC418" s="70"/>
      <c r="AD418" s="64"/>
      <c r="AE418" s="70"/>
      <c r="AF418" s="70"/>
      <c r="AG418" s="70"/>
      <c r="AH418" s="70"/>
    </row>
    <row r="419" spans="4:34" x14ac:dyDescent="0.2">
      <c r="D419" s="53"/>
      <c r="E419" s="70"/>
      <c r="F419" s="70"/>
      <c r="G419" s="70"/>
      <c r="H419" s="70"/>
      <c r="I419" s="70"/>
      <c r="J419" s="70"/>
      <c r="K419" s="70"/>
      <c r="L419" s="70"/>
      <c r="M419" s="70"/>
      <c r="N419" s="70"/>
      <c r="O419" s="70"/>
      <c r="P419" s="70"/>
      <c r="Q419" s="70"/>
      <c r="R419" s="70"/>
      <c r="S419" s="70"/>
      <c r="T419" s="70"/>
      <c r="U419" s="64"/>
      <c r="V419" s="64"/>
      <c r="W419" s="70"/>
      <c r="X419" s="64"/>
      <c r="Y419" s="70"/>
      <c r="Z419" s="70"/>
      <c r="AA419" s="71"/>
      <c r="AB419" s="70"/>
      <c r="AC419" s="70"/>
      <c r="AD419" s="64"/>
      <c r="AE419" s="70"/>
      <c r="AF419" s="70"/>
      <c r="AG419" s="70"/>
      <c r="AH419" s="70"/>
    </row>
    <row r="420" spans="4:34" x14ac:dyDescent="0.2">
      <c r="D420" s="53"/>
      <c r="E420" s="70"/>
      <c r="F420" s="70"/>
      <c r="G420" s="70"/>
      <c r="H420" s="70"/>
      <c r="I420" s="70"/>
      <c r="J420" s="70"/>
      <c r="K420" s="70"/>
      <c r="L420" s="70"/>
      <c r="M420" s="70"/>
      <c r="N420" s="70"/>
      <c r="O420" s="70"/>
      <c r="P420" s="70"/>
      <c r="Q420" s="70"/>
      <c r="R420" s="70"/>
      <c r="S420" s="70"/>
      <c r="T420" s="70"/>
      <c r="U420" s="64"/>
      <c r="V420" s="64"/>
      <c r="W420" s="70"/>
      <c r="X420" s="64"/>
      <c r="Y420" s="70"/>
      <c r="Z420" s="70"/>
      <c r="AA420" s="71"/>
      <c r="AB420" s="70"/>
      <c r="AC420" s="70"/>
      <c r="AD420" s="64"/>
      <c r="AE420" s="70"/>
      <c r="AF420" s="70"/>
      <c r="AG420" s="70"/>
      <c r="AH420" s="70"/>
    </row>
    <row r="421" spans="4:34" x14ac:dyDescent="0.2">
      <c r="D421" s="53"/>
      <c r="E421" s="70"/>
      <c r="F421" s="70"/>
      <c r="G421" s="70"/>
      <c r="H421" s="70"/>
      <c r="I421" s="70"/>
      <c r="J421" s="70"/>
      <c r="K421" s="70"/>
      <c r="L421" s="70"/>
      <c r="M421" s="70"/>
      <c r="N421" s="70"/>
      <c r="O421" s="70"/>
      <c r="P421" s="70"/>
      <c r="Q421" s="70"/>
      <c r="R421" s="70"/>
      <c r="S421" s="70"/>
      <c r="T421" s="70"/>
      <c r="U421" s="64"/>
      <c r="V421" s="64"/>
      <c r="W421" s="70"/>
      <c r="X421" s="64"/>
      <c r="Y421" s="70"/>
      <c r="Z421" s="70"/>
      <c r="AA421" s="71"/>
      <c r="AB421" s="70"/>
      <c r="AC421" s="70"/>
      <c r="AD421" s="64"/>
      <c r="AE421" s="70"/>
      <c r="AF421" s="70"/>
      <c r="AG421" s="70"/>
      <c r="AH421" s="70"/>
    </row>
    <row r="422" spans="4:34" x14ac:dyDescent="0.2">
      <c r="D422" s="53"/>
      <c r="E422" s="70"/>
      <c r="F422" s="70"/>
      <c r="G422" s="70"/>
      <c r="H422" s="70"/>
      <c r="I422" s="70"/>
      <c r="J422" s="70"/>
      <c r="K422" s="70"/>
      <c r="L422" s="70"/>
      <c r="M422" s="70"/>
      <c r="N422" s="70"/>
      <c r="O422" s="70"/>
      <c r="P422" s="70"/>
      <c r="Q422" s="70"/>
      <c r="R422" s="70"/>
      <c r="S422" s="70"/>
      <c r="T422" s="70"/>
      <c r="U422" s="64"/>
      <c r="V422" s="64"/>
      <c r="W422" s="70"/>
      <c r="X422" s="64"/>
      <c r="Y422" s="70"/>
      <c r="Z422" s="70"/>
      <c r="AA422" s="71"/>
      <c r="AB422" s="70"/>
      <c r="AC422" s="70"/>
      <c r="AD422" s="64"/>
      <c r="AE422" s="70"/>
      <c r="AF422" s="70"/>
      <c r="AG422" s="70"/>
      <c r="AH422" s="70"/>
    </row>
    <row r="423" spans="4:34" x14ac:dyDescent="0.2">
      <c r="D423" s="53"/>
      <c r="E423" s="70"/>
      <c r="F423" s="70"/>
      <c r="G423" s="70"/>
      <c r="H423" s="70"/>
      <c r="I423" s="70"/>
      <c r="J423" s="70"/>
      <c r="K423" s="70"/>
      <c r="L423" s="70"/>
      <c r="M423" s="70"/>
      <c r="N423" s="70"/>
      <c r="O423" s="70"/>
      <c r="P423" s="70"/>
      <c r="Q423" s="70"/>
      <c r="R423" s="70"/>
      <c r="S423" s="70"/>
      <c r="T423" s="70"/>
      <c r="U423" s="64"/>
      <c r="V423" s="64"/>
      <c r="W423" s="70"/>
      <c r="X423" s="64"/>
      <c r="Y423" s="70"/>
      <c r="Z423" s="70"/>
      <c r="AA423" s="71"/>
      <c r="AB423" s="70"/>
      <c r="AC423" s="70"/>
      <c r="AD423" s="64"/>
      <c r="AE423" s="70"/>
      <c r="AF423" s="70"/>
      <c r="AG423" s="70"/>
      <c r="AH423" s="70"/>
    </row>
    <row r="424" spans="4:34" x14ac:dyDescent="0.2">
      <c r="D424" s="53"/>
      <c r="E424" s="70"/>
      <c r="F424" s="70"/>
      <c r="G424" s="70"/>
      <c r="H424" s="70"/>
      <c r="I424" s="70"/>
      <c r="J424" s="70"/>
      <c r="K424" s="70"/>
      <c r="L424" s="70"/>
      <c r="M424" s="70"/>
      <c r="N424" s="70"/>
      <c r="O424" s="70"/>
      <c r="P424" s="70"/>
      <c r="Q424" s="70"/>
      <c r="R424" s="70"/>
      <c r="S424" s="70"/>
      <c r="T424" s="70"/>
      <c r="U424" s="64"/>
      <c r="V424" s="64"/>
      <c r="W424" s="70"/>
      <c r="X424" s="64"/>
      <c r="Y424" s="70"/>
      <c r="Z424" s="70"/>
      <c r="AA424" s="71"/>
      <c r="AB424" s="70"/>
      <c r="AC424" s="70"/>
      <c r="AD424" s="64"/>
      <c r="AE424" s="70"/>
      <c r="AF424" s="70"/>
      <c r="AG424" s="70"/>
      <c r="AH424" s="70"/>
    </row>
    <row r="425" spans="4:34" x14ac:dyDescent="0.2">
      <c r="D425" s="53"/>
      <c r="E425" s="70"/>
      <c r="F425" s="70"/>
      <c r="G425" s="70"/>
      <c r="H425" s="70"/>
      <c r="I425" s="70"/>
      <c r="J425" s="70"/>
      <c r="K425" s="70"/>
      <c r="L425" s="70"/>
      <c r="M425" s="70"/>
      <c r="N425" s="70"/>
      <c r="O425" s="70"/>
      <c r="P425" s="70"/>
      <c r="Q425" s="70"/>
      <c r="R425" s="70"/>
      <c r="S425" s="70"/>
      <c r="T425" s="70"/>
      <c r="U425" s="64"/>
      <c r="V425" s="64"/>
      <c r="W425" s="70"/>
      <c r="X425" s="64"/>
      <c r="Y425" s="70"/>
      <c r="Z425" s="70"/>
      <c r="AA425" s="71"/>
      <c r="AB425" s="70"/>
      <c r="AC425" s="70"/>
      <c r="AD425" s="64"/>
      <c r="AE425" s="70"/>
      <c r="AF425" s="70"/>
      <c r="AG425" s="70"/>
      <c r="AH425" s="70"/>
    </row>
    <row r="426" spans="4:34" x14ac:dyDescent="0.2">
      <c r="D426" s="53"/>
      <c r="E426" s="70"/>
      <c r="F426" s="70"/>
      <c r="G426" s="70"/>
      <c r="H426" s="70"/>
      <c r="I426" s="70"/>
      <c r="J426" s="70"/>
      <c r="K426" s="70"/>
      <c r="L426" s="70"/>
      <c r="M426" s="70"/>
      <c r="N426" s="70"/>
      <c r="O426" s="70"/>
      <c r="P426" s="70"/>
      <c r="Q426" s="70"/>
      <c r="R426" s="70"/>
      <c r="S426" s="70"/>
      <c r="T426" s="70"/>
      <c r="U426" s="64"/>
      <c r="V426" s="64"/>
      <c r="W426" s="70"/>
      <c r="X426" s="64"/>
      <c r="Y426" s="70"/>
      <c r="Z426" s="70"/>
      <c r="AA426" s="71"/>
      <c r="AB426" s="70"/>
      <c r="AC426" s="70"/>
      <c r="AD426" s="64"/>
      <c r="AE426" s="70"/>
      <c r="AF426" s="70"/>
      <c r="AG426" s="70"/>
      <c r="AH426" s="70"/>
    </row>
    <row r="427" spans="4:34" x14ac:dyDescent="0.2">
      <c r="D427" s="53"/>
      <c r="E427" s="70"/>
      <c r="F427" s="70"/>
      <c r="G427" s="70"/>
      <c r="H427" s="70"/>
      <c r="I427" s="70"/>
      <c r="J427" s="70"/>
      <c r="K427" s="70"/>
      <c r="L427" s="70"/>
      <c r="M427" s="70"/>
      <c r="N427" s="70"/>
      <c r="O427" s="70"/>
      <c r="P427" s="70"/>
      <c r="Q427" s="70"/>
      <c r="R427" s="70"/>
      <c r="S427" s="70"/>
      <c r="T427" s="70"/>
      <c r="U427" s="64"/>
      <c r="V427" s="64"/>
      <c r="W427" s="70"/>
      <c r="X427" s="64"/>
      <c r="Y427" s="70"/>
      <c r="Z427" s="70"/>
      <c r="AA427" s="71"/>
      <c r="AB427" s="70"/>
      <c r="AC427" s="70"/>
      <c r="AD427" s="64"/>
      <c r="AE427" s="70"/>
      <c r="AF427" s="70"/>
      <c r="AG427" s="70"/>
      <c r="AH427" s="70"/>
    </row>
    <row r="428" spans="4:34" x14ac:dyDescent="0.2">
      <c r="D428" s="53"/>
      <c r="E428" s="70"/>
      <c r="F428" s="70"/>
      <c r="G428" s="70"/>
      <c r="H428" s="70"/>
      <c r="I428" s="70"/>
      <c r="J428" s="70"/>
      <c r="K428" s="70"/>
      <c r="L428" s="70"/>
      <c r="M428" s="70"/>
      <c r="N428" s="70"/>
      <c r="O428" s="70"/>
      <c r="P428" s="70"/>
      <c r="Q428" s="70"/>
      <c r="R428" s="70"/>
      <c r="S428" s="70"/>
      <c r="T428" s="70"/>
      <c r="U428" s="64"/>
      <c r="V428" s="64"/>
      <c r="W428" s="70"/>
      <c r="X428" s="64"/>
      <c r="Y428" s="70"/>
      <c r="Z428" s="70"/>
      <c r="AA428" s="71"/>
      <c r="AB428" s="70"/>
      <c r="AC428" s="70"/>
      <c r="AD428" s="64"/>
      <c r="AE428" s="70"/>
      <c r="AF428" s="70"/>
      <c r="AG428" s="70"/>
      <c r="AH428" s="70"/>
    </row>
    <row r="429" spans="4:34" x14ac:dyDescent="0.2">
      <c r="D429" s="53"/>
      <c r="E429" s="70"/>
      <c r="F429" s="70"/>
      <c r="G429" s="70"/>
      <c r="H429" s="70"/>
      <c r="I429" s="70"/>
      <c r="J429" s="70"/>
      <c r="K429" s="70"/>
      <c r="L429" s="70"/>
      <c r="M429" s="70"/>
      <c r="N429" s="70"/>
      <c r="O429" s="70"/>
      <c r="P429" s="70"/>
      <c r="Q429" s="70"/>
      <c r="R429" s="70"/>
      <c r="S429" s="70"/>
      <c r="T429" s="70"/>
      <c r="U429" s="64"/>
      <c r="V429" s="64"/>
      <c r="W429" s="70"/>
      <c r="X429" s="64"/>
      <c r="Y429" s="70"/>
      <c r="Z429" s="70"/>
      <c r="AA429" s="71"/>
      <c r="AB429" s="70"/>
      <c r="AC429" s="70"/>
      <c r="AD429" s="64"/>
      <c r="AE429" s="70"/>
      <c r="AF429" s="70"/>
      <c r="AG429" s="70"/>
      <c r="AH429" s="70"/>
    </row>
    <row r="430" spans="4:34" x14ac:dyDescent="0.2">
      <c r="D430" s="53"/>
      <c r="E430" s="70"/>
      <c r="F430" s="70"/>
      <c r="G430" s="70"/>
      <c r="H430" s="70"/>
      <c r="I430" s="70"/>
      <c r="J430" s="70"/>
      <c r="K430" s="70"/>
      <c r="L430" s="70"/>
      <c r="M430" s="70"/>
      <c r="N430" s="70"/>
      <c r="O430" s="70"/>
      <c r="P430" s="70"/>
      <c r="Q430" s="70"/>
      <c r="R430" s="70"/>
      <c r="S430" s="70"/>
      <c r="T430" s="70"/>
      <c r="U430" s="64"/>
      <c r="V430" s="64"/>
      <c r="W430" s="70"/>
      <c r="X430" s="64"/>
      <c r="Y430" s="70"/>
      <c r="Z430" s="70"/>
      <c r="AA430" s="71"/>
      <c r="AB430" s="70"/>
      <c r="AC430" s="70"/>
      <c r="AD430" s="64"/>
      <c r="AE430" s="70"/>
      <c r="AF430" s="70"/>
      <c r="AG430" s="70"/>
      <c r="AH430" s="70"/>
    </row>
    <row r="431" spans="4:34" x14ac:dyDescent="0.2">
      <c r="D431" s="53"/>
      <c r="E431" s="70"/>
      <c r="F431" s="70"/>
      <c r="G431" s="70"/>
      <c r="H431" s="70"/>
      <c r="I431" s="70"/>
      <c r="J431" s="70"/>
      <c r="K431" s="70"/>
      <c r="L431" s="70"/>
      <c r="M431" s="70"/>
      <c r="N431" s="70"/>
      <c r="O431" s="70"/>
      <c r="P431" s="70"/>
      <c r="Q431" s="70"/>
      <c r="R431" s="70"/>
      <c r="S431" s="70"/>
      <c r="T431" s="70"/>
      <c r="U431" s="64"/>
      <c r="V431" s="64"/>
      <c r="W431" s="70"/>
      <c r="X431" s="64"/>
      <c r="Y431" s="70"/>
      <c r="Z431" s="70"/>
      <c r="AA431" s="71"/>
      <c r="AB431" s="70"/>
      <c r="AC431" s="70"/>
      <c r="AD431" s="64"/>
      <c r="AE431" s="70"/>
      <c r="AF431" s="70"/>
      <c r="AG431" s="70"/>
      <c r="AH431" s="70"/>
    </row>
    <row r="432" spans="4:34" x14ac:dyDescent="0.2">
      <c r="D432" s="53"/>
      <c r="E432" s="70"/>
      <c r="F432" s="70"/>
      <c r="G432" s="70"/>
      <c r="H432" s="70"/>
      <c r="I432" s="70"/>
      <c r="J432" s="70"/>
      <c r="K432" s="70"/>
      <c r="L432" s="70"/>
      <c r="M432" s="70"/>
      <c r="N432" s="70"/>
      <c r="O432" s="70"/>
      <c r="P432" s="70"/>
      <c r="Q432" s="70"/>
      <c r="R432" s="70"/>
      <c r="S432" s="70"/>
      <c r="T432" s="70"/>
      <c r="U432" s="64"/>
      <c r="V432" s="64"/>
      <c r="W432" s="70"/>
      <c r="X432" s="64"/>
      <c r="Y432" s="70"/>
      <c r="Z432" s="70"/>
      <c r="AA432" s="71"/>
      <c r="AB432" s="70"/>
      <c r="AC432" s="70"/>
      <c r="AD432" s="64"/>
      <c r="AE432" s="70"/>
      <c r="AF432" s="70"/>
      <c r="AG432" s="70"/>
      <c r="AH432" s="70"/>
    </row>
    <row r="433" spans="4:34" x14ac:dyDescent="0.2">
      <c r="D433" s="53"/>
      <c r="E433" s="70"/>
      <c r="F433" s="70"/>
      <c r="G433" s="70"/>
      <c r="H433" s="70"/>
      <c r="I433" s="70"/>
      <c r="J433" s="70"/>
      <c r="K433" s="70"/>
      <c r="L433" s="70"/>
      <c r="M433" s="70"/>
      <c r="N433" s="70"/>
      <c r="O433" s="70"/>
      <c r="P433" s="70"/>
      <c r="Q433" s="70"/>
      <c r="R433" s="70"/>
      <c r="S433" s="70"/>
      <c r="T433" s="70"/>
      <c r="U433" s="64"/>
      <c r="V433" s="64"/>
      <c r="W433" s="70"/>
      <c r="X433" s="64"/>
      <c r="Y433" s="70"/>
      <c r="Z433" s="70"/>
      <c r="AA433" s="71"/>
      <c r="AB433" s="70"/>
      <c r="AC433" s="70"/>
      <c r="AD433" s="64"/>
      <c r="AE433" s="70"/>
      <c r="AF433" s="70"/>
      <c r="AG433" s="70"/>
      <c r="AH433" s="70"/>
    </row>
    <row r="434" spans="4:34" x14ac:dyDescent="0.2">
      <c r="D434" s="53"/>
      <c r="E434" s="70"/>
      <c r="F434" s="70"/>
      <c r="G434" s="70"/>
      <c r="H434" s="70"/>
      <c r="I434" s="70"/>
      <c r="J434" s="70"/>
      <c r="K434" s="70"/>
      <c r="L434" s="70"/>
      <c r="M434" s="70"/>
      <c r="N434" s="70"/>
      <c r="O434" s="70"/>
      <c r="P434" s="70"/>
      <c r="Q434" s="70"/>
      <c r="R434" s="70"/>
      <c r="S434" s="70"/>
      <c r="T434" s="70"/>
      <c r="U434" s="64"/>
      <c r="V434" s="64"/>
      <c r="W434" s="70"/>
      <c r="X434" s="64"/>
      <c r="Y434" s="70"/>
      <c r="Z434" s="70"/>
      <c r="AA434" s="71"/>
      <c r="AB434" s="70"/>
      <c r="AC434" s="70"/>
      <c r="AD434" s="64"/>
      <c r="AE434" s="70"/>
      <c r="AF434" s="70"/>
      <c r="AG434" s="70"/>
      <c r="AH434" s="70"/>
    </row>
    <row r="435" spans="4:34" x14ac:dyDescent="0.2">
      <c r="D435" s="53"/>
      <c r="E435" s="70"/>
      <c r="F435" s="70"/>
      <c r="G435" s="70"/>
      <c r="H435" s="70"/>
      <c r="I435" s="70"/>
      <c r="J435" s="70"/>
      <c r="K435" s="70"/>
      <c r="L435" s="70"/>
      <c r="M435" s="70"/>
      <c r="N435" s="70"/>
      <c r="O435" s="70"/>
      <c r="P435" s="70"/>
      <c r="Q435" s="70"/>
      <c r="R435" s="70"/>
      <c r="S435" s="70"/>
      <c r="T435" s="70"/>
      <c r="U435" s="64"/>
      <c r="V435" s="64"/>
      <c r="W435" s="70"/>
      <c r="X435" s="64"/>
      <c r="Y435" s="70"/>
      <c r="Z435" s="70"/>
      <c r="AA435" s="71"/>
      <c r="AB435" s="70"/>
      <c r="AC435" s="70"/>
      <c r="AD435" s="64"/>
      <c r="AE435" s="70"/>
      <c r="AF435" s="70"/>
      <c r="AG435" s="70"/>
      <c r="AH435" s="70"/>
    </row>
    <row r="436" spans="4:34" x14ac:dyDescent="0.2">
      <c r="D436" s="53"/>
      <c r="E436" s="70"/>
      <c r="F436" s="70"/>
      <c r="G436" s="70"/>
      <c r="H436" s="70"/>
      <c r="I436" s="70"/>
      <c r="J436" s="70"/>
      <c r="K436" s="70"/>
      <c r="L436" s="70"/>
      <c r="M436" s="70"/>
      <c r="N436" s="70"/>
      <c r="O436" s="70"/>
      <c r="P436" s="70"/>
      <c r="Q436" s="70"/>
      <c r="R436" s="70"/>
      <c r="S436" s="70"/>
      <c r="T436" s="70"/>
      <c r="U436" s="64"/>
      <c r="V436" s="64"/>
      <c r="W436" s="70"/>
      <c r="X436" s="64"/>
      <c r="Y436" s="70"/>
      <c r="Z436" s="70"/>
      <c r="AA436" s="71"/>
      <c r="AB436" s="70"/>
      <c r="AC436" s="70"/>
      <c r="AD436" s="64"/>
      <c r="AE436" s="70"/>
      <c r="AF436" s="70"/>
      <c r="AG436" s="70"/>
      <c r="AH436" s="70"/>
    </row>
    <row r="437" spans="4:34" x14ac:dyDescent="0.2">
      <c r="D437" s="53"/>
      <c r="E437" s="70"/>
      <c r="F437" s="70"/>
      <c r="G437" s="70"/>
      <c r="H437" s="70"/>
      <c r="I437" s="70"/>
      <c r="J437" s="70"/>
      <c r="K437" s="70"/>
      <c r="L437" s="70"/>
      <c r="M437" s="70"/>
      <c r="N437" s="70"/>
      <c r="O437" s="70"/>
      <c r="P437" s="70"/>
      <c r="Q437" s="70"/>
      <c r="R437" s="70"/>
      <c r="S437" s="70"/>
      <c r="T437" s="70"/>
      <c r="U437" s="64"/>
      <c r="V437" s="64"/>
      <c r="W437" s="70"/>
      <c r="X437" s="64"/>
      <c r="Y437" s="70"/>
      <c r="Z437" s="70"/>
      <c r="AA437" s="71"/>
      <c r="AB437" s="70"/>
      <c r="AC437" s="70"/>
      <c r="AD437" s="64"/>
      <c r="AE437" s="70"/>
      <c r="AF437" s="70"/>
      <c r="AG437" s="70"/>
      <c r="AH437" s="70"/>
    </row>
    <row r="438" spans="4:34" x14ac:dyDescent="0.2">
      <c r="D438" s="53"/>
      <c r="E438" s="70"/>
      <c r="F438" s="70"/>
      <c r="G438" s="70"/>
      <c r="H438" s="70"/>
      <c r="I438" s="70"/>
      <c r="J438" s="70"/>
      <c r="K438" s="70"/>
      <c r="L438" s="70"/>
      <c r="M438" s="70"/>
      <c r="N438" s="70"/>
      <c r="O438" s="70"/>
      <c r="P438" s="70"/>
      <c r="Q438" s="70"/>
      <c r="R438" s="70"/>
      <c r="S438" s="70"/>
      <c r="T438" s="70"/>
      <c r="U438" s="64"/>
      <c r="V438" s="64"/>
      <c r="W438" s="70"/>
      <c r="X438" s="64"/>
      <c r="Y438" s="70"/>
      <c r="Z438" s="70"/>
      <c r="AA438" s="71"/>
      <c r="AB438" s="70"/>
      <c r="AC438" s="70"/>
      <c r="AD438" s="64"/>
      <c r="AE438" s="70"/>
      <c r="AF438" s="70"/>
      <c r="AG438" s="70"/>
      <c r="AH438" s="70"/>
    </row>
    <row r="439" spans="4:34" x14ac:dyDescent="0.2">
      <c r="D439" s="53"/>
      <c r="E439" s="70"/>
      <c r="F439" s="70"/>
      <c r="G439" s="70"/>
      <c r="H439" s="70"/>
      <c r="I439" s="70"/>
      <c r="J439" s="70"/>
      <c r="K439" s="70"/>
      <c r="L439" s="70"/>
      <c r="M439" s="70"/>
      <c r="N439" s="70"/>
      <c r="O439" s="70"/>
      <c r="P439" s="70"/>
      <c r="Q439" s="70"/>
      <c r="R439" s="70"/>
      <c r="S439" s="70"/>
      <c r="T439" s="70"/>
      <c r="U439" s="64"/>
      <c r="V439" s="64"/>
      <c r="W439" s="70"/>
      <c r="X439" s="64"/>
      <c r="Y439" s="70"/>
      <c r="Z439" s="70"/>
      <c r="AA439" s="71"/>
      <c r="AB439" s="70"/>
      <c r="AC439" s="70"/>
      <c r="AD439" s="64"/>
      <c r="AE439" s="70"/>
      <c r="AF439" s="70"/>
      <c r="AG439" s="70"/>
      <c r="AH439" s="70"/>
    </row>
    <row r="440" spans="4:34" x14ac:dyDescent="0.2">
      <c r="D440" s="53"/>
      <c r="E440" s="70"/>
      <c r="F440" s="70"/>
      <c r="G440" s="70"/>
      <c r="H440" s="70"/>
      <c r="I440" s="70"/>
      <c r="J440" s="70"/>
      <c r="K440" s="70"/>
      <c r="L440" s="70"/>
      <c r="M440" s="70"/>
      <c r="N440" s="70"/>
      <c r="O440" s="70"/>
      <c r="P440" s="70"/>
      <c r="Q440" s="70"/>
      <c r="R440" s="70"/>
      <c r="S440" s="70"/>
      <c r="T440" s="70"/>
      <c r="U440" s="64"/>
      <c r="V440" s="64"/>
      <c r="W440" s="70"/>
      <c r="X440" s="64"/>
      <c r="Y440" s="70"/>
      <c r="Z440" s="70"/>
      <c r="AA440" s="71"/>
      <c r="AB440" s="70"/>
      <c r="AC440" s="70"/>
      <c r="AD440" s="64"/>
      <c r="AE440" s="70"/>
      <c r="AF440" s="70"/>
      <c r="AG440" s="70"/>
      <c r="AH440" s="70"/>
    </row>
    <row r="441" spans="4:34" x14ac:dyDescent="0.2">
      <c r="D441" s="53"/>
      <c r="E441" s="70"/>
      <c r="F441" s="70"/>
      <c r="G441" s="70"/>
      <c r="H441" s="70"/>
      <c r="I441" s="70"/>
      <c r="J441" s="70"/>
      <c r="K441" s="70"/>
      <c r="L441" s="70"/>
      <c r="M441" s="70"/>
      <c r="N441" s="70"/>
      <c r="O441" s="70"/>
      <c r="P441" s="70"/>
      <c r="Q441" s="70"/>
      <c r="R441" s="70"/>
      <c r="S441" s="70"/>
      <c r="T441" s="70"/>
      <c r="U441" s="64"/>
      <c r="V441" s="64"/>
      <c r="W441" s="70"/>
      <c r="X441" s="64"/>
      <c r="Y441" s="70"/>
      <c r="Z441" s="70"/>
      <c r="AA441" s="71"/>
      <c r="AB441" s="70"/>
      <c r="AC441" s="70"/>
      <c r="AD441" s="64"/>
      <c r="AE441" s="70"/>
      <c r="AF441" s="70"/>
      <c r="AG441" s="70"/>
      <c r="AH441" s="70"/>
    </row>
    <row r="442" spans="4:34" x14ac:dyDescent="0.2">
      <c r="D442" s="53"/>
      <c r="E442" s="70"/>
      <c r="F442" s="70"/>
      <c r="G442" s="70"/>
      <c r="H442" s="70"/>
      <c r="I442" s="70"/>
      <c r="J442" s="70"/>
      <c r="K442" s="70"/>
      <c r="L442" s="70"/>
      <c r="M442" s="70"/>
      <c r="N442" s="70"/>
      <c r="O442" s="70"/>
      <c r="P442" s="70"/>
      <c r="Q442" s="70"/>
      <c r="R442" s="70"/>
      <c r="S442" s="70"/>
      <c r="T442" s="70"/>
      <c r="U442" s="64"/>
      <c r="V442" s="64"/>
      <c r="W442" s="70"/>
      <c r="X442" s="64"/>
      <c r="Y442" s="70"/>
      <c r="Z442" s="70"/>
      <c r="AA442" s="71"/>
      <c r="AB442" s="70"/>
      <c r="AC442" s="70"/>
      <c r="AD442" s="64"/>
      <c r="AE442" s="70"/>
      <c r="AF442" s="70"/>
      <c r="AG442" s="70"/>
      <c r="AH442" s="70"/>
    </row>
    <row r="443" spans="4:34" x14ac:dyDescent="0.2">
      <c r="D443" s="53"/>
      <c r="E443" s="70"/>
      <c r="F443" s="70"/>
      <c r="G443" s="70"/>
      <c r="H443" s="70"/>
      <c r="I443" s="70"/>
      <c r="J443" s="70"/>
      <c r="K443" s="70"/>
      <c r="L443" s="70"/>
      <c r="M443" s="70"/>
      <c r="N443" s="70"/>
      <c r="O443" s="70"/>
      <c r="P443" s="70"/>
      <c r="Q443" s="70"/>
      <c r="R443" s="70"/>
      <c r="S443" s="70"/>
      <c r="T443" s="70"/>
      <c r="U443" s="64"/>
      <c r="V443" s="64"/>
      <c r="W443" s="70"/>
      <c r="X443" s="64"/>
      <c r="Y443" s="70"/>
      <c r="Z443" s="70"/>
      <c r="AA443" s="71"/>
      <c r="AB443" s="70"/>
      <c r="AC443" s="70"/>
      <c r="AD443" s="64"/>
      <c r="AE443" s="70"/>
      <c r="AF443" s="70"/>
      <c r="AG443" s="70"/>
      <c r="AH443" s="70"/>
    </row>
    <row r="444" spans="4:34" x14ac:dyDescent="0.2">
      <c r="D444" s="53"/>
      <c r="E444" s="70"/>
      <c r="F444" s="70"/>
      <c r="G444" s="70"/>
      <c r="H444" s="70"/>
      <c r="I444" s="70"/>
      <c r="J444" s="70"/>
      <c r="K444" s="70"/>
      <c r="L444" s="70"/>
      <c r="M444" s="70"/>
      <c r="N444" s="70"/>
      <c r="O444" s="70"/>
      <c r="P444" s="70"/>
      <c r="Q444" s="70"/>
      <c r="R444" s="70"/>
      <c r="S444" s="70"/>
      <c r="T444" s="70"/>
      <c r="U444" s="64"/>
      <c r="V444" s="64"/>
      <c r="W444" s="70"/>
      <c r="X444" s="64"/>
      <c r="Y444" s="70"/>
      <c r="Z444" s="70"/>
      <c r="AA444" s="71"/>
      <c r="AB444" s="70"/>
      <c r="AC444" s="70"/>
      <c r="AD444" s="64"/>
      <c r="AE444" s="70"/>
      <c r="AF444" s="70"/>
      <c r="AG444" s="70"/>
      <c r="AH444" s="70"/>
    </row>
    <row r="445" spans="4:34" x14ac:dyDescent="0.2">
      <c r="D445" s="53"/>
      <c r="E445" s="70"/>
      <c r="F445" s="70"/>
      <c r="G445" s="70"/>
      <c r="H445" s="70"/>
      <c r="I445" s="70"/>
      <c r="J445" s="70"/>
      <c r="K445" s="70"/>
      <c r="L445" s="70"/>
      <c r="M445" s="70"/>
      <c r="N445" s="70"/>
      <c r="O445" s="70"/>
      <c r="P445" s="70"/>
      <c r="Q445" s="70"/>
      <c r="R445" s="70"/>
      <c r="S445" s="70"/>
      <c r="T445" s="70"/>
      <c r="U445" s="64"/>
      <c r="V445" s="64"/>
      <c r="W445" s="70"/>
      <c r="X445" s="64"/>
      <c r="Y445" s="70"/>
      <c r="Z445" s="70"/>
      <c r="AA445" s="71"/>
      <c r="AB445" s="70"/>
      <c r="AC445" s="70"/>
      <c r="AD445" s="64"/>
      <c r="AE445" s="70"/>
      <c r="AF445" s="70"/>
      <c r="AG445" s="70"/>
      <c r="AH445" s="70"/>
    </row>
    <row r="446" spans="4:34" x14ac:dyDescent="0.2">
      <c r="D446" s="53"/>
      <c r="E446" s="70"/>
      <c r="F446" s="70"/>
      <c r="G446" s="70"/>
      <c r="H446" s="70"/>
      <c r="I446" s="70"/>
      <c r="J446" s="70"/>
      <c r="K446" s="70"/>
      <c r="L446" s="70"/>
      <c r="M446" s="70"/>
      <c r="N446" s="70"/>
      <c r="O446" s="70"/>
      <c r="P446" s="70"/>
      <c r="Q446" s="70"/>
      <c r="R446" s="70"/>
      <c r="S446" s="70"/>
      <c r="T446" s="70"/>
      <c r="U446" s="64"/>
      <c r="V446" s="64"/>
      <c r="W446" s="70"/>
      <c r="X446" s="64"/>
      <c r="Y446" s="70"/>
      <c r="Z446" s="70"/>
      <c r="AA446" s="71"/>
      <c r="AB446" s="70"/>
      <c r="AC446" s="70"/>
      <c r="AD446" s="64"/>
      <c r="AE446" s="70"/>
      <c r="AF446" s="70"/>
      <c r="AG446" s="70"/>
      <c r="AH446" s="70"/>
    </row>
    <row r="447" spans="4:34" x14ac:dyDescent="0.2">
      <c r="D447" s="53"/>
      <c r="E447" s="70"/>
      <c r="F447" s="70"/>
      <c r="G447" s="70"/>
      <c r="H447" s="70"/>
      <c r="I447" s="70"/>
      <c r="J447" s="70"/>
      <c r="K447" s="70"/>
      <c r="L447" s="70"/>
      <c r="M447" s="70"/>
      <c r="N447" s="70"/>
      <c r="O447" s="70"/>
      <c r="P447" s="70"/>
      <c r="Q447" s="70"/>
      <c r="R447" s="70"/>
      <c r="S447" s="70"/>
      <c r="T447" s="70"/>
      <c r="U447" s="64"/>
      <c r="V447" s="64"/>
      <c r="W447" s="70"/>
      <c r="X447" s="64"/>
      <c r="Y447" s="70"/>
      <c r="Z447" s="70"/>
      <c r="AA447" s="71"/>
      <c r="AB447" s="70"/>
      <c r="AC447" s="70"/>
      <c r="AD447" s="64"/>
      <c r="AE447" s="70"/>
      <c r="AF447" s="70"/>
      <c r="AG447" s="70"/>
      <c r="AH447" s="70"/>
    </row>
    <row r="448" spans="4:34" x14ac:dyDescent="0.2">
      <c r="D448" s="53"/>
      <c r="E448" s="70"/>
      <c r="F448" s="70"/>
      <c r="G448" s="70"/>
      <c r="H448" s="70"/>
      <c r="I448" s="70"/>
      <c r="J448" s="70"/>
      <c r="K448" s="70"/>
      <c r="L448" s="70"/>
      <c r="M448" s="70"/>
      <c r="N448" s="70"/>
      <c r="O448" s="70"/>
      <c r="P448" s="70"/>
      <c r="Q448" s="70"/>
      <c r="R448" s="70"/>
      <c r="S448" s="70"/>
      <c r="T448" s="70"/>
      <c r="U448" s="64"/>
      <c r="V448" s="64"/>
      <c r="W448" s="70"/>
      <c r="X448" s="64"/>
      <c r="Y448" s="70"/>
      <c r="Z448" s="70"/>
      <c r="AA448" s="71"/>
      <c r="AB448" s="70"/>
      <c r="AC448" s="70"/>
      <c r="AD448" s="64"/>
      <c r="AE448" s="70"/>
      <c r="AF448" s="70"/>
      <c r="AG448" s="70"/>
      <c r="AH448" s="70"/>
    </row>
    <row r="449" spans="4:34" x14ac:dyDescent="0.2">
      <c r="D449" s="53"/>
      <c r="E449" s="70"/>
      <c r="F449" s="70"/>
      <c r="G449" s="70"/>
      <c r="H449" s="70"/>
      <c r="I449" s="70"/>
      <c r="J449" s="70"/>
      <c r="K449" s="70"/>
      <c r="L449" s="70"/>
      <c r="M449" s="70"/>
      <c r="N449" s="70"/>
      <c r="O449" s="70"/>
      <c r="P449" s="70"/>
      <c r="Q449" s="70"/>
      <c r="R449" s="70"/>
      <c r="S449" s="70"/>
      <c r="T449" s="70"/>
      <c r="U449" s="64"/>
      <c r="V449" s="64"/>
      <c r="W449" s="70"/>
      <c r="X449" s="64"/>
      <c r="Y449" s="70"/>
      <c r="Z449" s="70"/>
      <c r="AA449" s="71"/>
      <c r="AB449" s="70"/>
      <c r="AC449" s="70"/>
      <c r="AD449" s="64"/>
      <c r="AE449" s="70"/>
      <c r="AF449" s="70"/>
      <c r="AG449" s="70"/>
      <c r="AH449" s="70"/>
    </row>
    <row r="450" spans="4:34" x14ac:dyDescent="0.2">
      <c r="D450" s="53"/>
      <c r="E450" s="70"/>
      <c r="F450" s="70"/>
      <c r="G450" s="70"/>
      <c r="H450" s="70"/>
      <c r="I450" s="70"/>
      <c r="J450" s="70"/>
      <c r="K450" s="70"/>
      <c r="L450" s="70"/>
      <c r="M450" s="70"/>
      <c r="N450" s="70"/>
      <c r="O450" s="70"/>
      <c r="P450" s="70"/>
      <c r="Q450" s="70"/>
      <c r="R450" s="70"/>
      <c r="S450" s="70"/>
      <c r="T450" s="70"/>
      <c r="U450" s="64"/>
      <c r="V450" s="64"/>
      <c r="W450" s="70"/>
      <c r="X450" s="64"/>
      <c r="Y450" s="70"/>
      <c r="Z450" s="70"/>
      <c r="AA450" s="71"/>
      <c r="AB450" s="70"/>
      <c r="AC450" s="70"/>
      <c r="AD450" s="64"/>
      <c r="AE450" s="70"/>
      <c r="AF450" s="70"/>
      <c r="AG450" s="70"/>
      <c r="AH450" s="70"/>
    </row>
    <row r="451" spans="4:34" x14ac:dyDescent="0.2">
      <c r="D451" s="53"/>
      <c r="E451" s="70"/>
      <c r="F451" s="70"/>
      <c r="G451" s="70"/>
      <c r="H451" s="70"/>
      <c r="I451" s="70"/>
      <c r="J451" s="70"/>
      <c r="K451" s="70"/>
      <c r="L451" s="70"/>
      <c r="M451" s="70"/>
      <c r="N451" s="70"/>
      <c r="O451" s="70"/>
      <c r="P451" s="70"/>
      <c r="Q451" s="70"/>
      <c r="R451" s="70"/>
      <c r="S451" s="70"/>
      <c r="T451" s="70"/>
      <c r="U451" s="64"/>
      <c r="V451" s="64"/>
      <c r="W451" s="70"/>
      <c r="X451" s="64"/>
      <c r="Y451" s="70"/>
      <c r="Z451" s="70"/>
      <c r="AA451" s="71"/>
      <c r="AB451" s="70"/>
      <c r="AC451" s="70"/>
      <c r="AD451" s="64"/>
      <c r="AE451" s="70"/>
      <c r="AF451" s="70"/>
      <c r="AG451" s="70"/>
      <c r="AH451" s="70"/>
    </row>
    <row r="452" spans="4:34" x14ac:dyDescent="0.2">
      <c r="D452" s="53"/>
      <c r="E452" s="70"/>
      <c r="F452" s="70"/>
      <c r="G452" s="70"/>
      <c r="H452" s="70"/>
      <c r="I452" s="70"/>
      <c r="J452" s="70"/>
      <c r="K452" s="70"/>
      <c r="L452" s="70"/>
      <c r="M452" s="70"/>
      <c r="N452" s="70"/>
      <c r="O452" s="70"/>
      <c r="P452" s="70"/>
      <c r="Q452" s="70"/>
      <c r="R452" s="70"/>
      <c r="S452" s="70"/>
      <c r="T452" s="70"/>
      <c r="U452" s="64"/>
      <c r="V452" s="64"/>
      <c r="W452" s="70"/>
      <c r="X452" s="64"/>
      <c r="Y452" s="70"/>
      <c r="Z452" s="70"/>
      <c r="AA452" s="71"/>
      <c r="AB452" s="70"/>
      <c r="AC452" s="70"/>
      <c r="AD452" s="64"/>
      <c r="AE452" s="70"/>
      <c r="AF452" s="70"/>
      <c r="AG452" s="70"/>
      <c r="AH452" s="70"/>
    </row>
    <row r="453" spans="4:34" x14ac:dyDescent="0.2">
      <c r="D453" s="53"/>
      <c r="E453" s="70"/>
      <c r="F453" s="70"/>
      <c r="G453" s="70"/>
      <c r="H453" s="70"/>
      <c r="I453" s="70"/>
      <c r="J453" s="70"/>
      <c r="K453" s="70"/>
      <c r="L453" s="70"/>
      <c r="M453" s="70"/>
      <c r="N453" s="70"/>
      <c r="O453" s="70"/>
      <c r="P453" s="70"/>
      <c r="Q453" s="70"/>
      <c r="R453" s="70"/>
      <c r="S453" s="70"/>
      <c r="T453" s="70"/>
      <c r="U453" s="64"/>
      <c r="V453" s="64"/>
      <c r="W453" s="70"/>
      <c r="X453" s="64"/>
      <c r="Y453" s="70"/>
      <c r="Z453" s="70"/>
      <c r="AA453" s="71"/>
      <c r="AB453" s="70"/>
      <c r="AC453" s="70"/>
      <c r="AD453" s="64"/>
      <c r="AE453" s="70"/>
      <c r="AF453" s="70"/>
      <c r="AG453" s="70"/>
      <c r="AH453" s="70"/>
    </row>
    <row r="454" spans="4:34" x14ac:dyDescent="0.2">
      <c r="D454" s="53"/>
      <c r="E454" s="70"/>
      <c r="F454" s="70"/>
      <c r="G454" s="70"/>
      <c r="H454" s="70"/>
      <c r="I454" s="70"/>
      <c r="J454" s="70"/>
      <c r="K454" s="70"/>
      <c r="L454" s="70"/>
      <c r="M454" s="70"/>
      <c r="N454" s="70"/>
      <c r="O454" s="70"/>
      <c r="P454" s="70"/>
      <c r="Q454" s="70"/>
      <c r="R454" s="70"/>
      <c r="S454" s="70"/>
      <c r="T454" s="70"/>
      <c r="U454" s="64"/>
      <c r="V454" s="64"/>
      <c r="W454" s="70"/>
      <c r="X454" s="64"/>
      <c r="Y454" s="70"/>
      <c r="Z454" s="70"/>
      <c r="AA454" s="71"/>
      <c r="AB454" s="70"/>
      <c r="AC454" s="70"/>
      <c r="AD454" s="64"/>
      <c r="AE454" s="70"/>
      <c r="AF454" s="70"/>
      <c r="AG454" s="70"/>
      <c r="AH454" s="70"/>
    </row>
    <row r="455" spans="4:34" x14ac:dyDescent="0.2">
      <c r="D455" s="53"/>
      <c r="E455" s="70"/>
      <c r="F455" s="70"/>
      <c r="G455" s="70"/>
      <c r="H455" s="70"/>
      <c r="I455" s="70"/>
      <c r="J455" s="70"/>
      <c r="K455" s="70"/>
      <c r="L455" s="70"/>
      <c r="M455" s="70"/>
      <c r="N455" s="70"/>
      <c r="O455" s="70"/>
      <c r="P455" s="70"/>
      <c r="Q455" s="70"/>
      <c r="R455" s="70"/>
      <c r="S455" s="70"/>
      <c r="T455" s="70"/>
      <c r="U455" s="64"/>
      <c r="V455" s="64"/>
      <c r="W455" s="70"/>
      <c r="X455" s="64"/>
      <c r="Y455" s="70"/>
      <c r="Z455" s="70"/>
      <c r="AA455" s="71"/>
      <c r="AB455" s="70"/>
      <c r="AC455" s="70"/>
      <c r="AD455" s="64"/>
      <c r="AE455" s="70"/>
      <c r="AF455" s="70"/>
      <c r="AG455" s="70"/>
      <c r="AH455" s="70"/>
    </row>
    <row r="456" spans="4:34" x14ac:dyDescent="0.2">
      <c r="D456" s="53"/>
      <c r="E456" s="70"/>
      <c r="F456" s="70"/>
      <c r="G456" s="70"/>
      <c r="H456" s="70"/>
      <c r="I456" s="70"/>
      <c r="J456" s="70"/>
      <c r="K456" s="70"/>
      <c r="L456" s="70"/>
      <c r="M456" s="70"/>
      <c r="N456" s="70"/>
      <c r="O456" s="70"/>
      <c r="P456" s="70"/>
      <c r="Q456" s="70"/>
      <c r="R456" s="70"/>
      <c r="S456" s="70"/>
      <c r="T456" s="70"/>
      <c r="U456" s="64"/>
      <c r="V456" s="64"/>
      <c r="W456" s="70"/>
      <c r="X456" s="64"/>
      <c r="Y456" s="70"/>
      <c r="Z456" s="70"/>
      <c r="AA456" s="71"/>
      <c r="AB456" s="70"/>
      <c r="AC456" s="70"/>
      <c r="AD456" s="64"/>
      <c r="AE456" s="70"/>
      <c r="AF456" s="70"/>
      <c r="AG456" s="70"/>
      <c r="AH456" s="70"/>
    </row>
    <row r="457" spans="4:34" x14ac:dyDescent="0.2">
      <c r="D457" s="53"/>
      <c r="E457" s="70"/>
      <c r="F457" s="70"/>
      <c r="G457" s="70"/>
      <c r="H457" s="70"/>
      <c r="I457" s="70"/>
      <c r="J457" s="70"/>
      <c r="K457" s="70"/>
      <c r="L457" s="70"/>
      <c r="M457" s="70"/>
      <c r="N457" s="70"/>
      <c r="O457" s="70"/>
      <c r="P457" s="70"/>
      <c r="Q457" s="70"/>
      <c r="R457" s="70"/>
      <c r="S457" s="70"/>
      <c r="T457" s="70"/>
      <c r="U457" s="64"/>
      <c r="V457" s="64"/>
      <c r="W457" s="70"/>
      <c r="X457" s="64"/>
      <c r="Y457" s="70"/>
      <c r="Z457" s="70"/>
      <c r="AA457" s="71"/>
      <c r="AB457" s="70"/>
      <c r="AC457" s="70"/>
      <c r="AD457" s="64"/>
      <c r="AE457" s="70"/>
      <c r="AF457" s="70"/>
      <c r="AG457" s="70"/>
      <c r="AH457" s="70"/>
    </row>
    <row r="458" spans="4:34" x14ac:dyDescent="0.2">
      <c r="D458" s="53"/>
      <c r="E458" s="70"/>
      <c r="F458" s="70"/>
      <c r="G458" s="70"/>
      <c r="H458" s="70"/>
      <c r="I458" s="70"/>
      <c r="J458" s="70"/>
      <c r="K458" s="70"/>
      <c r="L458" s="70"/>
      <c r="M458" s="70"/>
      <c r="N458" s="70"/>
      <c r="O458" s="70"/>
      <c r="P458" s="70"/>
      <c r="Q458" s="70"/>
      <c r="R458" s="70"/>
      <c r="S458" s="70"/>
      <c r="T458" s="70"/>
      <c r="U458" s="64"/>
      <c r="V458" s="64"/>
      <c r="W458" s="70"/>
      <c r="X458" s="64"/>
      <c r="Y458" s="70"/>
      <c r="Z458" s="70"/>
      <c r="AA458" s="71"/>
      <c r="AB458" s="70"/>
      <c r="AC458" s="70"/>
      <c r="AD458" s="64"/>
      <c r="AE458" s="70"/>
      <c r="AF458" s="70"/>
      <c r="AG458" s="70"/>
      <c r="AH458" s="70"/>
    </row>
    <row r="459" spans="4:34" x14ac:dyDescent="0.2">
      <c r="D459" s="53"/>
      <c r="E459" s="70"/>
      <c r="F459" s="70"/>
      <c r="G459" s="70"/>
      <c r="H459" s="70"/>
      <c r="I459" s="70"/>
      <c r="J459" s="70"/>
      <c r="K459" s="70"/>
      <c r="L459" s="70"/>
      <c r="M459" s="70"/>
      <c r="N459" s="70"/>
      <c r="O459" s="70"/>
      <c r="P459" s="70"/>
      <c r="Q459" s="70"/>
      <c r="R459" s="70"/>
      <c r="S459" s="70"/>
      <c r="T459" s="70"/>
      <c r="U459" s="64"/>
      <c r="V459" s="64"/>
      <c r="W459" s="70"/>
      <c r="X459" s="64"/>
      <c r="Y459" s="70"/>
      <c r="Z459" s="70"/>
      <c r="AA459" s="71"/>
      <c r="AB459" s="70"/>
      <c r="AC459" s="70"/>
      <c r="AD459" s="64"/>
      <c r="AE459" s="70"/>
      <c r="AF459" s="70"/>
      <c r="AG459" s="70"/>
      <c r="AH459" s="70"/>
    </row>
    <row r="460" spans="4:34" x14ac:dyDescent="0.2">
      <c r="D460" s="53"/>
      <c r="E460" s="70"/>
      <c r="F460" s="70"/>
      <c r="G460" s="70"/>
      <c r="H460" s="70"/>
      <c r="I460" s="70"/>
      <c r="J460" s="70"/>
      <c r="K460" s="70"/>
      <c r="L460" s="70"/>
      <c r="M460" s="70"/>
      <c r="N460" s="70"/>
      <c r="O460" s="70"/>
      <c r="P460" s="70"/>
      <c r="Q460" s="70"/>
      <c r="R460" s="70"/>
      <c r="S460" s="70"/>
      <c r="T460" s="70"/>
      <c r="U460" s="64"/>
      <c r="V460" s="64"/>
      <c r="W460" s="70"/>
      <c r="X460" s="64"/>
      <c r="Y460" s="70"/>
      <c r="Z460" s="70"/>
      <c r="AA460" s="71"/>
      <c r="AB460" s="70"/>
      <c r="AC460" s="70"/>
      <c r="AD460" s="64"/>
      <c r="AE460" s="70"/>
      <c r="AF460" s="70"/>
      <c r="AG460" s="70"/>
      <c r="AH460" s="70"/>
    </row>
    <row r="461" spans="4:34" x14ac:dyDescent="0.2">
      <c r="D461" s="53"/>
      <c r="E461" s="70"/>
      <c r="F461" s="70"/>
      <c r="G461" s="70"/>
      <c r="H461" s="70"/>
      <c r="I461" s="70"/>
      <c r="J461" s="70"/>
      <c r="K461" s="70"/>
      <c r="L461" s="70"/>
      <c r="M461" s="70"/>
      <c r="N461" s="70"/>
      <c r="O461" s="70"/>
      <c r="P461" s="70"/>
      <c r="Q461" s="70"/>
      <c r="R461" s="70"/>
      <c r="S461" s="70"/>
      <c r="T461" s="70"/>
      <c r="U461" s="64"/>
      <c r="V461" s="64"/>
      <c r="W461" s="70"/>
      <c r="X461" s="64"/>
      <c r="Y461" s="70"/>
      <c r="Z461" s="70"/>
      <c r="AA461" s="71"/>
      <c r="AB461" s="70"/>
      <c r="AC461" s="70"/>
      <c r="AD461" s="64"/>
      <c r="AE461" s="70"/>
      <c r="AF461" s="70"/>
      <c r="AG461" s="70"/>
      <c r="AH461" s="70"/>
    </row>
    <row r="462" spans="4:34" x14ac:dyDescent="0.2">
      <c r="D462" s="53"/>
      <c r="E462" s="70"/>
      <c r="F462" s="70"/>
      <c r="G462" s="70"/>
      <c r="H462" s="70"/>
      <c r="I462" s="70"/>
      <c r="J462" s="70"/>
      <c r="K462" s="70"/>
      <c r="L462" s="70"/>
      <c r="M462" s="70"/>
      <c r="N462" s="70"/>
      <c r="O462" s="70"/>
      <c r="P462" s="70"/>
      <c r="Q462" s="70"/>
      <c r="R462" s="70"/>
      <c r="S462" s="70"/>
      <c r="T462" s="70"/>
      <c r="U462" s="64"/>
      <c r="V462" s="64"/>
      <c r="W462" s="70"/>
      <c r="X462" s="64"/>
      <c r="Y462" s="70"/>
      <c r="Z462" s="70"/>
      <c r="AA462" s="71"/>
      <c r="AB462" s="70"/>
      <c r="AC462" s="70"/>
      <c r="AD462" s="64"/>
      <c r="AE462" s="70"/>
      <c r="AF462" s="70"/>
      <c r="AG462" s="70"/>
      <c r="AH462" s="70"/>
    </row>
    <row r="463" spans="4:34" x14ac:dyDescent="0.2">
      <c r="D463" s="53"/>
      <c r="E463" s="70"/>
      <c r="F463" s="70"/>
      <c r="G463" s="70"/>
      <c r="H463" s="70"/>
      <c r="I463" s="70"/>
      <c r="J463" s="70"/>
      <c r="K463" s="70"/>
      <c r="L463" s="70"/>
      <c r="M463" s="70"/>
      <c r="N463" s="70"/>
      <c r="O463" s="70"/>
      <c r="P463" s="70"/>
      <c r="Q463" s="70"/>
      <c r="R463" s="70"/>
      <c r="S463" s="70"/>
      <c r="T463" s="70"/>
      <c r="U463" s="64"/>
      <c r="V463" s="64"/>
      <c r="W463" s="70"/>
      <c r="X463" s="64"/>
      <c r="Y463" s="70"/>
      <c r="Z463" s="70"/>
      <c r="AA463" s="71"/>
      <c r="AB463" s="70"/>
      <c r="AC463" s="70"/>
      <c r="AD463" s="64"/>
      <c r="AE463" s="70"/>
      <c r="AF463" s="70"/>
      <c r="AG463" s="70"/>
      <c r="AH463" s="70"/>
    </row>
    <row r="464" spans="4:34" x14ac:dyDescent="0.2">
      <c r="D464" s="53"/>
      <c r="E464" s="70"/>
      <c r="F464" s="70"/>
      <c r="G464" s="70"/>
      <c r="H464" s="70"/>
      <c r="I464" s="70"/>
      <c r="J464" s="70"/>
      <c r="K464" s="70"/>
      <c r="L464" s="70"/>
      <c r="M464" s="70"/>
      <c r="N464" s="70"/>
      <c r="O464" s="70"/>
      <c r="P464" s="70"/>
      <c r="Q464" s="70"/>
      <c r="R464" s="70"/>
      <c r="S464" s="70"/>
      <c r="T464" s="70"/>
      <c r="U464" s="64"/>
      <c r="V464" s="64"/>
      <c r="W464" s="70"/>
      <c r="X464" s="64"/>
      <c r="Y464" s="70"/>
      <c r="Z464" s="70"/>
      <c r="AA464" s="71"/>
      <c r="AB464" s="70"/>
      <c r="AC464" s="70"/>
      <c r="AD464" s="64"/>
      <c r="AE464" s="70"/>
      <c r="AF464" s="70"/>
      <c r="AG464" s="70"/>
      <c r="AH464" s="70"/>
    </row>
    <row r="465" spans="4:34" x14ac:dyDescent="0.2">
      <c r="D465" s="53"/>
      <c r="E465" s="70"/>
      <c r="F465" s="70"/>
      <c r="G465" s="70"/>
      <c r="H465" s="70"/>
      <c r="I465" s="70"/>
      <c r="J465" s="70"/>
      <c r="K465" s="70"/>
      <c r="L465" s="70"/>
      <c r="M465" s="70"/>
      <c r="N465" s="70"/>
      <c r="O465" s="70"/>
      <c r="P465" s="70"/>
      <c r="Q465" s="70"/>
      <c r="R465" s="70"/>
      <c r="S465" s="70"/>
      <c r="T465" s="70"/>
      <c r="U465" s="64"/>
      <c r="V465" s="64"/>
      <c r="W465" s="70"/>
      <c r="X465" s="64"/>
      <c r="Y465" s="70"/>
      <c r="Z465" s="70"/>
      <c r="AA465" s="71"/>
      <c r="AB465" s="70"/>
      <c r="AC465" s="70"/>
      <c r="AD465" s="64"/>
      <c r="AE465" s="70"/>
      <c r="AF465" s="70"/>
      <c r="AG465" s="70"/>
      <c r="AH465" s="70"/>
    </row>
    <row r="466" spans="4:34" x14ac:dyDescent="0.2">
      <c r="D466" s="53"/>
      <c r="E466" s="70"/>
      <c r="F466" s="70"/>
      <c r="G466" s="70"/>
      <c r="H466" s="70"/>
      <c r="I466" s="70"/>
      <c r="J466" s="70"/>
      <c r="K466" s="70"/>
      <c r="L466" s="70"/>
      <c r="M466" s="70"/>
      <c r="N466" s="70"/>
      <c r="O466" s="70"/>
      <c r="P466" s="70"/>
      <c r="Q466" s="70"/>
      <c r="R466" s="70"/>
      <c r="S466" s="70"/>
      <c r="T466" s="70"/>
      <c r="U466" s="64"/>
      <c r="V466" s="64"/>
      <c r="W466" s="70"/>
      <c r="X466" s="64"/>
      <c r="Y466" s="70"/>
      <c r="Z466" s="70"/>
      <c r="AA466" s="71"/>
      <c r="AB466" s="70"/>
      <c r="AC466" s="70"/>
      <c r="AD466" s="64"/>
      <c r="AE466" s="70"/>
      <c r="AF466" s="70"/>
      <c r="AG466" s="70"/>
      <c r="AH466" s="70"/>
    </row>
    <row r="467" spans="4:34" x14ac:dyDescent="0.2">
      <c r="D467" s="53"/>
      <c r="E467" s="70"/>
      <c r="F467" s="70"/>
      <c r="G467" s="70"/>
      <c r="H467" s="70"/>
      <c r="I467" s="70"/>
      <c r="J467" s="70"/>
      <c r="K467" s="70"/>
      <c r="L467" s="70"/>
      <c r="M467" s="70"/>
      <c r="N467" s="70"/>
      <c r="O467" s="70"/>
      <c r="P467" s="70"/>
      <c r="Q467" s="70"/>
      <c r="R467" s="70"/>
      <c r="S467" s="70"/>
      <c r="T467" s="70"/>
      <c r="U467" s="64"/>
      <c r="V467" s="64"/>
      <c r="W467" s="70"/>
      <c r="X467" s="64"/>
      <c r="Y467" s="70"/>
      <c r="Z467" s="70"/>
      <c r="AA467" s="71"/>
      <c r="AB467" s="70"/>
      <c r="AC467" s="70"/>
      <c r="AD467" s="64"/>
      <c r="AE467" s="70"/>
      <c r="AF467" s="70"/>
      <c r="AG467" s="70"/>
      <c r="AH467" s="70"/>
    </row>
    <row r="468" spans="4:34" x14ac:dyDescent="0.2">
      <c r="D468" s="53"/>
      <c r="E468" s="70"/>
      <c r="F468" s="70"/>
      <c r="G468" s="70"/>
      <c r="H468" s="70"/>
      <c r="I468" s="70"/>
      <c r="J468" s="70"/>
      <c r="K468" s="70"/>
      <c r="L468" s="70"/>
      <c r="M468" s="70"/>
      <c r="N468" s="70"/>
      <c r="O468" s="70"/>
      <c r="P468" s="70"/>
      <c r="Q468" s="70"/>
      <c r="R468" s="70"/>
      <c r="S468" s="70"/>
      <c r="T468" s="70"/>
      <c r="U468" s="64"/>
      <c r="V468" s="64"/>
      <c r="W468" s="70"/>
      <c r="X468" s="64"/>
      <c r="Y468" s="70"/>
      <c r="Z468" s="70"/>
      <c r="AA468" s="71"/>
      <c r="AB468" s="70"/>
      <c r="AC468" s="70"/>
      <c r="AD468" s="64"/>
      <c r="AE468" s="70"/>
      <c r="AF468" s="70"/>
      <c r="AG468" s="70"/>
      <c r="AH468" s="70"/>
    </row>
    <row r="469" spans="4:34" x14ac:dyDescent="0.2">
      <c r="D469" s="53"/>
      <c r="E469" s="70"/>
      <c r="F469" s="70"/>
      <c r="G469" s="70"/>
      <c r="H469" s="70"/>
      <c r="I469" s="70"/>
      <c r="J469" s="70"/>
      <c r="K469" s="70"/>
      <c r="L469" s="70"/>
      <c r="M469" s="70"/>
      <c r="N469" s="70"/>
      <c r="O469" s="70"/>
      <c r="P469" s="70"/>
      <c r="Q469" s="70"/>
      <c r="R469" s="70"/>
      <c r="S469" s="70"/>
      <c r="T469" s="70"/>
      <c r="U469" s="64"/>
      <c r="V469" s="64"/>
      <c r="W469" s="70"/>
      <c r="X469" s="64"/>
      <c r="Y469" s="70"/>
      <c r="Z469" s="70"/>
      <c r="AA469" s="71"/>
      <c r="AB469" s="70"/>
      <c r="AC469" s="70"/>
      <c r="AD469" s="64"/>
      <c r="AE469" s="70"/>
      <c r="AF469" s="70"/>
      <c r="AG469" s="70"/>
      <c r="AH469" s="70"/>
    </row>
    <row r="470" spans="4:34" x14ac:dyDescent="0.2">
      <c r="D470" s="53"/>
      <c r="E470" s="70"/>
      <c r="F470" s="70"/>
      <c r="G470" s="70"/>
      <c r="H470" s="70"/>
      <c r="I470" s="70"/>
      <c r="J470" s="70"/>
      <c r="K470" s="70"/>
      <c r="L470" s="70"/>
      <c r="M470" s="70"/>
      <c r="N470" s="70"/>
      <c r="O470" s="70"/>
      <c r="P470" s="70"/>
      <c r="Q470" s="70"/>
      <c r="R470" s="70"/>
      <c r="S470" s="70"/>
      <c r="T470" s="70"/>
      <c r="U470" s="64"/>
      <c r="V470" s="64"/>
      <c r="W470" s="70"/>
      <c r="X470" s="64"/>
      <c r="Y470" s="70"/>
      <c r="Z470" s="70"/>
      <c r="AA470" s="71"/>
      <c r="AB470" s="70"/>
      <c r="AC470" s="70"/>
      <c r="AD470" s="64"/>
      <c r="AE470" s="70"/>
      <c r="AF470" s="70"/>
      <c r="AG470" s="70"/>
      <c r="AH470" s="70"/>
    </row>
    <row r="471" spans="4:34" x14ac:dyDescent="0.2">
      <c r="D471" s="53"/>
      <c r="E471" s="70"/>
      <c r="F471" s="70"/>
      <c r="G471" s="70"/>
      <c r="H471" s="70"/>
      <c r="I471" s="70"/>
      <c r="J471" s="70"/>
      <c r="K471" s="70"/>
      <c r="L471" s="70"/>
      <c r="M471" s="70"/>
      <c r="N471" s="70"/>
      <c r="O471" s="70"/>
      <c r="P471" s="70"/>
      <c r="Q471" s="70"/>
      <c r="R471" s="70"/>
      <c r="S471" s="70"/>
      <c r="T471" s="70"/>
      <c r="U471" s="64"/>
      <c r="V471" s="64"/>
      <c r="W471" s="70"/>
      <c r="X471" s="64"/>
      <c r="Y471" s="70"/>
      <c r="Z471" s="70"/>
      <c r="AA471" s="71"/>
      <c r="AB471" s="70"/>
      <c r="AC471" s="70"/>
      <c r="AD471" s="64"/>
      <c r="AE471" s="70"/>
      <c r="AF471" s="70"/>
      <c r="AG471" s="70"/>
      <c r="AH471" s="70"/>
    </row>
    <row r="472" spans="4:34" x14ac:dyDescent="0.2">
      <c r="D472" s="53"/>
      <c r="E472" s="70"/>
      <c r="F472" s="70"/>
      <c r="G472" s="70"/>
      <c r="H472" s="70"/>
      <c r="I472" s="70"/>
      <c r="J472" s="70"/>
      <c r="K472" s="70"/>
      <c r="L472" s="70"/>
      <c r="M472" s="70"/>
      <c r="N472" s="70"/>
      <c r="O472" s="70"/>
      <c r="P472" s="70"/>
      <c r="Q472" s="70"/>
      <c r="R472" s="70"/>
      <c r="S472" s="70"/>
      <c r="T472" s="70"/>
      <c r="U472" s="64"/>
      <c r="V472" s="64"/>
      <c r="W472" s="70"/>
      <c r="X472" s="64"/>
      <c r="Y472" s="70"/>
      <c r="Z472" s="70"/>
      <c r="AA472" s="71"/>
      <c r="AB472" s="70"/>
      <c r="AC472" s="70"/>
      <c r="AD472" s="64"/>
      <c r="AE472" s="70"/>
      <c r="AF472" s="70"/>
      <c r="AG472" s="70"/>
      <c r="AH472" s="70"/>
    </row>
    <row r="473" spans="4:34" x14ac:dyDescent="0.2">
      <c r="D473" s="53"/>
      <c r="E473" s="70"/>
      <c r="F473" s="70"/>
      <c r="G473" s="70"/>
      <c r="H473" s="70"/>
      <c r="I473" s="70"/>
      <c r="J473" s="70"/>
      <c r="K473" s="70"/>
      <c r="L473" s="70"/>
      <c r="M473" s="70"/>
      <c r="N473" s="70"/>
      <c r="O473" s="70"/>
      <c r="P473" s="70"/>
      <c r="Q473" s="70"/>
      <c r="R473" s="70"/>
      <c r="S473" s="70"/>
      <c r="T473" s="70"/>
      <c r="U473" s="64"/>
      <c r="V473" s="64"/>
      <c r="W473" s="70"/>
      <c r="X473" s="64"/>
      <c r="Y473" s="70"/>
      <c r="Z473" s="70"/>
      <c r="AA473" s="71"/>
      <c r="AB473" s="70"/>
      <c r="AC473" s="70"/>
      <c r="AD473" s="64"/>
      <c r="AE473" s="70"/>
      <c r="AF473" s="70"/>
      <c r="AG473" s="70"/>
      <c r="AH473" s="70"/>
    </row>
    <row r="474" spans="4:34" x14ac:dyDescent="0.2">
      <c r="D474" s="53"/>
      <c r="E474" s="70"/>
      <c r="F474" s="70"/>
      <c r="G474" s="70"/>
      <c r="H474" s="70"/>
      <c r="I474" s="70"/>
      <c r="J474" s="70"/>
      <c r="K474" s="70"/>
      <c r="L474" s="70"/>
      <c r="M474" s="70"/>
      <c r="N474" s="70"/>
      <c r="O474" s="70"/>
      <c r="P474" s="70"/>
      <c r="Q474" s="70"/>
      <c r="R474" s="70"/>
      <c r="S474" s="70"/>
      <c r="T474" s="70"/>
      <c r="U474" s="64"/>
      <c r="V474" s="64"/>
      <c r="W474" s="70"/>
      <c r="X474" s="64"/>
      <c r="Y474" s="70"/>
      <c r="Z474" s="70"/>
      <c r="AA474" s="71"/>
      <c r="AB474" s="70"/>
      <c r="AC474" s="70"/>
      <c r="AD474" s="64"/>
      <c r="AE474" s="70"/>
      <c r="AF474" s="70"/>
      <c r="AG474" s="70"/>
      <c r="AH474" s="70"/>
    </row>
    <row r="475" spans="4:34" x14ac:dyDescent="0.2">
      <c r="D475" s="53"/>
      <c r="E475" s="70"/>
      <c r="F475" s="70"/>
      <c r="G475" s="70"/>
      <c r="H475" s="70"/>
      <c r="I475" s="70"/>
      <c r="J475" s="70"/>
      <c r="K475" s="70"/>
      <c r="L475" s="70"/>
      <c r="M475" s="70"/>
      <c r="N475" s="70"/>
      <c r="O475" s="70"/>
      <c r="P475" s="70"/>
      <c r="Q475" s="70"/>
      <c r="R475" s="70"/>
      <c r="S475" s="70"/>
      <c r="T475" s="70"/>
      <c r="U475" s="64"/>
      <c r="V475" s="64"/>
      <c r="W475" s="70"/>
      <c r="X475" s="64"/>
      <c r="Y475" s="70"/>
      <c r="Z475" s="70"/>
      <c r="AA475" s="71"/>
      <c r="AB475" s="70"/>
      <c r="AC475" s="70"/>
      <c r="AD475" s="64"/>
      <c r="AE475" s="70"/>
      <c r="AF475" s="70"/>
      <c r="AG475" s="70"/>
      <c r="AH475" s="70"/>
    </row>
    <row r="476" spans="4:34" x14ac:dyDescent="0.2">
      <c r="D476" s="53"/>
      <c r="E476" s="70"/>
      <c r="F476" s="70"/>
      <c r="G476" s="70"/>
      <c r="H476" s="70"/>
      <c r="I476" s="70"/>
      <c r="J476" s="70"/>
      <c r="K476" s="70"/>
      <c r="L476" s="70"/>
      <c r="M476" s="70"/>
      <c r="N476" s="70"/>
      <c r="O476" s="70"/>
      <c r="P476" s="70"/>
      <c r="Q476" s="70"/>
      <c r="R476" s="70"/>
      <c r="S476" s="70"/>
      <c r="T476" s="70"/>
      <c r="U476" s="64"/>
      <c r="V476" s="64"/>
      <c r="W476" s="70"/>
      <c r="X476" s="64"/>
      <c r="Y476" s="70"/>
      <c r="Z476" s="70"/>
      <c r="AA476" s="71"/>
      <c r="AB476" s="70"/>
      <c r="AC476" s="70"/>
      <c r="AD476" s="64"/>
      <c r="AE476" s="70"/>
      <c r="AF476" s="70"/>
      <c r="AG476" s="70"/>
      <c r="AH476" s="70"/>
    </row>
    <row r="477" spans="4:34" x14ac:dyDescent="0.2">
      <c r="D477" s="53"/>
      <c r="E477" s="70"/>
      <c r="F477" s="70"/>
      <c r="G477" s="70"/>
      <c r="H477" s="70"/>
      <c r="I477" s="70"/>
      <c r="J477" s="70"/>
      <c r="K477" s="70"/>
      <c r="L477" s="70"/>
      <c r="M477" s="70"/>
      <c r="N477" s="70"/>
      <c r="O477" s="70"/>
      <c r="P477" s="70"/>
      <c r="Q477" s="70"/>
      <c r="R477" s="70"/>
      <c r="S477" s="70"/>
      <c r="T477" s="70"/>
      <c r="U477" s="64"/>
      <c r="V477" s="64"/>
      <c r="W477" s="70"/>
      <c r="X477" s="64"/>
      <c r="Y477" s="70"/>
      <c r="Z477" s="70"/>
      <c r="AA477" s="71"/>
      <c r="AB477" s="70"/>
      <c r="AC477" s="70"/>
      <c r="AD477" s="64"/>
      <c r="AE477" s="70"/>
      <c r="AF477" s="70"/>
      <c r="AG477" s="70"/>
      <c r="AH477" s="70"/>
    </row>
    <row r="478" spans="4:34" x14ac:dyDescent="0.2">
      <c r="D478" s="53"/>
      <c r="E478" s="70"/>
      <c r="F478" s="70"/>
      <c r="G478" s="70"/>
      <c r="H478" s="70"/>
      <c r="I478" s="70"/>
      <c r="J478" s="70"/>
      <c r="K478" s="70"/>
      <c r="L478" s="70"/>
      <c r="M478" s="70"/>
      <c r="N478" s="70"/>
      <c r="O478" s="70"/>
      <c r="P478" s="70"/>
      <c r="Q478" s="70"/>
      <c r="R478" s="70"/>
      <c r="S478" s="70"/>
      <c r="T478" s="70"/>
      <c r="U478" s="64"/>
      <c r="V478" s="64"/>
      <c r="W478" s="70"/>
      <c r="X478" s="64"/>
      <c r="Y478" s="70"/>
      <c r="Z478" s="70"/>
      <c r="AA478" s="71"/>
      <c r="AB478" s="70"/>
      <c r="AC478" s="70"/>
      <c r="AD478" s="64"/>
      <c r="AE478" s="70"/>
      <c r="AF478" s="70"/>
      <c r="AG478" s="70"/>
      <c r="AH478" s="70"/>
    </row>
    <row r="479" spans="4:34" x14ac:dyDescent="0.2">
      <c r="D479" s="53"/>
      <c r="E479" s="70"/>
      <c r="F479" s="70"/>
      <c r="G479" s="70"/>
      <c r="H479" s="70"/>
      <c r="I479" s="70"/>
      <c r="J479" s="70"/>
      <c r="K479" s="70"/>
      <c r="L479" s="70"/>
      <c r="M479" s="70"/>
      <c r="N479" s="70"/>
      <c r="O479" s="70"/>
      <c r="P479" s="70"/>
      <c r="Q479" s="70"/>
      <c r="R479" s="70"/>
      <c r="S479" s="70"/>
      <c r="T479" s="70"/>
      <c r="U479" s="64"/>
      <c r="V479" s="64"/>
      <c r="W479" s="70"/>
      <c r="X479" s="64"/>
      <c r="Y479" s="70"/>
      <c r="Z479" s="70"/>
      <c r="AA479" s="71"/>
      <c r="AB479" s="70"/>
      <c r="AC479" s="70"/>
      <c r="AD479" s="64"/>
      <c r="AE479" s="70"/>
      <c r="AF479" s="70"/>
      <c r="AG479" s="70"/>
      <c r="AH479" s="70"/>
    </row>
    <row r="480" spans="4:34" x14ac:dyDescent="0.2">
      <c r="D480" s="53"/>
      <c r="E480" s="70"/>
      <c r="F480" s="70"/>
      <c r="G480" s="70"/>
      <c r="H480" s="70"/>
      <c r="I480" s="70"/>
      <c r="J480" s="70"/>
      <c r="K480" s="70"/>
      <c r="L480" s="70"/>
      <c r="M480" s="70"/>
      <c r="N480" s="70"/>
      <c r="O480" s="70"/>
      <c r="P480" s="70"/>
      <c r="Q480" s="70"/>
      <c r="R480" s="70"/>
      <c r="S480" s="70"/>
      <c r="T480" s="70"/>
      <c r="U480" s="64"/>
      <c r="V480" s="64"/>
      <c r="W480" s="70"/>
      <c r="X480" s="64"/>
      <c r="Y480" s="70"/>
      <c r="Z480" s="70"/>
      <c r="AA480" s="71"/>
      <c r="AB480" s="70"/>
      <c r="AC480" s="70"/>
      <c r="AD480" s="64"/>
      <c r="AE480" s="70"/>
      <c r="AF480" s="70"/>
      <c r="AG480" s="70"/>
      <c r="AH480" s="70"/>
    </row>
    <row r="481" spans="4:34" x14ac:dyDescent="0.2">
      <c r="D481" s="53"/>
      <c r="E481" s="70"/>
      <c r="F481" s="70"/>
      <c r="G481" s="70"/>
      <c r="H481" s="70"/>
      <c r="I481" s="70"/>
      <c r="J481" s="70"/>
      <c r="K481" s="70"/>
      <c r="L481" s="70"/>
      <c r="M481" s="70"/>
      <c r="N481" s="70"/>
      <c r="O481" s="70"/>
      <c r="P481" s="70"/>
      <c r="Q481" s="70"/>
      <c r="R481" s="70"/>
      <c r="S481" s="70"/>
      <c r="T481" s="70"/>
      <c r="U481" s="64"/>
      <c r="V481" s="64"/>
      <c r="W481" s="70"/>
      <c r="X481" s="64"/>
      <c r="Y481" s="70"/>
      <c r="Z481" s="70"/>
      <c r="AA481" s="71"/>
      <c r="AB481" s="70"/>
      <c r="AC481" s="70"/>
      <c r="AD481" s="64"/>
      <c r="AE481" s="70"/>
      <c r="AF481" s="70"/>
      <c r="AG481" s="70"/>
      <c r="AH481" s="70"/>
    </row>
    <row r="482" spans="4:34" x14ac:dyDescent="0.2">
      <c r="D482" s="53"/>
      <c r="E482" s="70"/>
      <c r="F482" s="70"/>
      <c r="G482" s="70"/>
      <c r="H482" s="70"/>
      <c r="I482" s="70"/>
      <c r="J482" s="70"/>
      <c r="K482" s="70"/>
      <c r="L482" s="70"/>
      <c r="M482" s="70"/>
      <c r="N482" s="70"/>
      <c r="O482" s="70"/>
      <c r="P482" s="70"/>
      <c r="Q482" s="70"/>
      <c r="R482" s="70"/>
      <c r="S482" s="70"/>
      <c r="T482" s="70"/>
      <c r="U482" s="64"/>
      <c r="V482" s="64"/>
      <c r="W482" s="70"/>
      <c r="X482" s="64"/>
      <c r="Y482" s="70"/>
      <c r="Z482" s="70"/>
      <c r="AA482" s="71"/>
      <c r="AB482" s="70"/>
      <c r="AC482" s="70"/>
      <c r="AD482" s="64"/>
      <c r="AE482" s="70"/>
      <c r="AF482" s="70"/>
      <c r="AG482" s="70"/>
      <c r="AH482" s="70"/>
    </row>
    <row r="483" spans="4:34" x14ac:dyDescent="0.2">
      <c r="D483" s="53"/>
      <c r="E483" s="70"/>
      <c r="F483" s="70"/>
      <c r="G483" s="70"/>
      <c r="H483" s="70"/>
      <c r="I483" s="70"/>
      <c r="J483" s="70"/>
      <c r="K483" s="70"/>
      <c r="L483" s="70"/>
      <c r="M483" s="70"/>
      <c r="N483" s="70"/>
      <c r="O483" s="70"/>
      <c r="P483" s="70"/>
      <c r="Q483" s="70"/>
      <c r="R483" s="70"/>
      <c r="S483" s="70"/>
      <c r="T483" s="70"/>
      <c r="U483" s="64"/>
      <c r="V483" s="64"/>
      <c r="W483" s="70"/>
      <c r="X483" s="64"/>
      <c r="Y483" s="70"/>
      <c r="Z483" s="70"/>
      <c r="AA483" s="71"/>
      <c r="AB483" s="70"/>
      <c r="AC483" s="70"/>
      <c r="AD483" s="64"/>
      <c r="AE483" s="70"/>
      <c r="AF483" s="70"/>
      <c r="AG483" s="70"/>
      <c r="AH483" s="70"/>
    </row>
    <row r="484" spans="4:34" x14ac:dyDescent="0.2">
      <c r="D484" s="53"/>
      <c r="E484" s="70"/>
      <c r="F484" s="70"/>
      <c r="G484" s="70"/>
      <c r="H484" s="70"/>
      <c r="I484" s="70"/>
      <c r="J484" s="70"/>
      <c r="K484" s="70"/>
      <c r="L484" s="70"/>
      <c r="M484" s="70"/>
      <c r="N484" s="70"/>
      <c r="O484" s="70"/>
      <c r="P484" s="70"/>
      <c r="Q484" s="70"/>
      <c r="R484" s="70"/>
      <c r="S484" s="70"/>
      <c r="T484" s="70"/>
      <c r="U484" s="64"/>
      <c r="V484" s="64"/>
      <c r="W484" s="70"/>
      <c r="X484" s="64"/>
      <c r="Y484" s="70"/>
      <c r="Z484" s="70"/>
      <c r="AA484" s="71"/>
      <c r="AB484" s="70"/>
      <c r="AC484" s="70"/>
      <c r="AD484" s="64"/>
      <c r="AE484" s="70"/>
      <c r="AF484" s="70"/>
      <c r="AG484" s="70"/>
      <c r="AH484" s="70"/>
    </row>
    <row r="485" spans="4:34" x14ac:dyDescent="0.2">
      <c r="D485" s="53"/>
      <c r="E485" s="70"/>
      <c r="F485" s="70"/>
      <c r="G485" s="70"/>
      <c r="H485" s="70"/>
      <c r="I485" s="70"/>
      <c r="J485" s="70"/>
      <c r="K485" s="70"/>
      <c r="L485" s="70"/>
      <c r="M485" s="70"/>
      <c r="N485" s="70"/>
      <c r="O485" s="70"/>
      <c r="P485" s="70"/>
      <c r="Q485" s="70"/>
      <c r="R485" s="70"/>
      <c r="S485" s="70"/>
      <c r="T485" s="70"/>
      <c r="U485" s="64"/>
      <c r="V485" s="64"/>
      <c r="W485" s="70"/>
      <c r="X485" s="64"/>
      <c r="Y485" s="70"/>
      <c r="Z485" s="70"/>
      <c r="AA485" s="71"/>
      <c r="AB485" s="70"/>
      <c r="AC485" s="70"/>
      <c r="AD485" s="64"/>
      <c r="AE485" s="70"/>
      <c r="AF485" s="70"/>
      <c r="AG485" s="70"/>
      <c r="AH485" s="70"/>
    </row>
    <row r="486" spans="4:34" x14ac:dyDescent="0.2">
      <c r="D486" s="53"/>
      <c r="E486" s="70"/>
      <c r="F486" s="70"/>
      <c r="G486" s="70"/>
      <c r="H486" s="70"/>
      <c r="I486" s="70"/>
      <c r="J486" s="70"/>
      <c r="K486" s="70"/>
      <c r="L486" s="70"/>
      <c r="M486" s="70"/>
      <c r="N486" s="70"/>
      <c r="O486" s="70"/>
      <c r="P486" s="70"/>
      <c r="Q486" s="70"/>
      <c r="R486" s="70"/>
      <c r="S486" s="70"/>
      <c r="T486" s="70"/>
      <c r="U486" s="64"/>
      <c r="V486" s="64"/>
      <c r="W486" s="70"/>
      <c r="X486" s="64"/>
      <c r="Y486" s="70"/>
      <c r="Z486" s="70"/>
      <c r="AA486" s="71"/>
      <c r="AB486" s="70"/>
      <c r="AC486" s="70"/>
      <c r="AD486" s="64"/>
      <c r="AE486" s="70"/>
      <c r="AF486" s="70"/>
      <c r="AG486" s="70"/>
      <c r="AH486" s="70"/>
    </row>
    <row r="487" spans="4:34" x14ac:dyDescent="0.2">
      <c r="D487" s="53"/>
      <c r="E487" s="70"/>
      <c r="F487" s="70"/>
      <c r="G487" s="70"/>
      <c r="H487" s="70"/>
      <c r="I487" s="70"/>
      <c r="J487" s="70"/>
      <c r="K487" s="70"/>
      <c r="L487" s="70"/>
      <c r="M487" s="70"/>
      <c r="N487" s="70"/>
      <c r="O487" s="70"/>
      <c r="P487" s="70"/>
      <c r="Q487" s="70"/>
      <c r="R487" s="70"/>
      <c r="S487" s="70"/>
      <c r="T487" s="70"/>
      <c r="U487" s="64"/>
      <c r="V487" s="64"/>
      <c r="W487" s="70"/>
      <c r="X487" s="64"/>
      <c r="Y487" s="70"/>
      <c r="Z487" s="70"/>
      <c r="AA487" s="71"/>
      <c r="AB487" s="70"/>
      <c r="AC487" s="70"/>
      <c r="AD487" s="64"/>
      <c r="AE487" s="70"/>
      <c r="AF487" s="70"/>
      <c r="AG487" s="70"/>
      <c r="AH487" s="70"/>
    </row>
    <row r="488" spans="4:34" x14ac:dyDescent="0.2">
      <c r="D488" s="53"/>
      <c r="E488" s="70"/>
      <c r="F488" s="70"/>
      <c r="G488" s="70"/>
      <c r="H488" s="70"/>
      <c r="I488" s="70"/>
      <c r="J488" s="70"/>
      <c r="K488" s="70"/>
      <c r="L488" s="70"/>
      <c r="M488" s="70"/>
      <c r="N488" s="70"/>
      <c r="O488" s="70"/>
      <c r="P488" s="70"/>
      <c r="Q488" s="70"/>
      <c r="R488" s="70"/>
      <c r="S488" s="70"/>
      <c r="T488" s="70"/>
      <c r="U488" s="64"/>
      <c r="V488" s="64"/>
      <c r="W488" s="70"/>
      <c r="X488" s="64"/>
      <c r="Y488" s="70"/>
      <c r="Z488" s="70"/>
      <c r="AA488" s="71"/>
      <c r="AB488" s="70"/>
      <c r="AC488" s="70"/>
      <c r="AD488" s="64"/>
      <c r="AE488" s="70"/>
      <c r="AF488" s="70"/>
      <c r="AG488" s="70"/>
      <c r="AH488" s="70"/>
    </row>
    <row r="489" spans="4:34" x14ac:dyDescent="0.2">
      <c r="D489" s="53"/>
      <c r="E489" s="70"/>
      <c r="F489" s="70"/>
      <c r="G489" s="70"/>
      <c r="H489" s="70"/>
      <c r="I489" s="70"/>
      <c r="J489" s="70"/>
      <c r="K489" s="70"/>
      <c r="L489" s="70"/>
      <c r="M489" s="70"/>
      <c r="N489" s="70"/>
      <c r="O489" s="70"/>
      <c r="P489" s="70"/>
      <c r="Q489" s="70"/>
      <c r="R489" s="70"/>
      <c r="S489" s="70"/>
      <c r="T489" s="70"/>
      <c r="U489" s="64"/>
      <c r="V489" s="64"/>
      <c r="W489" s="70"/>
      <c r="X489" s="64"/>
      <c r="Y489" s="70"/>
      <c r="Z489" s="70"/>
      <c r="AA489" s="71"/>
      <c r="AB489" s="70"/>
      <c r="AC489" s="70"/>
      <c r="AD489" s="64"/>
      <c r="AE489" s="70"/>
      <c r="AF489" s="70"/>
      <c r="AG489" s="70"/>
      <c r="AH489" s="70"/>
    </row>
    <row r="490" spans="4:34" x14ac:dyDescent="0.2">
      <c r="D490" s="53"/>
      <c r="E490" s="70"/>
      <c r="F490" s="70"/>
      <c r="G490" s="70"/>
      <c r="H490" s="70"/>
      <c r="I490" s="70"/>
      <c r="J490" s="70"/>
      <c r="K490" s="70"/>
      <c r="L490" s="70"/>
      <c r="M490" s="70"/>
      <c r="N490" s="70"/>
      <c r="O490" s="70"/>
      <c r="P490" s="70"/>
      <c r="Q490" s="70"/>
      <c r="R490" s="70"/>
      <c r="S490" s="70"/>
      <c r="T490" s="70"/>
      <c r="U490" s="64"/>
      <c r="V490" s="64"/>
      <c r="W490" s="70"/>
      <c r="X490" s="64"/>
      <c r="Y490" s="70"/>
      <c r="Z490" s="70"/>
      <c r="AA490" s="71"/>
      <c r="AB490" s="70"/>
      <c r="AC490" s="70"/>
      <c r="AD490" s="64"/>
      <c r="AE490" s="70"/>
      <c r="AF490" s="70"/>
      <c r="AG490" s="70"/>
      <c r="AH490" s="70"/>
    </row>
    <row r="491" spans="4:34" x14ac:dyDescent="0.2">
      <c r="D491" s="53"/>
      <c r="E491" s="70"/>
      <c r="F491" s="70"/>
      <c r="G491" s="70"/>
      <c r="H491" s="70"/>
      <c r="I491" s="70"/>
      <c r="J491" s="70"/>
      <c r="K491" s="70"/>
      <c r="L491" s="70"/>
      <c r="M491" s="70"/>
      <c r="N491" s="70"/>
      <c r="O491" s="70"/>
      <c r="P491" s="70"/>
      <c r="Q491" s="70"/>
      <c r="R491" s="70"/>
      <c r="S491" s="70"/>
      <c r="T491" s="70"/>
      <c r="U491" s="64"/>
      <c r="V491" s="64"/>
      <c r="W491" s="70"/>
      <c r="X491" s="64"/>
      <c r="Y491" s="70"/>
      <c r="Z491" s="70"/>
      <c r="AA491" s="71"/>
      <c r="AB491" s="70"/>
      <c r="AC491" s="70"/>
      <c r="AD491" s="64"/>
      <c r="AE491" s="70"/>
      <c r="AF491" s="70"/>
      <c r="AG491" s="70"/>
      <c r="AH491" s="70"/>
    </row>
    <row r="492" spans="4:34" x14ac:dyDescent="0.2">
      <c r="D492" s="53"/>
      <c r="E492" s="70"/>
      <c r="F492" s="70"/>
      <c r="G492" s="70"/>
      <c r="H492" s="70"/>
      <c r="I492" s="70"/>
      <c r="J492" s="70"/>
      <c r="K492" s="70"/>
      <c r="L492" s="70"/>
      <c r="M492" s="70"/>
      <c r="N492" s="70"/>
      <c r="O492" s="70"/>
      <c r="P492" s="70"/>
      <c r="Q492" s="70"/>
      <c r="R492" s="70"/>
      <c r="S492" s="70"/>
      <c r="T492" s="70"/>
      <c r="U492" s="64"/>
      <c r="V492" s="64"/>
      <c r="W492" s="70"/>
      <c r="X492" s="64"/>
      <c r="Y492" s="70"/>
      <c r="Z492" s="70"/>
      <c r="AA492" s="71"/>
      <c r="AB492" s="70"/>
      <c r="AC492" s="70"/>
      <c r="AD492" s="64"/>
      <c r="AE492" s="70"/>
      <c r="AF492" s="70"/>
      <c r="AG492" s="70"/>
      <c r="AH492" s="70"/>
    </row>
    <row r="493" spans="4:34" x14ac:dyDescent="0.2">
      <c r="D493" s="53"/>
      <c r="E493" s="70"/>
      <c r="F493" s="70"/>
      <c r="G493" s="70"/>
      <c r="H493" s="70"/>
      <c r="I493" s="70"/>
      <c r="J493" s="70"/>
      <c r="K493" s="70"/>
      <c r="L493" s="70"/>
      <c r="M493" s="70"/>
      <c r="N493" s="70"/>
      <c r="O493" s="70"/>
      <c r="P493" s="70"/>
      <c r="Q493" s="70"/>
      <c r="R493" s="70"/>
      <c r="S493" s="70"/>
      <c r="T493" s="70"/>
      <c r="U493" s="64"/>
      <c r="V493" s="64"/>
      <c r="W493" s="70"/>
      <c r="X493" s="64"/>
      <c r="Y493" s="70"/>
      <c r="Z493" s="70"/>
      <c r="AA493" s="71"/>
      <c r="AB493" s="70"/>
      <c r="AC493" s="70"/>
      <c r="AD493" s="64"/>
      <c r="AE493" s="70"/>
      <c r="AF493" s="70"/>
      <c r="AG493" s="70"/>
      <c r="AH493" s="70"/>
    </row>
    <row r="494" spans="4:34" x14ac:dyDescent="0.2">
      <c r="D494" s="53"/>
      <c r="E494" s="70"/>
      <c r="F494" s="70"/>
      <c r="G494" s="70"/>
      <c r="H494" s="70"/>
      <c r="I494" s="70"/>
      <c r="J494" s="70"/>
      <c r="K494" s="70"/>
      <c r="L494" s="70"/>
      <c r="M494" s="70"/>
      <c r="N494" s="70"/>
      <c r="O494" s="70"/>
      <c r="P494" s="70"/>
      <c r="Q494" s="70"/>
      <c r="R494" s="70"/>
      <c r="S494" s="70"/>
      <c r="T494" s="70"/>
      <c r="U494" s="64"/>
      <c r="V494" s="64"/>
      <c r="W494" s="70"/>
      <c r="X494" s="64"/>
      <c r="Y494" s="70"/>
      <c r="Z494" s="70"/>
      <c r="AA494" s="71"/>
      <c r="AB494" s="70"/>
      <c r="AC494" s="70"/>
      <c r="AD494" s="64"/>
      <c r="AE494" s="70"/>
      <c r="AF494" s="70"/>
      <c r="AG494" s="70"/>
      <c r="AH494" s="70"/>
    </row>
    <row r="495" spans="4:34" x14ac:dyDescent="0.2">
      <c r="D495" s="53"/>
      <c r="E495" s="70"/>
      <c r="F495" s="70"/>
      <c r="G495" s="70"/>
      <c r="H495" s="70"/>
      <c r="I495" s="70"/>
      <c r="J495" s="70"/>
      <c r="K495" s="70"/>
      <c r="L495" s="70"/>
      <c r="M495" s="70"/>
      <c r="N495" s="70"/>
      <c r="O495" s="70"/>
      <c r="P495" s="70"/>
      <c r="Q495" s="70"/>
      <c r="R495" s="70"/>
      <c r="S495" s="70"/>
      <c r="T495" s="70"/>
      <c r="U495" s="64"/>
      <c r="V495" s="64"/>
      <c r="W495" s="70"/>
      <c r="X495" s="64"/>
      <c r="Y495" s="70"/>
      <c r="Z495" s="70"/>
      <c r="AA495" s="71"/>
      <c r="AB495" s="70"/>
      <c r="AC495" s="70"/>
      <c r="AD495" s="64"/>
      <c r="AE495" s="70"/>
      <c r="AF495" s="70"/>
      <c r="AG495" s="70"/>
      <c r="AH495" s="70"/>
    </row>
    <row r="496" spans="4:34" x14ac:dyDescent="0.2">
      <c r="D496" s="53"/>
      <c r="E496" s="70"/>
      <c r="F496" s="70"/>
      <c r="G496" s="70"/>
      <c r="H496" s="70"/>
      <c r="I496" s="70"/>
      <c r="J496" s="70"/>
      <c r="K496" s="70"/>
      <c r="L496" s="70"/>
      <c r="M496" s="70"/>
      <c r="N496" s="70"/>
      <c r="O496" s="70"/>
      <c r="P496" s="70"/>
      <c r="Q496" s="70"/>
      <c r="R496" s="70"/>
      <c r="S496" s="70"/>
      <c r="T496" s="70"/>
      <c r="U496" s="64"/>
      <c r="V496" s="64"/>
      <c r="W496" s="70"/>
      <c r="X496" s="64"/>
      <c r="Y496" s="70"/>
      <c r="Z496" s="70"/>
      <c r="AA496" s="71"/>
      <c r="AB496" s="70"/>
      <c r="AC496" s="70"/>
      <c r="AD496" s="64"/>
      <c r="AE496" s="70"/>
      <c r="AF496" s="70"/>
      <c r="AG496" s="70"/>
      <c r="AH496" s="70"/>
    </row>
    <row r="497" spans="4:34" x14ac:dyDescent="0.2">
      <c r="D497" s="53"/>
      <c r="E497" s="70"/>
      <c r="F497" s="70"/>
      <c r="G497" s="70"/>
      <c r="H497" s="70"/>
      <c r="I497" s="70"/>
      <c r="J497" s="70"/>
      <c r="K497" s="70"/>
      <c r="L497" s="70"/>
      <c r="M497" s="70"/>
      <c r="N497" s="70"/>
      <c r="O497" s="70"/>
      <c r="P497" s="70"/>
      <c r="Q497" s="70"/>
      <c r="R497" s="70"/>
      <c r="S497" s="70"/>
      <c r="T497" s="70"/>
      <c r="U497" s="64"/>
      <c r="V497" s="64"/>
      <c r="W497" s="70"/>
      <c r="X497" s="64"/>
      <c r="Y497" s="70"/>
      <c r="Z497" s="70"/>
      <c r="AA497" s="71"/>
      <c r="AB497" s="70"/>
      <c r="AC497" s="70"/>
      <c r="AD497" s="64"/>
      <c r="AE497" s="70"/>
      <c r="AF497" s="70"/>
      <c r="AG497" s="70"/>
      <c r="AH497" s="70"/>
    </row>
    <row r="498" spans="4:34" x14ac:dyDescent="0.2">
      <c r="D498" s="53"/>
      <c r="E498" s="70"/>
      <c r="F498" s="70"/>
      <c r="G498" s="70"/>
      <c r="H498" s="70"/>
      <c r="I498" s="70"/>
      <c r="J498" s="70"/>
      <c r="K498" s="70"/>
      <c r="L498" s="70"/>
      <c r="M498" s="70"/>
      <c r="N498" s="70"/>
      <c r="O498" s="70"/>
      <c r="P498" s="70"/>
      <c r="Q498" s="70"/>
      <c r="R498" s="70"/>
      <c r="S498" s="70"/>
      <c r="T498" s="70"/>
      <c r="U498" s="64"/>
      <c r="V498" s="64"/>
      <c r="W498" s="70"/>
      <c r="X498" s="64"/>
      <c r="Y498" s="70"/>
      <c r="Z498" s="70"/>
      <c r="AA498" s="71"/>
      <c r="AB498" s="70"/>
      <c r="AC498" s="70"/>
      <c r="AD498" s="64"/>
      <c r="AE498" s="70"/>
      <c r="AF498" s="70"/>
      <c r="AG498" s="70"/>
      <c r="AH498" s="70"/>
    </row>
    <row r="499" spans="4:34" x14ac:dyDescent="0.2">
      <c r="D499" s="53"/>
      <c r="E499" s="70"/>
      <c r="F499" s="70"/>
      <c r="G499" s="70"/>
      <c r="H499" s="70"/>
      <c r="I499" s="70"/>
      <c r="J499" s="70"/>
      <c r="K499" s="70"/>
      <c r="L499" s="70"/>
      <c r="M499" s="70"/>
      <c r="N499" s="70"/>
      <c r="O499" s="70"/>
      <c r="P499" s="70"/>
      <c r="Q499" s="70"/>
      <c r="R499" s="70"/>
      <c r="S499" s="70"/>
      <c r="T499" s="70"/>
      <c r="U499" s="64"/>
      <c r="V499" s="64"/>
      <c r="W499" s="70"/>
      <c r="X499" s="64"/>
      <c r="Y499" s="70"/>
      <c r="Z499" s="70"/>
      <c r="AA499" s="71"/>
      <c r="AB499" s="70"/>
      <c r="AC499" s="70"/>
      <c r="AD499" s="64"/>
      <c r="AE499" s="70"/>
      <c r="AF499" s="70"/>
      <c r="AG499" s="70"/>
      <c r="AH499" s="70"/>
    </row>
    <row r="500" spans="4:34" x14ac:dyDescent="0.2">
      <c r="D500" s="53"/>
      <c r="E500" s="70"/>
      <c r="F500" s="70"/>
      <c r="G500" s="70"/>
      <c r="H500" s="70"/>
      <c r="I500" s="70"/>
      <c r="J500" s="70"/>
      <c r="K500" s="70"/>
      <c r="L500" s="70"/>
      <c r="M500" s="70"/>
      <c r="N500" s="70"/>
      <c r="O500" s="70"/>
      <c r="P500" s="70"/>
      <c r="Q500" s="70"/>
      <c r="R500" s="70"/>
      <c r="S500" s="70"/>
      <c r="T500" s="70"/>
      <c r="U500" s="64"/>
      <c r="V500" s="64"/>
      <c r="W500" s="70"/>
      <c r="X500" s="64"/>
      <c r="Y500" s="70"/>
      <c r="Z500" s="70"/>
      <c r="AA500" s="71"/>
      <c r="AB500" s="70"/>
      <c r="AC500" s="70"/>
      <c r="AD500" s="64"/>
      <c r="AE500" s="70"/>
      <c r="AF500" s="70"/>
      <c r="AG500" s="70"/>
      <c r="AH500" s="70"/>
    </row>
    <row r="501" spans="4:34" x14ac:dyDescent="0.2">
      <c r="D501" s="53"/>
      <c r="E501" s="70"/>
      <c r="F501" s="70"/>
      <c r="G501" s="70"/>
      <c r="H501" s="70"/>
      <c r="I501" s="70"/>
      <c r="J501" s="70"/>
      <c r="K501" s="70"/>
      <c r="L501" s="70"/>
      <c r="M501" s="70"/>
      <c r="N501" s="70"/>
      <c r="O501" s="70"/>
      <c r="P501" s="70"/>
      <c r="Q501" s="70"/>
      <c r="R501" s="70"/>
      <c r="S501" s="70"/>
      <c r="T501" s="70"/>
      <c r="U501" s="64"/>
      <c r="V501" s="64"/>
      <c r="W501" s="70"/>
      <c r="X501" s="64"/>
      <c r="Y501" s="70"/>
      <c r="Z501" s="70"/>
      <c r="AA501" s="71"/>
      <c r="AB501" s="70"/>
      <c r="AC501" s="70"/>
      <c r="AD501" s="64"/>
      <c r="AE501" s="70"/>
      <c r="AF501" s="70"/>
      <c r="AG501" s="70"/>
      <c r="AH501" s="70"/>
    </row>
    <row r="502" spans="4:34" x14ac:dyDescent="0.2">
      <c r="D502" s="53"/>
      <c r="E502" s="70"/>
      <c r="F502" s="70"/>
      <c r="G502" s="70"/>
      <c r="H502" s="70"/>
      <c r="I502" s="70"/>
      <c r="J502" s="70"/>
      <c r="K502" s="70"/>
      <c r="L502" s="70"/>
      <c r="M502" s="70"/>
      <c r="N502" s="70"/>
      <c r="O502" s="70"/>
      <c r="P502" s="70"/>
      <c r="Q502" s="70"/>
      <c r="R502" s="70"/>
      <c r="S502" s="70"/>
      <c r="T502" s="70"/>
      <c r="U502" s="64"/>
      <c r="V502" s="64"/>
      <c r="W502" s="70"/>
      <c r="X502" s="64"/>
      <c r="Y502" s="70"/>
      <c r="Z502" s="70"/>
      <c r="AA502" s="71"/>
      <c r="AB502" s="70"/>
      <c r="AC502" s="70"/>
      <c r="AD502" s="64"/>
      <c r="AE502" s="70"/>
      <c r="AF502" s="70"/>
      <c r="AG502" s="70"/>
      <c r="AH502" s="70"/>
    </row>
    <row r="503" spans="4:34" x14ac:dyDescent="0.2">
      <c r="D503" s="53"/>
      <c r="E503" s="70"/>
      <c r="F503" s="70"/>
      <c r="G503" s="70"/>
      <c r="H503" s="70"/>
      <c r="I503" s="70"/>
      <c r="J503" s="70"/>
      <c r="K503" s="70"/>
      <c r="L503" s="70"/>
      <c r="M503" s="70"/>
      <c r="N503" s="70"/>
      <c r="O503" s="70"/>
      <c r="P503" s="70"/>
      <c r="Q503" s="70"/>
      <c r="R503" s="70"/>
      <c r="S503" s="70"/>
      <c r="T503" s="70"/>
      <c r="U503" s="64"/>
      <c r="V503" s="64"/>
      <c r="W503" s="70"/>
      <c r="X503" s="64"/>
      <c r="Y503" s="70"/>
      <c r="Z503" s="70"/>
      <c r="AA503" s="71"/>
      <c r="AB503" s="70"/>
      <c r="AC503" s="70"/>
      <c r="AD503" s="64"/>
      <c r="AE503" s="70"/>
      <c r="AF503" s="70"/>
      <c r="AG503" s="70"/>
      <c r="AH503" s="70"/>
    </row>
    <row r="504" spans="4:34" x14ac:dyDescent="0.2">
      <c r="D504" s="53"/>
      <c r="E504" s="70"/>
      <c r="F504" s="70"/>
      <c r="G504" s="70"/>
      <c r="H504" s="70"/>
      <c r="I504" s="70"/>
      <c r="J504" s="70"/>
      <c r="K504" s="70"/>
      <c r="L504" s="70"/>
      <c r="M504" s="70"/>
      <c r="N504" s="70"/>
      <c r="O504" s="70"/>
      <c r="P504" s="70"/>
      <c r="Q504" s="70"/>
      <c r="R504" s="70"/>
      <c r="S504" s="70"/>
      <c r="T504" s="70"/>
      <c r="U504" s="64"/>
      <c r="V504" s="64"/>
      <c r="W504" s="70"/>
      <c r="X504" s="64"/>
      <c r="Y504" s="70"/>
      <c r="Z504" s="70"/>
      <c r="AA504" s="71"/>
      <c r="AB504" s="70"/>
      <c r="AC504" s="70"/>
      <c r="AD504" s="64"/>
      <c r="AE504" s="70"/>
      <c r="AF504" s="70"/>
      <c r="AG504" s="70"/>
      <c r="AH504" s="70"/>
    </row>
    <row r="505" spans="4:34" x14ac:dyDescent="0.2">
      <c r="D505" s="53"/>
      <c r="E505" s="70"/>
      <c r="F505" s="70"/>
      <c r="G505" s="70"/>
      <c r="H505" s="70"/>
      <c r="I505" s="70"/>
      <c r="J505" s="70"/>
      <c r="K505" s="70"/>
      <c r="L505" s="70"/>
      <c r="M505" s="70"/>
      <c r="N505" s="70"/>
      <c r="O505" s="70"/>
      <c r="P505" s="70"/>
      <c r="Q505" s="70"/>
      <c r="R505" s="70"/>
      <c r="S505" s="70"/>
      <c r="T505" s="70"/>
      <c r="U505" s="64"/>
      <c r="V505" s="64"/>
      <c r="W505" s="70"/>
      <c r="X505" s="64"/>
      <c r="Y505" s="70"/>
      <c r="Z505" s="70"/>
      <c r="AA505" s="71"/>
      <c r="AB505" s="70"/>
      <c r="AC505" s="70"/>
      <c r="AD505" s="64"/>
      <c r="AE505" s="70"/>
      <c r="AF505" s="70"/>
      <c r="AG505" s="70"/>
      <c r="AH505" s="70"/>
    </row>
    <row r="506" spans="4:34" x14ac:dyDescent="0.2">
      <c r="D506" s="53"/>
      <c r="E506" s="70"/>
      <c r="F506" s="70"/>
      <c r="G506" s="70"/>
      <c r="H506" s="70"/>
      <c r="I506" s="70"/>
      <c r="J506" s="70"/>
      <c r="K506" s="70"/>
      <c r="L506" s="70"/>
      <c r="M506" s="70"/>
      <c r="N506" s="70"/>
      <c r="O506" s="70"/>
      <c r="P506" s="70"/>
      <c r="Q506" s="70"/>
      <c r="R506" s="70"/>
      <c r="S506" s="70"/>
      <c r="T506" s="70"/>
      <c r="U506" s="64"/>
      <c r="V506" s="64"/>
      <c r="W506" s="70"/>
      <c r="X506" s="64"/>
      <c r="Y506" s="70"/>
      <c r="Z506" s="70"/>
      <c r="AA506" s="71"/>
      <c r="AB506" s="70"/>
      <c r="AC506" s="70"/>
      <c r="AD506" s="64"/>
      <c r="AE506" s="70"/>
      <c r="AF506" s="70"/>
      <c r="AG506" s="70"/>
      <c r="AH506" s="70"/>
    </row>
    <row r="507" spans="4:34" x14ac:dyDescent="0.2">
      <c r="D507" s="53"/>
      <c r="E507" s="70"/>
      <c r="F507" s="70"/>
      <c r="G507" s="70"/>
      <c r="H507" s="70"/>
      <c r="I507" s="70"/>
      <c r="J507" s="70"/>
      <c r="K507" s="70"/>
      <c r="L507" s="70"/>
      <c r="M507" s="70"/>
      <c r="N507" s="70"/>
      <c r="O507" s="70"/>
      <c r="P507" s="70"/>
      <c r="Q507" s="70"/>
      <c r="R507" s="70"/>
      <c r="S507" s="70"/>
      <c r="T507" s="70"/>
      <c r="U507" s="64"/>
      <c r="V507" s="64"/>
      <c r="W507" s="70"/>
      <c r="X507" s="64"/>
      <c r="Y507" s="70"/>
      <c r="Z507" s="70"/>
      <c r="AA507" s="71"/>
      <c r="AB507" s="70"/>
      <c r="AC507" s="70"/>
      <c r="AD507" s="64"/>
      <c r="AE507" s="70"/>
      <c r="AF507" s="70"/>
      <c r="AG507" s="70"/>
      <c r="AH507" s="70"/>
    </row>
    <row r="508" spans="4:34" x14ac:dyDescent="0.2">
      <c r="D508" s="53"/>
      <c r="E508" s="70"/>
      <c r="F508" s="70"/>
      <c r="G508" s="70"/>
      <c r="H508" s="70"/>
      <c r="I508" s="70"/>
      <c r="J508" s="70"/>
      <c r="K508" s="70"/>
      <c r="L508" s="70"/>
      <c r="M508" s="70"/>
      <c r="N508" s="70"/>
      <c r="O508" s="70"/>
      <c r="P508" s="70"/>
      <c r="Q508" s="70"/>
      <c r="R508" s="70"/>
      <c r="S508" s="70"/>
      <c r="T508" s="70"/>
      <c r="U508" s="64"/>
      <c r="V508" s="64"/>
      <c r="W508" s="70"/>
      <c r="X508" s="64"/>
      <c r="Y508" s="70"/>
      <c r="Z508" s="70"/>
      <c r="AA508" s="71"/>
      <c r="AB508" s="70"/>
      <c r="AC508" s="70"/>
      <c r="AD508" s="64"/>
      <c r="AE508" s="70"/>
      <c r="AF508" s="70"/>
      <c r="AG508" s="70"/>
      <c r="AH508" s="70"/>
    </row>
    <row r="509" spans="4:34" x14ac:dyDescent="0.2">
      <c r="D509" s="53"/>
      <c r="E509" s="70"/>
      <c r="F509" s="70"/>
      <c r="G509" s="70"/>
      <c r="H509" s="70"/>
      <c r="I509" s="70"/>
      <c r="J509" s="70"/>
      <c r="K509" s="70"/>
      <c r="L509" s="70"/>
      <c r="M509" s="70"/>
      <c r="N509" s="70"/>
      <c r="O509" s="70"/>
      <c r="P509" s="70"/>
      <c r="Q509" s="70"/>
      <c r="R509" s="70"/>
      <c r="S509" s="70"/>
      <c r="T509" s="70"/>
      <c r="U509" s="64"/>
      <c r="V509" s="64"/>
      <c r="W509" s="70"/>
      <c r="X509" s="64"/>
      <c r="Y509" s="70"/>
      <c r="Z509" s="70"/>
      <c r="AA509" s="71"/>
      <c r="AB509" s="70"/>
      <c r="AC509" s="70"/>
      <c r="AD509" s="64"/>
      <c r="AE509" s="70"/>
      <c r="AF509" s="70"/>
      <c r="AG509" s="70"/>
      <c r="AH509" s="70"/>
    </row>
    <row r="510" spans="4:34" x14ac:dyDescent="0.2">
      <c r="D510" s="53"/>
      <c r="E510" s="70"/>
      <c r="F510" s="70"/>
      <c r="G510" s="70"/>
      <c r="H510" s="70"/>
      <c r="I510" s="70"/>
      <c r="J510" s="70"/>
      <c r="K510" s="70"/>
      <c r="L510" s="70"/>
      <c r="M510" s="70"/>
      <c r="N510" s="70"/>
      <c r="O510" s="70"/>
      <c r="P510" s="70"/>
      <c r="Q510" s="70"/>
      <c r="R510" s="70"/>
      <c r="S510" s="70"/>
      <c r="T510" s="70"/>
      <c r="U510" s="64"/>
      <c r="V510" s="64"/>
      <c r="W510" s="70"/>
      <c r="X510" s="64"/>
      <c r="Y510" s="70"/>
      <c r="Z510" s="70"/>
      <c r="AA510" s="71"/>
      <c r="AB510" s="70"/>
      <c r="AC510" s="70"/>
      <c r="AD510" s="64"/>
      <c r="AE510" s="70"/>
      <c r="AF510" s="70"/>
      <c r="AG510" s="70"/>
      <c r="AH510" s="70"/>
    </row>
    <row r="511" spans="4:34" x14ac:dyDescent="0.2">
      <c r="D511" s="53"/>
      <c r="E511" s="70"/>
      <c r="F511" s="70"/>
      <c r="G511" s="70"/>
      <c r="H511" s="70"/>
      <c r="I511" s="70"/>
      <c r="J511" s="70"/>
      <c r="K511" s="70"/>
      <c r="L511" s="70"/>
      <c r="M511" s="70"/>
      <c r="N511" s="70"/>
      <c r="O511" s="70"/>
      <c r="P511" s="70"/>
      <c r="Q511" s="70"/>
      <c r="R511" s="70"/>
      <c r="S511" s="70"/>
      <c r="T511" s="70"/>
      <c r="U511" s="64"/>
      <c r="V511" s="64"/>
      <c r="W511" s="70"/>
      <c r="X511" s="64"/>
      <c r="Y511" s="70"/>
      <c r="Z511" s="70"/>
      <c r="AA511" s="71"/>
      <c r="AB511" s="70"/>
      <c r="AC511" s="70"/>
      <c r="AD511" s="64"/>
      <c r="AE511" s="70"/>
      <c r="AF511" s="70"/>
      <c r="AG511" s="70"/>
      <c r="AH511" s="70"/>
    </row>
    <row r="512" spans="4:34" x14ac:dyDescent="0.2">
      <c r="D512" s="53"/>
      <c r="E512" s="70"/>
      <c r="F512" s="70"/>
      <c r="G512" s="70"/>
      <c r="H512" s="70"/>
      <c r="I512" s="70"/>
      <c r="J512" s="70"/>
      <c r="K512" s="70"/>
      <c r="L512" s="70"/>
      <c r="M512" s="70"/>
      <c r="N512" s="70"/>
      <c r="O512" s="70"/>
      <c r="P512" s="70"/>
      <c r="Q512" s="70"/>
      <c r="R512" s="70"/>
      <c r="S512" s="70"/>
      <c r="T512" s="70"/>
      <c r="U512" s="64"/>
      <c r="V512" s="64"/>
      <c r="W512" s="70"/>
      <c r="X512" s="64"/>
      <c r="Y512" s="70"/>
      <c r="Z512" s="70"/>
      <c r="AA512" s="71"/>
      <c r="AB512" s="70"/>
      <c r="AC512" s="70"/>
      <c r="AD512" s="64"/>
      <c r="AE512" s="70"/>
      <c r="AF512" s="70"/>
      <c r="AG512" s="70"/>
      <c r="AH512" s="70"/>
    </row>
    <row r="513" spans="4:34" x14ac:dyDescent="0.2">
      <c r="D513" s="53"/>
      <c r="E513" s="70"/>
      <c r="F513" s="70"/>
      <c r="G513" s="70"/>
      <c r="H513" s="70"/>
      <c r="I513" s="70"/>
      <c r="J513" s="70"/>
      <c r="K513" s="70"/>
      <c r="L513" s="70"/>
      <c r="M513" s="70"/>
      <c r="N513" s="70"/>
      <c r="O513" s="70"/>
      <c r="P513" s="70"/>
      <c r="Q513" s="70"/>
      <c r="R513" s="70"/>
      <c r="S513" s="70"/>
      <c r="T513" s="70"/>
      <c r="U513" s="64"/>
      <c r="V513" s="64"/>
      <c r="W513" s="70"/>
      <c r="X513" s="64"/>
      <c r="Y513" s="70"/>
      <c r="Z513" s="70"/>
      <c r="AA513" s="71"/>
      <c r="AB513" s="70"/>
      <c r="AC513" s="70"/>
      <c r="AD513" s="64"/>
      <c r="AE513" s="70"/>
      <c r="AF513" s="70"/>
      <c r="AG513" s="70"/>
      <c r="AH513" s="70"/>
    </row>
    <row r="514" spans="4:34" x14ac:dyDescent="0.2">
      <c r="D514" s="53"/>
      <c r="E514" s="70"/>
      <c r="F514" s="70"/>
      <c r="G514" s="70"/>
      <c r="H514" s="70"/>
      <c r="I514" s="70"/>
      <c r="J514" s="70"/>
      <c r="K514" s="70"/>
      <c r="L514" s="70"/>
      <c r="M514" s="70"/>
      <c r="N514" s="70"/>
      <c r="O514" s="70"/>
      <c r="P514" s="70"/>
      <c r="Q514" s="70"/>
      <c r="R514" s="70"/>
      <c r="S514" s="70"/>
      <c r="T514" s="70"/>
      <c r="U514" s="64"/>
      <c r="V514" s="64"/>
      <c r="W514" s="70"/>
      <c r="X514" s="64"/>
      <c r="Y514" s="70"/>
      <c r="Z514" s="70"/>
      <c r="AA514" s="71"/>
      <c r="AB514" s="70"/>
      <c r="AC514" s="70"/>
      <c r="AD514" s="64"/>
      <c r="AE514" s="70"/>
      <c r="AF514" s="70"/>
      <c r="AG514" s="70"/>
      <c r="AH514" s="70"/>
    </row>
    <row r="515" spans="4:34" x14ac:dyDescent="0.2">
      <c r="D515" s="53"/>
      <c r="E515" s="70"/>
      <c r="F515" s="70"/>
      <c r="G515" s="70"/>
      <c r="H515" s="70"/>
      <c r="I515" s="70"/>
      <c r="J515" s="70"/>
      <c r="K515" s="70"/>
      <c r="L515" s="70"/>
      <c r="M515" s="70"/>
      <c r="N515" s="70"/>
      <c r="O515" s="70"/>
      <c r="P515" s="70"/>
      <c r="Q515" s="70"/>
      <c r="R515" s="70"/>
      <c r="S515" s="70"/>
      <c r="T515" s="70"/>
      <c r="U515" s="64"/>
      <c r="V515" s="64"/>
      <c r="W515" s="70"/>
      <c r="X515" s="64"/>
      <c r="Y515" s="70"/>
      <c r="Z515" s="70"/>
      <c r="AA515" s="71"/>
      <c r="AB515" s="70"/>
      <c r="AC515" s="70"/>
      <c r="AD515" s="64"/>
      <c r="AE515" s="70"/>
      <c r="AF515" s="70"/>
      <c r="AG515" s="70"/>
      <c r="AH515" s="70"/>
    </row>
    <row r="516" spans="4:34" x14ac:dyDescent="0.2">
      <c r="D516" s="53"/>
      <c r="E516" s="70"/>
      <c r="F516" s="70"/>
      <c r="G516" s="70"/>
      <c r="H516" s="70"/>
      <c r="I516" s="70"/>
      <c r="J516" s="70"/>
      <c r="K516" s="70"/>
      <c r="L516" s="70"/>
      <c r="M516" s="70"/>
      <c r="N516" s="70"/>
      <c r="O516" s="70"/>
      <c r="P516" s="70"/>
      <c r="Q516" s="70"/>
      <c r="R516" s="70"/>
      <c r="S516" s="70"/>
      <c r="T516" s="70"/>
      <c r="U516" s="64"/>
      <c r="V516" s="64"/>
      <c r="W516" s="70"/>
      <c r="X516" s="64"/>
      <c r="Y516" s="70"/>
      <c r="Z516" s="70"/>
      <c r="AA516" s="71"/>
      <c r="AB516" s="70"/>
      <c r="AC516" s="70"/>
      <c r="AD516" s="64"/>
      <c r="AE516" s="70"/>
      <c r="AF516" s="70"/>
      <c r="AG516" s="70"/>
      <c r="AH516" s="70"/>
    </row>
    <row r="517" spans="4:34" x14ac:dyDescent="0.2">
      <c r="D517" s="53"/>
      <c r="E517" s="70"/>
      <c r="F517" s="70"/>
      <c r="G517" s="70"/>
      <c r="H517" s="70"/>
      <c r="I517" s="70"/>
      <c r="J517" s="70"/>
      <c r="K517" s="70"/>
      <c r="L517" s="70"/>
      <c r="M517" s="70"/>
      <c r="N517" s="70"/>
      <c r="O517" s="70"/>
      <c r="P517" s="70"/>
      <c r="Q517" s="70"/>
      <c r="R517" s="70"/>
      <c r="S517" s="70"/>
      <c r="T517" s="70"/>
      <c r="U517" s="64"/>
      <c r="V517" s="64"/>
      <c r="W517" s="70"/>
      <c r="X517" s="64"/>
      <c r="Y517" s="70"/>
      <c r="Z517" s="70"/>
      <c r="AA517" s="71"/>
      <c r="AB517" s="70"/>
      <c r="AC517" s="70"/>
      <c r="AD517" s="64"/>
      <c r="AE517" s="70"/>
      <c r="AF517" s="70"/>
      <c r="AG517" s="70"/>
      <c r="AH517" s="70"/>
    </row>
    <row r="518" spans="4:34" x14ac:dyDescent="0.2">
      <c r="D518" s="53"/>
      <c r="E518" s="70"/>
      <c r="F518" s="70"/>
      <c r="G518" s="70"/>
      <c r="H518" s="70"/>
      <c r="I518" s="70"/>
      <c r="J518" s="70"/>
      <c r="K518" s="70"/>
      <c r="L518" s="70"/>
      <c r="M518" s="70"/>
      <c r="N518" s="70"/>
      <c r="O518" s="70"/>
      <c r="P518" s="70"/>
      <c r="Q518" s="70"/>
      <c r="R518" s="70"/>
      <c r="S518" s="70"/>
      <c r="T518" s="70"/>
      <c r="U518" s="64"/>
      <c r="V518" s="64"/>
      <c r="W518" s="70"/>
      <c r="X518" s="64"/>
      <c r="Y518" s="70"/>
      <c r="Z518" s="70"/>
      <c r="AA518" s="71"/>
      <c r="AB518" s="70"/>
      <c r="AC518" s="70"/>
      <c r="AD518" s="64"/>
      <c r="AE518" s="70"/>
      <c r="AF518" s="70"/>
      <c r="AG518" s="70"/>
      <c r="AH518" s="70"/>
    </row>
    <row r="519" spans="4:34" x14ac:dyDescent="0.2">
      <c r="D519" s="53"/>
      <c r="E519" s="70"/>
      <c r="F519" s="70"/>
      <c r="G519" s="70"/>
      <c r="H519" s="70"/>
      <c r="I519" s="70"/>
      <c r="J519" s="70"/>
      <c r="K519" s="70"/>
      <c r="L519" s="70"/>
      <c r="M519" s="70"/>
      <c r="N519" s="70"/>
      <c r="O519" s="70"/>
      <c r="P519" s="70"/>
      <c r="Q519" s="70"/>
      <c r="R519" s="70"/>
      <c r="S519" s="70"/>
      <c r="T519" s="70"/>
      <c r="U519" s="64"/>
      <c r="V519" s="64"/>
      <c r="W519" s="70"/>
      <c r="X519" s="64"/>
      <c r="Y519" s="70"/>
      <c r="Z519" s="70"/>
      <c r="AA519" s="71"/>
      <c r="AB519" s="70"/>
      <c r="AC519" s="70"/>
      <c r="AD519" s="64"/>
      <c r="AE519" s="70"/>
      <c r="AF519" s="70"/>
      <c r="AG519" s="70"/>
      <c r="AH519" s="70"/>
    </row>
    <row r="520" spans="4:34" x14ac:dyDescent="0.2">
      <c r="D520" s="53"/>
      <c r="E520" s="70"/>
      <c r="F520" s="70"/>
      <c r="G520" s="70"/>
      <c r="H520" s="70"/>
      <c r="I520" s="70"/>
      <c r="J520" s="70"/>
      <c r="K520" s="70"/>
      <c r="L520" s="70"/>
      <c r="M520" s="70"/>
      <c r="N520" s="70"/>
      <c r="O520" s="70"/>
      <c r="P520" s="70"/>
      <c r="Q520" s="70"/>
      <c r="R520" s="70"/>
      <c r="S520" s="70"/>
      <c r="T520" s="70"/>
      <c r="U520" s="64"/>
      <c r="V520" s="64"/>
      <c r="W520" s="70"/>
      <c r="X520" s="64"/>
      <c r="Y520" s="70"/>
      <c r="Z520" s="70"/>
      <c r="AA520" s="71"/>
      <c r="AB520" s="70"/>
      <c r="AC520" s="70"/>
      <c r="AD520" s="64"/>
      <c r="AE520" s="70"/>
      <c r="AF520" s="70"/>
      <c r="AG520" s="70"/>
      <c r="AH520" s="70"/>
    </row>
    <row r="521" spans="4:34" x14ac:dyDescent="0.2">
      <c r="D521" s="53"/>
      <c r="E521" s="70"/>
      <c r="F521" s="70"/>
      <c r="G521" s="70"/>
      <c r="H521" s="70"/>
      <c r="I521" s="70"/>
      <c r="J521" s="70"/>
      <c r="K521" s="70"/>
      <c r="L521" s="70"/>
      <c r="M521" s="70"/>
      <c r="N521" s="70"/>
      <c r="O521" s="70"/>
      <c r="P521" s="70"/>
      <c r="Q521" s="70"/>
      <c r="R521" s="70"/>
      <c r="S521" s="70"/>
      <c r="T521" s="70"/>
      <c r="U521" s="64"/>
      <c r="V521" s="64"/>
      <c r="W521" s="70"/>
      <c r="X521" s="64"/>
      <c r="Y521" s="70"/>
      <c r="Z521" s="70"/>
      <c r="AA521" s="71"/>
      <c r="AB521" s="70"/>
      <c r="AC521" s="70"/>
      <c r="AD521" s="64"/>
      <c r="AE521" s="70"/>
      <c r="AF521" s="70"/>
      <c r="AG521" s="70"/>
      <c r="AH521" s="70"/>
    </row>
    <row r="522" spans="4:34" x14ac:dyDescent="0.2">
      <c r="D522" s="53"/>
      <c r="E522" s="70"/>
      <c r="F522" s="70"/>
      <c r="G522" s="70"/>
      <c r="H522" s="70"/>
      <c r="I522" s="70"/>
      <c r="J522" s="70"/>
      <c r="K522" s="70"/>
      <c r="L522" s="70"/>
      <c r="M522" s="70"/>
      <c r="N522" s="70"/>
      <c r="O522" s="70"/>
      <c r="P522" s="70"/>
      <c r="Q522" s="70"/>
      <c r="R522" s="70"/>
      <c r="S522" s="70"/>
      <c r="T522" s="70"/>
      <c r="U522" s="64"/>
      <c r="V522" s="64"/>
      <c r="W522" s="70"/>
      <c r="X522" s="64"/>
      <c r="Y522" s="70"/>
      <c r="Z522" s="70"/>
      <c r="AA522" s="71"/>
      <c r="AB522" s="70"/>
      <c r="AC522" s="70"/>
      <c r="AD522" s="64"/>
      <c r="AE522" s="70"/>
      <c r="AF522" s="70"/>
      <c r="AG522" s="70"/>
      <c r="AH522" s="70"/>
    </row>
    <row r="523" spans="4:34" x14ac:dyDescent="0.2">
      <c r="D523" s="53"/>
      <c r="E523" s="70"/>
      <c r="F523" s="70"/>
      <c r="G523" s="70"/>
      <c r="H523" s="70"/>
      <c r="I523" s="70"/>
      <c r="J523" s="70"/>
      <c r="K523" s="70"/>
      <c r="L523" s="70"/>
      <c r="M523" s="70"/>
      <c r="N523" s="70"/>
      <c r="O523" s="70"/>
      <c r="P523" s="70"/>
      <c r="Q523" s="70"/>
      <c r="R523" s="70"/>
      <c r="S523" s="70"/>
      <c r="T523" s="70"/>
      <c r="U523" s="64"/>
      <c r="V523" s="64"/>
      <c r="W523" s="70"/>
      <c r="X523" s="64"/>
      <c r="Y523" s="70"/>
      <c r="Z523" s="70"/>
      <c r="AA523" s="71"/>
      <c r="AB523" s="70"/>
      <c r="AC523" s="70"/>
      <c r="AD523" s="64"/>
      <c r="AE523" s="70"/>
      <c r="AF523" s="70"/>
      <c r="AG523" s="70"/>
      <c r="AH523" s="70"/>
    </row>
    <row r="524" spans="4:34" x14ac:dyDescent="0.2">
      <c r="D524" s="53"/>
      <c r="E524" s="70"/>
      <c r="F524" s="70"/>
      <c r="G524" s="70"/>
      <c r="H524" s="70"/>
      <c r="I524" s="70"/>
      <c r="J524" s="70"/>
      <c r="K524" s="70"/>
      <c r="L524" s="70"/>
      <c r="M524" s="70"/>
      <c r="N524" s="70"/>
      <c r="O524" s="70"/>
      <c r="P524" s="70"/>
      <c r="Q524" s="70"/>
      <c r="R524" s="70"/>
      <c r="S524" s="70"/>
      <c r="T524" s="70"/>
      <c r="U524" s="64"/>
      <c r="V524" s="64"/>
      <c r="W524" s="70"/>
      <c r="X524" s="64"/>
      <c r="Y524" s="70"/>
      <c r="Z524" s="70"/>
      <c r="AA524" s="71"/>
      <c r="AB524" s="70"/>
      <c r="AC524" s="70"/>
      <c r="AD524" s="64"/>
      <c r="AE524" s="70"/>
      <c r="AF524" s="70"/>
      <c r="AG524" s="70"/>
      <c r="AH524" s="70"/>
    </row>
    <row r="525" spans="4:34" x14ac:dyDescent="0.2">
      <c r="D525" s="53"/>
      <c r="E525" s="70"/>
      <c r="F525" s="70"/>
      <c r="G525" s="70"/>
      <c r="H525" s="70"/>
      <c r="I525" s="70"/>
      <c r="J525" s="70"/>
      <c r="K525" s="70"/>
      <c r="L525" s="70"/>
      <c r="M525" s="70"/>
      <c r="N525" s="70"/>
      <c r="O525" s="70"/>
      <c r="P525" s="70"/>
      <c r="Q525" s="70"/>
      <c r="R525" s="70"/>
      <c r="S525" s="70"/>
      <c r="T525" s="70"/>
      <c r="U525" s="64"/>
      <c r="V525" s="64"/>
      <c r="W525" s="70"/>
      <c r="X525" s="64"/>
      <c r="Y525" s="70"/>
      <c r="Z525" s="70"/>
      <c r="AA525" s="71"/>
      <c r="AB525" s="70"/>
      <c r="AC525" s="70"/>
      <c r="AD525" s="64"/>
      <c r="AE525" s="70"/>
      <c r="AF525" s="70"/>
      <c r="AG525" s="70"/>
      <c r="AH525" s="70"/>
    </row>
    <row r="526" spans="4:34" x14ac:dyDescent="0.2">
      <c r="D526" s="53"/>
      <c r="E526" s="70"/>
      <c r="F526" s="70"/>
      <c r="G526" s="70"/>
      <c r="H526" s="70"/>
      <c r="I526" s="70"/>
      <c r="J526" s="70"/>
      <c r="K526" s="70"/>
      <c r="L526" s="70"/>
      <c r="M526" s="70"/>
      <c r="N526" s="70"/>
      <c r="O526" s="70"/>
      <c r="P526" s="70"/>
      <c r="Q526" s="70"/>
      <c r="R526" s="70"/>
      <c r="S526" s="70"/>
      <c r="T526" s="70"/>
      <c r="U526" s="64"/>
      <c r="V526" s="64"/>
      <c r="W526" s="70"/>
      <c r="X526" s="64"/>
      <c r="Y526" s="70"/>
      <c r="Z526" s="70"/>
      <c r="AA526" s="71"/>
      <c r="AB526" s="70"/>
      <c r="AC526" s="70"/>
      <c r="AD526" s="64"/>
      <c r="AE526" s="70"/>
      <c r="AF526" s="70"/>
      <c r="AG526" s="70"/>
      <c r="AH526" s="70"/>
    </row>
    <row r="527" spans="4:34" x14ac:dyDescent="0.2">
      <c r="D527" s="53"/>
      <c r="E527" s="70"/>
      <c r="F527" s="70"/>
      <c r="G527" s="70"/>
      <c r="H527" s="70"/>
      <c r="I527" s="70"/>
      <c r="J527" s="70"/>
      <c r="K527" s="70"/>
      <c r="L527" s="70"/>
      <c r="M527" s="70"/>
      <c r="N527" s="70"/>
      <c r="O527" s="70"/>
      <c r="P527" s="70"/>
      <c r="Q527" s="70"/>
      <c r="R527" s="70"/>
      <c r="S527" s="70"/>
      <c r="T527" s="70"/>
      <c r="U527" s="64"/>
      <c r="V527" s="64"/>
      <c r="W527" s="70"/>
      <c r="X527" s="64"/>
      <c r="Y527" s="70"/>
      <c r="Z527" s="70"/>
      <c r="AA527" s="71"/>
      <c r="AB527" s="70"/>
      <c r="AC527" s="70"/>
      <c r="AD527" s="64"/>
      <c r="AE527" s="70"/>
      <c r="AF527" s="70"/>
      <c r="AG527" s="70"/>
      <c r="AH527" s="70"/>
    </row>
    <row r="528" spans="4:34" x14ac:dyDescent="0.2">
      <c r="D528" s="53"/>
      <c r="E528" s="70"/>
      <c r="F528" s="70"/>
      <c r="G528" s="70"/>
      <c r="H528" s="70"/>
      <c r="I528" s="70"/>
      <c r="J528" s="70"/>
      <c r="K528" s="70"/>
      <c r="L528" s="70"/>
      <c r="M528" s="70"/>
      <c r="N528" s="70"/>
      <c r="O528" s="70"/>
      <c r="P528" s="70"/>
      <c r="Q528" s="70"/>
      <c r="R528" s="70"/>
      <c r="S528" s="70"/>
      <c r="T528" s="70"/>
      <c r="U528" s="64"/>
      <c r="V528" s="64"/>
      <c r="W528" s="70"/>
      <c r="X528" s="64"/>
      <c r="Y528" s="70"/>
      <c r="Z528" s="70"/>
      <c r="AA528" s="71"/>
      <c r="AB528" s="70"/>
      <c r="AC528" s="70"/>
      <c r="AD528" s="64"/>
      <c r="AE528" s="70"/>
      <c r="AF528" s="70"/>
      <c r="AG528" s="70"/>
      <c r="AH528" s="70"/>
    </row>
    <row r="529" spans="4:34" x14ac:dyDescent="0.2">
      <c r="D529" s="53"/>
      <c r="E529" s="70"/>
      <c r="F529" s="70"/>
      <c r="G529" s="70"/>
      <c r="H529" s="70"/>
      <c r="I529" s="70"/>
      <c r="J529" s="70"/>
      <c r="K529" s="70"/>
      <c r="L529" s="70"/>
      <c r="M529" s="70"/>
      <c r="N529" s="70"/>
      <c r="O529" s="70"/>
      <c r="P529" s="70"/>
      <c r="Q529" s="70"/>
      <c r="R529" s="70"/>
      <c r="S529" s="70"/>
      <c r="T529" s="70"/>
      <c r="U529" s="64"/>
      <c r="V529" s="64"/>
      <c r="W529" s="70"/>
      <c r="X529" s="64"/>
      <c r="Y529" s="70"/>
      <c r="Z529" s="70"/>
      <c r="AA529" s="71"/>
      <c r="AB529" s="70"/>
      <c r="AC529" s="70"/>
      <c r="AD529" s="64"/>
      <c r="AE529" s="70"/>
      <c r="AF529" s="70"/>
      <c r="AG529" s="70"/>
      <c r="AH529" s="70"/>
    </row>
    <row r="530" spans="4:34" x14ac:dyDescent="0.2">
      <c r="D530" s="53"/>
      <c r="E530" s="70"/>
      <c r="F530" s="70"/>
      <c r="G530" s="70"/>
      <c r="H530" s="70"/>
      <c r="I530" s="70"/>
      <c r="J530" s="70"/>
      <c r="K530" s="70"/>
      <c r="L530" s="70"/>
      <c r="M530" s="70"/>
      <c r="N530" s="70"/>
      <c r="O530" s="70"/>
      <c r="P530" s="70"/>
      <c r="Q530" s="70"/>
      <c r="R530" s="70"/>
      <c r="S530" s="70"/>
      <c r="T530" s="70"/>
      <c r="U530" s="64"/>
      <c r="V530" s="64"/>
      <c r="W530" s="70"/>
      <c r="X530" s="64"/>
      <c r="Y530" s="70"/>
      <c r="Z530" s="70"/>
      <c r="AA530" s="71"/>
      <c r="AB530" s="70"/>
      <c r="AC530" s="70"/>
      <c r="AD530" s="64"/>
      <c r="AE530" s="70"/>
      <c r="AF530" s="70"/>
      <c r="AG530" s="70"/>
      <c r="AH530" s="70"/>
    </row>
    <row r="531" spans="4:34" x14ac:dyDescent="0.2">
      <c r="D531" s="53"/>
      <c r="E531" s="70"/>
      <c r="F531" s="70"/>
      <c r="G531" s="70"/>
      <c r="H531" s="70"/>
      <c r="I531" s="70"/>
      <c r="J531" s="70"/>
      <c r="K531" s="70"/>
      <c r="L531" s="70"/>
      <c r="M531" s="70"/>
      <c r="N531" s="70"/>
      <c r="O531" s="70"/>
      <c r="P531" s="70"/>
      <c r="Q531" s="70"/>
      <c r="R531" s="70"/>
      <c r="S531" s="70"/>
      <c r="T531" s="70"/>
      <c r="U531" s="64"/>
      <c r="V531" s="64"/>
      <c r="W531" s="70"/>
      <c r="X531" s="64"/>
      <c r="Y531" s="70"/>
      <c r="Z531" s="70"/>
      <c r="AA531" s="71"/>
      <c r="AB531" s="70"/>
      <c r="AC531" s="70"/>
      <c r="AD531" s="64"/>
      <c r="AE531" s="70"/>
      <c r="AF531" s="70"/>
      <c r="AG531" s="70"/>
      <c r="AH531" s="70"/>
    </row>
    <row r="532" spans="4:34" x14ac:dyDescent="0.2">
      <c r="D532" s="53"/>
      <c r="E532" s="70"/>
      <c r="F532" s="70"/>
      <c r="G532" s="70"/>
      <c r="H532" s="70"/>
      <c r="I532" s="70"/>
      <c r="J532" s="70"/>
      <c r="K532" s="70"/>
      <c r="L532" s="70"/>
      <c r="M532" s="70"/>
      <c r="N532" s="70"/>
      <c r="O532" s="70"/>
      <c r="P532" s="70"/>
      <c r="Q532" s="70"/>
      <c r="R532" s="70"/>
      <c r="S532" s="70"/>
      <c r="T532" s="70"/>
      <c r="U532" s="64"/>
      <c r="V532" s="64"/>
      <c r="W532" s="70"/>
      <c r="X532" s="64"/>
      <c r="Y532" s="70"/>
      <c r="Z532" s="70"/>
      <c r="AA532" s="71"/>
      <c r="AB532" s="70"/>
      <c r="AC532" s="70"/>
      <c r="AD532" s="64"/>
      <c r="AE532" s="70"/>
      <c r="AF532" s="70"/>
      <c r="AG532" s="70"/>
      <c r="AH532" s="70"/>
    </row>
    <row r="533" spans="4:34" x14ac:dyDescent="0.2">
      <c r="D533" s="53"/>
      <c r="E533" s="70"/>
      <c r="F533" s="70"/>
      <c r="G533" s="70"/>
      <c r="H533" s="70"/>
      <c r="I533" s="70"/>
      <c r="J533" s="70"/>
      <c r="K533" s="70"/>
      <c r="L533" s="70"/>
      <c r="M533" s="70"/>
      <c r="N533" s="70"/>
      <c r="O533" s="70"/>
      <c r="P533" s="70"/>
      <c r="Q533" s="70"/>
      <c r="R533" s="70"/>
      <c r="S533" s="70"/>
      <c r="T533" s="70"/>
      <c r="U533" s="64"/>
      <c r="V533" s="64"/>
      <c r="W533" s="70"/>
      <c r="X533" s="64"/>
      <c r="Y533" s="70"/>
      <c r="Z533" s="70"/>
      <c r="AA533" s="71"/>
      <c r="AB533" s="70"/>
      <c r="AC533" s="70"/>
      <c r="AD533" s="64"/>
      <c r="AE533" s="70"/>
      <c r="AF533" s="70"/>
      <c r="AG533" s="70"/>
      <c r="AH533" s="70"/>
    </row>
    <row r="534" spans="4:34" x14ac:dyDescent="0.2">
      <c r="D534" s="53"/>
      <c r="E534" s="70"/>
      <c r="F534" s="70"/>
      <c r="G534" s="70"/>
      <c r="H534" s="70"/>
      <c r="I534" s="70"/>
      <c r="J534" s="70"/>
      <c r="K534" s="70"/>
      <c r="L534" s="70"/>
      <c r="M534" s="70"/>
      <c r="N534" s="70"/>
      <c r="O534" s="70"/>
      <c r="P534" s="70"/>
      <c r="Q534" s="70"/>
      <c r="R534" s="70"/>
      <c r="S534" s="70"/>
      <c r="T534" s="70"/>
      <c r="U534" s="64"/>
      <c r="V534" s="64"/>
      <c r="W534" s="70"/>
      <c r="X534" s="64"/>
      <c r="Y534" s="70"/>
      <c r="Z534" s="70"/>
      <c r="AA534" s="71"/>
      <c r="AB534" s="70"/>
      <c r="AC534" s="70"/>
      <c r="AD534" s="64"/>
      <c r="AE534" s="70"/>
      <c r="AF534" s="70"/>
      <c r="AG534" s="70"/>
      <c r="AH534" s="70"/>
    </row>
    <row r="535" spans="4:34" x14ac:dyDescent="0.2">
      <c r="D535" s="53"/>
      <c r="E535" s="70"/>
      <c r="F535" s="70"/>
      <c r="G535" s="70"/>
      <c r="H535" s="70"/>
      <c r="I535" s="70"/>
      <c r="J535" s="70"/>
      <c r="K535" s="70"/>
      <c r="L535" s="70"/>
      <c r="M535" s="70"/>
      <c r="N535" s="70"/>
      <c r="O535" s="70"/>
      <c r="P535" s="70"/>
      <c r="Q535" s="70"/>
      <c r="R535" s="70"/>
      <c r="S535" s="70"/>
      <c r="T535" s="70"/>
      <c r="U535" s="64"/>
      <c r="V535" s="64"/>
      <c r="W535" s="70"/>
      <c r="X535" s="64"/>
      <c r="Y535" s="70"/>
      <c r="Z535" s="70"/>
      <c r="AA535" s="71"/>
      <c r="AB535" s="70"/>
      <c r="AC535" s="70"/>
      <c r="AD535" s="64"/>
      <c r="AE535" s="70"/>
      <c r="AF535" s="70"/>
      <c r="AG535" s="70"/>
      <c r="AH535" s="70"/>
    </row>
    <row r="536" spans="4:34" x14ac:dyDescent="0.2">
      <c r="D536" s="53"/>
      <c r="E536" s="70"/>
      <c r="F536" s="70"/>
      <c r="G536" s="70"/>
      <c r="H536" s="70"/>
      <c r="I536" s="70"/>
      <c r="J536" s="70"/>
      <c r="K536" s="70"/>
      <c r="L536" s="70"/>
      <c r="M536" s="70"/>
      <c r="N536" s="70"/>
      <c r="O536" s="70"/>
      <c r="P536" s="70"/>
      <c r="Q536" s="70"/>
      <c r="R536" s="70"/>
      <c r="S536" s="70"/>
      <c r="T536" s="70"/>
      <c r="U536" s="64"/>
      <c r="V536" s="64"/>
      <c r="W536" s="70"/>
      <c r="X536" s="64"/>
      <c r="Y536" s="70"/>
      <c r="Z536" s="70"/>
      <c r="AA536" s="71"/>
      <c r="AB536" s="70"/>
      <c r="AC536" s="70"/>
      <c r="AD536" s="64"/>
      <c r="AE536" s="70"/>
      <c r="AF536" s="70"/>
      <c r="AG536" s="70"/>
      <c r="AH536" s="70"/>
    </row>
    <row r="537" spans="4:34" x14ac:dyDescent="0.2">
      <c r="D537" s="53"/>
      <c r="E537" s="70"/>
      <c r="F537" s="70"/>
      <c r="G537" s="70"/>
      <c r="H537" s="70"/>
      <c r="I537" s="70"/>
      <c r="J537" s="70"/>
      <c r="K537" s="70"/>
      <c r="L537" s="70"/>
      <c r="M537" s="70"/>
      <c r="N537" s="70"/>
      <c r="O537" s="70"/>
      <c r="P537" s="70"/>
      <c r="Q537" s="70"/>
      <c r="R537" s="70"/>
      <c r="S537" s="70"/>
      <c r="T537" s="70"/>
      <c r="U537" s="64"/>
      <c r="V537" s="64"/>
      <c r="W537" s="70"/>
      <c r="X537" s="64"/>
      <c r="Y537" s="70"/>
      <c r="Z537" s="70"/>
      <c r="AA537" s="71"/>
      <c r="AB537" s="70"/>
      <c r="AC537" s="70"/>
      <c r="AD537" s="64"/>
      <c r="AE537" s="70"/>
      <c r="AF537" s="70"/>
      <c r="AG537" s="70"/>
      <c r="AH537" s="70"/>
    </row>
    <row r="538" spans="4:34" x14ac:dyDescent="0.2">
      <c r="D538" s="53"/>
      <c r="E538" s="70"/>
      <c r="F538" s="70"/>
      <c r="G538" s="70"/>
      <c r="H538" s="70"/>
      <c r="I538" s="70"/>
      <c r="J538" s="70"/>
      <c r="K538" s="70"/>
      <c r="L538" s="70"/>
      <c r="M538" s="70"/>
      <c r="N538" s="70"/>
      <c r="O538" s="70"/>
      <c r="P538" s="70"/>
      <c r="Q538" s="70"/>
      <c r="R538" s="70"/>
      <c r="S538" s="70"/>
      <c r="T538" s="70"/>
      <c r="U538" s="64"/>
      <c r="V538" s="64"/>
      <c r="W538" s="70"/>
      <c r="X538" s="64"/>
      <c r="Y538" s="70"/>
      <c r="Z538" s="70"/>
      <c r="AA538" s="71"/>
      <c r="AB538" s="70"/>
      <c r="AC538" s="70"/>
      <c r="AD538" s="64"/>
      <c r="AE538" s="70"/>
      <c r="AF538" s="70"/>
      <c r="AG538" s="70"/>
      <c r="AH538" s="70"/>
    </row>
    <row r="539" spans="4:34" x14ac:dyDescent="0.2">
      <c r="D539" s="53"/>
      <c r="E539" s="70"/>
      <c r="F539" s="70"/>
      <c r="G539" s="70"/>
      <c r="H539" s="70"/>
      <c r="I539" s="70"/>
      <c r="J539" s="70"/>
      <c r="K539" s="70"/>
      <c r="L539" s="70"/>
      <c r="M539" s="70"/>
      <c r="N539" s="70"/>
      <c r="O539" s="70"/>
      <c r="P539" s="70"/>
      <c r="Q539" s="70"/>
      <c r="R539" s="70"/>
      <c r="S539" s="70"/>
      <c r="T539" s="70"/>
      <c r="U539" s="64"/>
      <c r="V539" s="64"/>
      <c r="W539" s="70"/>
      <c r="X539" s="64"/>
      <c r="Y539" s="70"/>
      <c r="Z539" s="70"/>
      <c r="AA539" s="71"/>
      <c r="AB539" s="70"/>
      <c r="AC539" s="70"/>
      <c r="AD539" s="64"/>
      <c r="AE539" s="70"/>
      <c r="AF539" s="70"/>
      <c r="AG539" s="70"/>
      <c r="AH539" s="70"/>
    </row>
    <row r="540" spans="4:34" x14ac:dyDescent="0.2">
      <c r="D540" s="53"/>
      <c r="E540" s="70"/>
      <c r="F540" s="70"/>
      <c r="G540" s="70"/>
      <c r="H540" s="70"/>
      <c r="I540" s="70"/>
      <c r="J540" s="70"/>
      <c r="K540" s="70"/>
      <c r="L540" s="70"/>
      <c r="M540" s="70"/>
      <c r="N540" s="70"/>
      <c r="O540" s="70"/>
      <c r="P540" s="70"/>
      <c r="Q540" s="70"/>
      <c r="R540" s="70"/>
      <c r="S540" s="70"/>
      <c r="T540" s="70"/>
      <c r="U540" s="64"/>
      <c r="V540" s="64"/>
      <c r="W540" s="70"/>
      <c r="X540" s="64"/>
      <c r="Y540" s="70"/>
      <c r="Z540" s="70"/>
      <c r="AA540" s="71"/>
      <c r="AB540" s="70"/>
      <c r="AC540" s="70"/>
      <c r="AD540" s="64"/>
      <c r="AE540" s="70"/>
      <c r="AF540" s="70"/>
      <c r="AG540" s="70"/>
      <c r="AH540" s="70"/>
    </row>
    <row r="541" spans="4:34" x14ac:dyDescent="0.2">
      <c r="D541" s="53"/>
      <c r="E541" s="70"/>
      <c r="F541" s="70"/>
      <c r="G541" s="70"/>
      <c r="H541" s="70"/>
      <c r="I541" s="70"/>
      <c r="J541" s="70"/>
      <c r="K541" s="70"/>
      <c r="L541" s="70"/>
      <c r="M541" s="70"/>
      <c r="N541" s="70"/>
      <c r="O541" s="70"/>
      <c r="P541" s="70"/>
      <c r="Q541" s="70"/>
      <c r="R541" s="70"/>
      <c r="S541" s="70"/>
      <c r="T541" s="70"/>
      <c r="U541" s="64"/>
      <c r="V541" s="64"/>
      <c r="W541" s="70"/>
      <c r="X541" s="64"/>
      <c r="Y541" s="70"/>
      <c r="Z541" s="70"/>
      <c r="AA541" s="71"/>
      <c r="AB541" s="70"/>
      <c r="AC541" s="70"/>
      <c r="AD541" s="64"/>
      <c r="AE541" s="70"/>
      <c r="AF541" s="70"/>
      <c r="AG541" s="70"/>
      <c r="AH541" s="70"/>
    </row>
    <row r="542" spans="4:34" x14ac:dyDescent="0.2">
      <c r="D542" s="53"/>
      <c r="E542" s="70"/>
      <c r="F542" s="70"/>
      <c r="G542" s="70"/>
      <c r="H542" s="70"/>
      <c r="I542" s="70"/>
      <c r="J542" s="70"/>
      <c r="K542" s="70"/>
      <c r="L542" s="70"/>
      <c r="M542" s="70"/>
      <c r="N542" s="70"/>
      <c r="O542" s="70"/>
      <c r="P542" s="70"/>
      <c r="Q542" s="70"/>
      <c r="R542" s="70"/>
      <c r="S542" s="70"/>
      <c r="T542" s="70"/>
      <c r="U542" s="64"/>
      <c r="V542" s="64"/>
      <c r="W542" s="70"/>
      <c r="X542" s="64"/>
      <c r="Y542" s="70"/>
      <c r="Z542" s="70"/>
      <c r="AA542" s="71"/>
      <c r="AB542" s="70"/>
      <c r="AC542" s="70"/>
      <c r="AD542" s="64"/>
      <c r="AE542" s="70"/>
      <c r="AF542" s="70"/>
      <c r="AG542" s="70"/>
      <c r="AH542" s="70"/>
    </row>
    <row r="543" spans="4:34" x14ac:dyDescent="0.2">
      <c r="D543" s="53"/>
      <c r="E543" s="70"/>
      <c r="F543" s="70"/>
      <c r="G543" s="70"/>
      <c r="H543" s="70"/>
      <c r="I543" s="70"/>
      <c r="J543" s="70"/>
      <c r="K543" s="70"/>
      <c r="L543" s="70"/>
      <c r="M543" s="70"/>
      <c r="N543" s="70"/>
      <c r="O543" s="70"/>
      <c r="P543" s="70"/>
      <c r="Q543" s="70"/>
      <c r="R543" s="70"/>
      <c r="S543" s="70"/>
      <c r="T543" s="70"/>
      <c r="U543" s="64"/>
      <c r="V543" s="64"/>
      <c r="W543" s="70"/>
      <c r="X543" s="64"/>
      <c r="Y543" s="70"/>
      <c r="Z543" s="70"/>
      <c r="AA543" s="71"/>
      <c r="AB543" s="70"/>
      <c r="AC543" s="70"/>
      <c r="AD543" s="64"/>
      <c r="AE543" s="70"/>
      <c r="AF543" s="70"/>
      <c r="AG543" s="70"/>
      <c r="AH543" s="70"/>
    </row>
    <row r="544" spans="4:34" x14ac:dyDescent="0.2">
      <c r="D544" s="53"/>
      <c r="E544" s="70"/>
      <c r="F544" s="70"/>
      <c r="G544" s="70"/>
      <c r="H544" s="70"/>
      <c r="I544" s="70"/>
      <c r="J544" s="70"/>
      <c r="K544" s="70"/>
      <c r="L544" s="70"/>
      <c r="M544" s="70"/>
      <c r="N544" s="70"/>
      <c r="O544" s="70"/>
      <c r="P544" s="70"/>
      <c r="Q544" s="70"/>
      <c r="R544" s="70"/>
      <c r="S544" s="70"/>
      <c r="T544" s="70"/>
      <c r="U544" s="64"/>
      <c r="V544" s="64"/>
      <c r="W544" s="70"/>
      <c r="X544" s="64"/>
      <c r="Y544" s="70"/>
      <c r="Z544" s="70"/>
      <c r="AA544" s="71"/>
      <c r="AB544" s="70"/>
      <c r="AC544" s="70"/>
      <c r="AD544" s="64"/>
      <c r="AE544" s="70"/>
      <c r="AF544" s="70"/>
      <c r="AG544" s="70"/>
      <c r="AH544" s="70"/>
    </row>
    <row r="545" spans="4:34" x14ac:dyDescent="0.2">
      <c r="D545" s="53"/>
      <c r="E545" s="70"/>
      <c r="F545" s="70"/>
      <c r="G545" s="70"/>
      <c r="H545" s="70"/>
      <c r="I545" s="70"/>
      <c r="J545" s="70"/>
      <c r="K545" s="70"/>
      <c r="L545" s="70"/>
      <c r="M545" s="70"/>
      <c r="N545" s="70"/>
      <c r="O545" s="70"/>
      <c r="P545" s="70"/>
      <c r="Q545" s="70"/>
      <c r="R545" s="70"/>
      <c r="S545" s="70"/>
      <c r="T545" s="70"/>
      <c r="U545" s="64"/>
      <c r="V545" s="64"/>
      <c r="W545" s="70"/>
      <c r="X545" s="64"/>
      <c r="Y545" s="70"/>
      <c r="Z545" s="70"/>
      <c r="AA545" s="71"/>
      <c r="AB545" s="70"/>
      <c r="AC545" s="70"/>
      <c r="AD545" s="64"/>
      <c r="AE545" s="70"/>
      <c r="AF545" s="70"/>
      <c r="AG545" s="70"/>
      <c r="AH545" s="70"/>
    </row>
    <row r="546" spans="4:34" x14ac:dyDescent="0.2">
      <c r="D546" s="53"/>
      <c r="E546" s="70"/>
      <c r="F546" s="70"/>
      <c r="G546" s="70"/>
      <c r="H546" s="70"/>
      <c r="I546" s="70"/>
      <c r="J546" s="70"/>
      <c r="K546" s="70"/>
      <c r="L546" s="70"/>
      <c r="M546" s="70"/>
      <c r="N546" s="70"/>
      <c r="O546" s="70"/>
      <c r="P546" s="70"/>
      <c r="Q546" s="70"/>
      <c r="R546" s="70"/>
      <c r="S546" s="70"/>
      <c r="T546" s="70"/>
      <c r="U546" s="64"/>
      <c r="V546" s="64"/>
      <c r="W546" s="70"/>
      <c r="X546" s="64"/>
      <c r="Y546" s="70"/>
      <c r="Z546" s="70"/>
      <c r="AA546" s="71"/>
      <c r="AB546" s="70"/>
      <c r="AC546" s="70"/>
      <c r="AD546" s="64"/>
      <c r="AE546" s="70"/>
      <c r="AF546" s="70"/>
      <c r="AG546" s="70"/>
      <c r="AH546" s="70"/>
    </row>
    <row r="547" spans="4:34" x14ac:dyDescent="0.2">
      <c r="D547" s="53"/>
      <c r="E547" s="70"/>
      <c r="F547" s="70"/>
      <c r="G547" s="70"/>
      <c r="H547" s="70"/>
      <c r="I547" s="70"/>
      <c r="J547" s="70"/>
      <c r="K547" s="70"/>
      <c r="L547" s="70"/>
      <c r="M547" s="70"/>
      <c r="N547" s="70"/>
      <c r="O547" s="70"/>
      <c r="P547" s="70"/>
      <c r="Q547" s="70"/>
      <c r="R547" s="70"/>
      <c r="S547" s="70"/>
      <c r="T547" s="70"/>
      <c r="U547" s="64"/>
      <c r="V547" s="64"/>
      <c r="W547" s="70"/>
      <c r="X547" s="64"/>
      <c r="Y547" s="70"/>
      <c r="Z547" s="70"/>
      <c r="AA547" s="71"/>
      <c r="AB547" s="70"/>
      <c r="AC547" s="70"/>
      <c r="AD547" s="64"/>
      <c r="AE547" s="70"/>
      <c r="AF547" s="70"/>
      <c r="AG547" s="70"/>
      <c r="AH547" s="70"/>
    </row>
    <row r="548" spans="4:34" x14ac:dyDescent="0.2">
      <c r="D548" s="53"/>
      <c r="E548" s="70"/>
      <c r="F548" s="70"/>
      <c r="G548" s="70"/>
      <c r="H548" s="70"/>
      <c r="I548" s="70"/>
      <c r="J548" s="70"/>
      <c r="K548" s="70"/>
      <c r="L548" s="70"/>
      <c r="M548" s="70"/>
      <c r="N548" s="70"/>
      <c r="O548" s="70"/>
      <c r="P548" s="70"/>
      <c r="Q548" s="70"/>
      <c r="R548" s="70"/>
      <c r="S548" s="70"/>
      <c r="T548" s="70"/>
      <c r="U548" s="64"/>
      <c r="V548" s="64"/>
      <c r="W548" s="70"/>
      <c r="X548" s="64"/>
      <c r="Y548" s="70"/>
      <c r="Z548" s="70"/>
      <c r="AA548" s="71"/>
      <c r="AB548" s="70"/>
      <c r="AC548" s="70"/>
      <c r="AD548" s="64"/>
      <c r="AE548" s="70"/>
      <c r="AF548" s="70"/>
      <c r="AG548" s="70"/>
      <c r="AH548" s="70"/>
    </row>
    <row r="549" spans="4:34" x14ac:dyDescent="0.2">
      <c r="D549" s="53"/>
      <c r="E549" s="70"/>
      <c r="F549" s="70"/>
      <c r="G549" s="70"/>
      <c r="H549" s="70"/>
      <c r="I549" s="70"/>
      <c r="J549" s="70"/>
      <c r="K549" s="70"/>
      <c r="L549" s="70"/>
      <c r="M549" s="70"/>
      <c r="N549" s="70"/>
      <c r="O549" s="70"/>
      <c r="P549" s="70"/>
      <c r="Q549" s="70"/>
      <c r="R549" s="70"/>
      <c r="S549" s="70"/>
      <c r="T549" s="70"/>
      <c r="U549" s="64"/>
      <c r="V549" s="64"/>
      <c r="W549" s="70"/>
      <c r="X549" s="64"/>
      <c r="Y549" s="70"/>
      <c r="Z549" s="70"/>
      <c r="AA549" s="71"/>
      <c r="AB549" s="70"/>
      <c r="AC549" s="70"/>
      <c r="AD549" s="64"/>
      <c r="AE549" s="70"/>
      <c r="AF549" s="70"/>
      <c r="AG549" s="70"/>
      <c r="AH549" s="70"/>
    </row>
    <row r="550" spans="4:34" x14ac:dyDescent="0.2">
      <c r="D550" s="53"/>
      <c r="E550" s="70"/>
      <c r="F550" s="70"/>
      <c r="G550" s="70"/>
      <c r="H550" s="70"/>
      <c r="I550" s="70"/>
      <c r="J550" s="70"/>
      <c r="K550" s="70"/>
      <c r="L550" s="70"/>
      <c r="M550" s="70"/>
      <c r="N550" s="70"/>
      <c r="O550" s="70"/>
      <c r="P550" s="70"/>
      <c r="Q550" s="70"/>
      <c r="R550" s="70"/>
      <c r="S550" s="70"/>
      <c r="T550" s="70"/>
      <c r="U550" s="64"/>
      <c r="V550" s="64"/>
      <c r="W550" s="70"/>
      <c r="X550" s="64"/>
      <c r="Y550" s="70"/>
      <c r="Z550" s="70"/>
      <c r="AA550" s="71"/>
      <c r="AB550" s="70"/>
      <c r="AC550" s="70"/>
      <c r="AD550" s="64"/>
      <c r="AE550" s="70"/>
      <c r="AF550" s="70"/>
      <c r="AG550" s="70"/>
      <c r="AH550" s="70"/>
    </row>
    <row r="551" spans="4:34" x14ac:dyDescent="0.2">
      <c r="D551" s="53"/>
      <c r="E551" s="70"/>
      <c r="F551" s="70"/>
      <c r="G551" s="70"/>
      <c r="H551" s="70"/>
      <c r="I551" s="70"/>
      <c r="J551" s="70"/>
      <c r="K551" s="70"/>
      <c r="L551" s="70"/>
      <c r="M551" s="70"/>
      <c r="N551" s="70"/>
      <c r="O551" s="70"/>
      <c r="P551" s="70"/>
      <c r="Q551" s="70"/>
      <c r="R551" s="70"/>
      <c r="S551" s="70"/>
      <c r="T551" s="70"/>
      <c r="U551" s="64"/>
      <c r="V551" s="64"/>
      <c r="W551" s="70"/>
      <c r="X551" s="64"/>
      <c r="Y551" s="70"/>
      <c r="Z551" s="70"/>
      <c r="AA551" s="71"/>
      <c r="AB551" s="70"/>
      <c r="AC551" s="70"/>
      <c r="AD551" s="64"/>
      <c r="AE551" s="70"/>
      <c r="AF551" s="70"/>
      <c r="AG551" s="70"/>
      <c r="AH551" s="70"/>
    </row>
    <row r="552" spans="4:34" x14ac:dyDescent="0.2">
      <c r="D552" s="53"/>
      <c r="E552" s="70"/>
      <c r="F552" s="70"/>
      <c r="G552" s="70"/>
      <c r="H552" s="70"/>
      <c r="I552" s="70"/>
      <c r="J552" s="70"/>
      <c r="K552" s="70"/>
      <c r="L552" s="70"/>
      <c r="M552" s="70"/>
      <c r="N552" s="70"/>
      <c r="O552" s="70"/>
      <c r="P552" s="70"/>
      <c r="Q552" s="70"/>
      <c r="R552" s="70"/>
      <c r="S552" s="70"/>
      <c r="T552" s="70"/>
      <c r="U552" s="64"/>
      <c r="V552" s="64"/>
      <c r="W552" s="70"/>
      <c r="X552" s="64"/>
      <c r="Y552" s="70"/>
      <c r="Z552" s="70"/>
      <c r="AA552" s="71"/>
      <c r="AB552" s="70"/>
      <c r="AC552" s="70"/>
      <c r="AD552" s="64"/>
      <c r="AE552" s="70"/>
      <c r="AF552" s="70"/>
      <c r="AG552" s="70"/>
      <c r="AH552" s="70"/>
    </row>
    <row r="553" spans="4:34" x14ac:dyDescent="0.2">
      <c r="D553" s="53"/>
      <c r="E553" s="70"/>
      <c r="F553" s="70"/>
      <c r="G553" s="70"/>
      <c r="H553" s="70"/>
      <c r="I553" s="70"/>
      <c r="J553" s="70"/>
      <c r="K553" s="70"/>
      <c r="L553" s="70"/>
      <c r="M553" s="70"/>
      <c r="N553" s="70"/>
      <c r="O553" s="70"/>
      <c r="P553" s="70"/>
      <c r="Q553" s="70"/>
      <c r="R553" s="70"/>
      <c r="S553" s="70"/>
      <c r="T553" s="70"/>
      <c r="U553" s="64"/>
      <c r="V553" s="64"/>
      <c r="W553" s="70"/>
      <c r="X553" s="64"/>
      <c r="Y553" s="70"/>
      <c r="Z553" s="70"/>
      <c r="AA553" s="71"/>
      <c r="AB553" s="70"/>
      <c r="AC553" s="70"/>
      <c r="AD553" s="64"/>
      <c r="AE553" s="70"/>
      <c r="AF553" s="70"/>
      <c r="AG553" s="70"/>
      <c r="AH553" s="70"/>
    </row>
    <row r="554" spans="4:34" x14ac:dyDescent="0.2">
      <c r="D554" s="53"/>
      <c r="E554" s="70"/>
      <c r="F554" s="70"/>
      <c r="G554" s="70"/>
      <c r="H554" s="70"/>
      <c r="I554" s="70"/>
      <c r="J554" s="70"/>
      <c r="K554" s="70"/>
      <c r="L554" s="70"/>
      <c r="M554" s="70"/>
      <c r="N554" s="70"/>
      <c r="O554" s="70"/>
      <c r="P554" s="70"/>
      <c r="Q554" s="70"/>
      <c r="R554" s="70"/>
      <c r="S554" s="70"/>
      <c r="T554" s="70"/>
      <c r="U554" s="64"/>
      <c r="V554" s="64"/>
      <c r="W554" s="70"/>
      <c r="X554" s="64"/>
      <c r="Y554" s="70"/>
      <c r="Z554" s="70"/>
      <c r="AA554" s="71"/>
      <c r="AB554" s="70"/>
      <c r="AC554" s="70"/>
      <c r="AD554" s="64"/>
      <c r="AE554" s="70"/>
      <c r="AF554" s="70"/>
      <c r="AG554" s="70"/>
      <c r="AH554" s="70"/>
    </row>
    <row r="555" spans="4:34" x14ac:dyDescent="0.2">
      <c r="D555" s="53"/>
      <c r="E555" s="70"/>
      <c r="F555" s="70"/>
      <c r="G555" s="70"/>
      <c r="H555" s="70"/>
      <c r="I555" s="70"/>
      <c r="J555" s="70"/>
      <c r="K555" s="70"/>
      <c r="L555" s="70"/>
      <c r="M555" s="70"/>
      <c r="N555" s="70"/>
      <c r="O555" s="70"/>
      <c r="P555" s="70"/>
      <c r="Q555" s="70"/>
      <c r="R555" s="70"/>
      <c r="S555" s="70"/>
      <c r="T555" s="70"/>
      <c r="U555" s="64"/>
      <c r="V555" s="64"/>
      <c r="W555" s="70"/>
      <c r="X555" s="64"/>
      <c r="Y555" s="70"/>
      <c r="Z555" s="70"/>
      <c r="AA555" s="71"/>
      <c r="AB555" s="70"/>
      <c r="AC555" s="70"/>
      <c r="AD555" s="64"/>
      <c r="AE555" s="70"/>
      <c r="AF555" s="70"/>
      <c r="AG555" s="70"/>
      <c r="AH555" s="70"/>
    </row>
    <row r="556" spans="4:34" x14ac:dyDescent="0.2">
      <c r="D556" s="53"/>
      <c r="E556" s="70"/>
      <c r="F556" s="70"/>
      <c r="G556" s="70"/>
      <c r="H556" s="70"/>
      <c r="I556" s="70"/>
      <c r="J556" s="70"/>
      <c r="K556" s="70"/>
      <c r="L556" s="70"/>
      <c r="M556" s="70"/>
      <c r="N556" s="70"/>
      <c r="O556" s="70"/>
      <c r="P556" s="70"/>
      <c r="Q556" s="70"/>
      <c r="R556" s="70"/>
      <c r="S556" s="70"/>
      <c r="T556" s="70"/>
      <c r="U556" s="64"/>
      <c r="V556" s="64"/>
      <c r="W556" s="70"/>
      <c r="X556" s="64"/>
      <c r="Y556" s="70"/>
      <c r="Z556" s="70"/>
      <c r="AA556" s="71"/>
      <c r="AB556" s="70"/>
      <c r="AC556" s="70"/>
      <c r="AD556" s="64"/>
      <c r="AE556" s="70"/>
      <c r="AF556" s="70"/>
      <c r="AG556" s="70"/>
      <c r="AH556" s="70"/>
    </row>
    <row r="557" spans="4:34" x14ac:dyDescent="0.2">
      <c r="D557" s="53"/>
      <c r="E557" s="70"/>
      <c r="F557" s="70"/>
      <c r="G557" s="70"/>
      <c r="H557" s="70"/>
      <c r="I557" s="70"/>
      <c r="J557" s="70"/>
      <c r="K557" s="70"/>
      <c r="L557" s="70"/>
      <c r="M557" s="70"/>
      <c r="N557" s="70"/>
      <c r="O557" s="70"/>
      <c r="P557" s="70"/>
      <c r="Q557" s="70"/>
      <c r="R557" s="70"/>
      <c r="S557" s="70"/>
      <c r="T557" s="70"/>
      <c r="U557" s="64"/>
      <c r="V557" s="64"/>
      <c r="W557" s="70"/>
      <c r="X557" s="64"/>
      <c r="Y557" s="70"/>
      <c r="Z557" s="70"/>
      <c r="AA557" s="71"/>
      <c r="AB557" s="70"/>
      <c r="AC557" s="70"/>
      <c r="AD557" s="64"/>
      <c r="AE557" s="70"/>
      <c r="AF557" s="70"/>
      <c r="AG557" s="70"/>
      <c r="AH557" s="70"/>
    </row>
    <row r="558" spans="4:34" x14ac:dyDescent="0.2">
      <c r="D558" s="53"/>
      <c r="E558" s="70"/>
      <c r="F558" s="70"/>
      <c r="G558" s="70"/>
      <c r="H558" s="70"/>
      <c r="I558" s="70"/>
      <c r="J558" s="70"/>
      <c r="K558" s="70"/>
      <c r="L558" s="70"/>
      <c r="M558" s="70"/>
      <c r="N558" s="70"/>
      <c r="O558" s="70"/>
      <c r="P558" s="70"/>
      <c r="Q558" s="70"/>
      <c r="R558" s="70"/>
      <c r="S558" s="70"/>
      <c r="T558" s="70"/>
      <c r="U558" s="64"/>
      <c r="V558" s="64"/>
      <c r="W558" s="70"/>
      <c r="X558" s="64"/>
      <c r="Y558" s="70"/>
      <c r="Z558" s="70"/>
      <c r="AA558" s="71"/>
      <c r="AB558" s="70"/>
      <c r="AC558" s="70"/>
      <c r="AD558" s="64"/>
      <c r="AE558" s="70"/>
      <c r="AF558" s="70"/>
      <c r="AG558" s="70"/>
      <c r="AH558" s="70"/>
    </row>
    <row r="559" spans="4:34" x14ac:dyDescent="0.2">
      <c r="D559" s="53"/>
      <c r="E559" s="70"/>
      <c r="F559" s="70"/>
      <c r="G559" s="70"/>
      <c r="H559" s="70"/>
      <c r="I559" s="70"/>
      <c r="J559" s="70"/>
      <c r="K559" s="70"/>
      <c r="L559" s="70"/>
      <c r="M559" s="70"/>
      <c r="N559" s="70"/>
      <c r="O559" s="70"/>
      <c r="P559" s="70"/>
      <c r="Q559" s="70"/>
      <c r="R559" s="70"/>
      <c r="S559" s="70"/>
      <c r="T559" s="70"/>
      <c r="U559" s="64"/>
      <c r="V559" s="64"/>
      <c r="W559" s="70"/>
      <c r="X559" s="64"/>
      <c r="Y559" s="70"/>
      <c r="Z559" s="70"/>
      <c r="AA559" s="71"/>
      <c r="AB559" s="70"/>
      <c r="AC559" s="70"/>
      <c r="AD559" s="64"/>
      <c r="AE559" s="70"/>
      <c r="AF559" s="70"/>
      <c r="AG559" s="70"/>
      <c r="AH559" s="70"/>
    </row>
    <row r="560" spans="4:34" x14ac:dyDescent="0.2">
      <c r="D560" s="53"/>
      <c r="E560" s="70"/>
      <c r="F560" s="70"/>
      <c r="G560" s="70"/>
      <c r="H560" s="70"/>
      <c r="I560" s="70"/>
      <c r="J560" s="70"/>
      <c r="K560" s="70"/>
      <c r="L560" s="70"/>
      <c r="M560" s="70"/>
      <c r="N560" s="70"/>
      <c r="O560" s="70"/>
      <c r="P560" s="70"/>
      <c r="Q560" s="70"/>
      <c r="R560" s="70"/>
      <c r="S560" s="70"/>
      <c r="T560" s="70"/>
      <c r="U560" s="64"/>
      <c r="V560" s="64"/>
      <c r="W560" s="70"/>
      <c r="X560" s="64"/>
      <c r="Y560" s="70"/>
      <c r="Z560" s="70"/>
      <c r="AA560" s="71"/>
      <c r="AB560" s="70"/>
      <c r="AC560" s="70"/>
      <c r="AD560" s="64"/>
      <c r="AE560" s="70"/>
      <c r="AF560" s="70"/>
      <c r="AG560" s="70"/>
      <c r="AH560" s="70"/>
    </row>
    <row r="561" spans="4:34" x14ac:dyDescent="0.2">
      <c r="D561" s="53"/>
      <c r="E561" s="70"/>
      <c r="F561" s="70"/>
      <c r="G561" s="70"/>
      <c r="H561" s="70"/>
      <c r="I561" s="70"/>
      <c r="J561" s="70"/>
      <c r="K561" s="70"/>
      <c r="L561" s="70"/>
      <c r="M561" s="70"/>
      <c r="N561" s="70"/>
      <c r="O561" s="70"/>
      <c r="P561" s="70"/>
      <c r="Q561" s="70"/>
      <c r="R561" s="70"/>
      <c r="S561" s="70"/>
      <c r="T561" s="70"/>
      <c r="U561" s="64"/>
      <c r="V561" s="64"/>
      <c r="W561" s="70"/>
      <c r="X561" s="64"/>
      <c r="Y561" s="70"/>
      <c r="Z561" s="70"/>
      <c r="AA561" s="71"/>
      <c r="AB561" s="70"/>
      <c r="AC561" s="70"/>
      <c r="AD561" s="64"/>
      <c r="AE561" s="70"/>
      <c r="AF561" s="70"/>
      <c r="AG561" s="70"/>
      <c r="AH561" s="70"/>
    </row>
    <row r="562" spans="4:34" x14ac:dyDescent="0.2">
      <c r="D562" s="53"/>
      <c r="E562" s="70"/>
      <c r="F562" s="70"/>
      <c r="G562" s="70"/>
      <c r="H562" s="70"/>
      <c r="I562" s="70"/>
      <c r="J562" s="70"/>
      <c r="K562" s="70"/>
      <c r="L562" s="70"/>
      <c r="M562" s="70"/>
      <c r="N562" s="70"/>
      <c r="O562" s="70"/>
      <c r="P562" s="70"/>
      <c r="Q562" s="70"/>
      <c r="R562" s="70"/>
      <c r="S562" s="70"/>
      <c r="T562" s="70"/>
      <c r="U562" s="64"/>
      <c r="V562" s="64"/>
      <c r="W562" s="70"/>
      <c r="X562" s="64"/>
      <c r="Y562" s="70"/>
      <c r="Z562" s="70"/>
      <c r="AA562" s="71"/>
      <c r="AB562" s="70"/>
      <c r="AC562" s="70"/>
      <c r="AD562" s="64"/>
      <c r="AE562" s="70"/>
      <c r="AF562" s="70"/>
      <c r="AG562" s="70"/>
      <c r="AH562" s="70"/>
    </row>
    <row r="563" spans="4:34" x14ac:dyDescent="0.2">
      <c r="D563" s="53"/>
      <c r="E563" s="70"/>
      <c r="F563" s="70"/>
      <c r="G563" s="70"/>
      <c r="H563" s="70"/>
      <c r="I563" s="70"/>
      <c r="J563" s="70"/>
      <c r="K563" s="70"/>
      <c r="L563" s="70"/>
      <c r="M563" s="70"/>
      <c r="N563" s="70"/>
      <c r="O563" s="70"/>
      <c r="P563" s="70"/>
      <c r="Q563" s="70"/>
      <c r="R563" s="70"/>
      <c r="S563" s="70"/>
      <c r="T563" s="70"/>
      <c r="U563" s="64"/>
      <c r="V563" s="64"/>
      <c r="W563" s="70"/>
      <c r="X563" s="64"/>
      <c r="Y563" s="70"/>
      <c r="Z563" s="70"/>
      <c r="AA563" s="71"/>
      <c r="AB563" s="70"/>
      <c r="AC563" s="70"/>
      <c r="AD563" s="64"/>
      <c r="AE563" s="70"/>
      <c r="AF563" s="70"/>
      <c r="AG563" s="70"/>
      <c r="AH563" s="70"/>
    </row>
    <row r="564" spans="4:34" x14ac:dyDescent="0.2">
      <c r="D564" s="53"/>
      <c r="E564" s="70"/>
      <c r="F564" s="70"/>
      <c r="G564" s="70"/>
      <c r="H564" s="70"/>
      <c r="I564" s="70"/>
      <c r="J564" s="70"/>
      <c r="K564" s="70"/>
      <c r="L564" s="70"/>
      <c r="M564" s="70"/>
      <c r="N564" s="70"/>
      <c r="O564" s="70"/>
      <c r="P564" s="70"/>
      <c r="Q564" s="70"/>
      <c r="R564" s="70"/>
      <c r="S564" s="70"/>
      <c r="T564" s="70"/>
      <c r="U564" s="64"/>
      <c r="V564" s="64"/>
      <c r="W564" s="70"/>
      <c r="X564" s="64"/>
      <c r="Y564" s="70"/>
      <c r="Z564" s="70"/>
      <c r="AA564" s="71"/>
      <c r="AB564" s="70"/>
      <c r="AC564" s="70"/>
      <c r="AD564" s="64"/>
      <c r="AE564" s="70"/>
      <c r="AF564" s="70"/>
      <c r="AG564" s="70"/>
      <c r="AH564" s="70"/>
    </row>
    <row r="565" spans="4:34" x14ac:dyDescent="0.2">
      <c r="D565" s="53"/>
      <c r="E565" s="70"/>
      <c r="F565" s="70"/>
      <c r="G565" s="70"/>
      <c r="H565" s="70"/>
      <c r="I565" s="70"/>
      <c r="J565" s="70"/>
      <c r="K565" s="70"/>
      <c r="L565" s="70"/>
      <c r="M565" s="70"/>
      <c r="N565" s="70"/>
      <c r="O565" s="70"/>
      <c r="P565" s="70"/>
      <c r="Q565" s="70"/>
      <c r="R565" s="70"/>
      <c r="S565" s="70"/>
      <c r="T565" s="70"/>
      <c r="U565" s="64"/>
      <c r="V565" s="64"/>
      <c r="W565" s="70"/>
      <c r="X565" s="64"/>
      <c r="Y565" s="70"/>
      <c r="Z565" s="70"/>
      <c r="AA565" s="71"/>
      <c r="AB565" s="70"/>
      <c r="AC565" s="70"/>
      <c r="AD565" s="64"/>
      <c r="AE565" s="70"/>
      <c r="AF565" s="70"/>
      <c r="AG565" s="70"/>
      <c r="AH565" s="70"/>
    </row>
    <row r="566" spans="4:34" x14ac:dyDescent="0.2">
      <c r="D566" s="53"/>
      <c r="E566" s="70"/>
      <c r="F566" s="70"/>
      <c r="G566" s="70"/>
      <c r="H566" s="70"/>
      <c r="I566" s="70"/>
      <c r="J566" s="70"/>
      <c r="K566" s="70"/>
      <c r="L566" s="70"/>
      <c r="M566" s="70"/>
      <c r="N566" s="70"/>
      <c r="O566" s="70"/>
      <c r="P566" s="70"/>
      <c r="Q566" s="70"/>
      <c r="R566" s="70"/>
      <c r="S566" s="70"/>
      <c r="T566" s="70"/>
      <c r="U566" s="64"/>
      <c r="V566" s="64"/>
      <c r="W566" s="70"/>
      <c r="X566" s="64"/>
      <c r="Y566" s="70"/>
      <c r="Z566" s="70"/>
      <c r="AA566" s="71"/>
      <c r="AB566" s="70"/>
      <c r="AC566" s="70"/>
      <c r="AD566" s="64"/>
      <c r="AE566" s="70"/>
      <c r="AF566" s="70"/>
      <c r="AG566" s="70"/>
      <c r="AH566" s="70"/>
    </row>
    <row r="567" spans="4:34" x14ac:dyDescent="0.2">
      <c r="D567" s="53"/>
      <c r="E567" s="70"/>
      <c r="F567" s="70"/>
      <c r="G567" s="70"/>
      <c r="H567" s="70"/>
      <c r="I567" s="70"/>
      <c r="J567" s="70"/>
      <c r="K567" s="70"/>
      <c r="L567" s="70"/>
      <c r="M567" s="70"/>
      <c r="N567" s="70"/>
      <c r="O567" s="70"/>
      <c r="P567" s="70"/>
      <c r="Q567" s="70"/>
      <c r="R567" s="70"/>
      <c r="S567" s="70"/>
      <c r="T567" s="70"/>
      <c r="U567" s="64"/>
      <c r="V567" s="64"/>
      <c r="W567" s="70"/>
      <c r="X567" s="64"/>
      <c r="Y567" s="70"/>
      <c r="Z567" s="70"/>
      <c r="AA567" s="71"/>
      <c r="AB567" s="70"/>
      <c r="AC567" s="70"/>
      <c r="AD567" s="64"/>
      <c r="AE567" s="70"/>
      <c r="AF567" s="70"/>
      <c r="AG567" s="70"/>
      <c r="AH567" s="70"/>
    </row>
    <row r="568" spans="4:34" x14ac:dyDescent="0.2">
      <c r="D568" s="53"/>
      <c r="E568" s="70"/>
      <c r="F568" s="70"/>
      <c r="G568" s="70"/>
      <c r="H568" s="70"/>
      <c r="I568" s="70"/>
      <c r="J568" s="70"/>
      <c r="K568" s="70"/>
      <c r="L568" s="70"/>
      <c r="M568" s="70"/>
      <c r="N568" s="70"/>
      <c r="O568" s="70"/>
      <c r="P568" s="70"/>
      <c r="Q568" s="70"/>
      <c r="R568" s="70"/>
      <c r="S568" s="70"/>
      <c r="T568" s="70"/>
      <c r="U568" s="64"/>
      <c r="V568" s="64"/>
      <c r="W568" s="70"/>
      <c r="X568" s="64"/>
      <c r="Y568" s="70"/>
      <c r="Z568" s="70"/>
      <c r="AA568" s="71"/>
      <c r="AB568" s="70"/>
      <c r="AC568" s="70"/>
      <c r="AD568" s="64"/>
      <c r="AE568" s="70"/>
      <c r="AF568" s="70"/>
      <c r="AG568" s="70"/>
      <c r="AH568" s="70"/>
    </row>
    <row r="569" spans="4:34" x14ac:dyDescent="0.2">
      <c r="D569" s="53"/>
      <c r="E569" s="70"/>
      <c r="F569" s="70"/>
      <c r="G569" s="70"/>
      <c r="H569" s="70"/>
      <c r="I569" s="70"/>
      <c r="J569" s="70"/>
      <c r="K569" s="70"/>
      <c r="L569" s="70"/>
      <c r="M569" s="70"/>
      <c r="N569" s="70"/>
      <c r="O569" s="70"/>
      <c r="P569" s="70"/>
      <c r="Q569" s="70"/>
      <c r="R569" s="70"/>
      <c r="S569" s="70"/>
      <c r="T569" s="70"/>
      <c r="U569" s="64"/>
      <c r="V569" s="64"/>
      <c r="W569" s="70"/>
      <c r="X569" s="64"/>
      <c r="Y569" s="70"/>
      <c r="Z569" s="70"/>
      <c r="AA569" s="71"/>
      <c r="AB569" s="70"/>
      <c r="AC569" s="70"/>
      <c r="AD569" s="64"/>
      <c r="AE569" s="70"/>
      <c r="AF569" s="70"/>
      <c r="AG569" s="70"/>
      <c r="AH569" s="70"/>
    </row>
    <row r="570" spans="4:34" x14ac:dyDescent="0.2">
      <c r="D570" s="53"/>
      <c r="E570" s="70"/>
      <c r="F570" s="70"/>
      <c r="G570" s="70"/>
      <c r="H570" s="70"/>
      <c r="I570" s="70"/>
      <c r="J570" s="70"/>
      <c r="K570" s="70"/>
      <c r="L570" s="70"/>
      <c r="M570" s="70"/>
      <c r="N570" s="70"/>
      <c r="O570" s="70"/>
      <c r="P570" s="70"/>
      <c r="Q570" s="70"/>
      <c r="R570" s="70"/>
      <c r="S570" s="70"/>
      <c r="T570" s="70"/>
      <c r="U570" s="64"/>
      <c r="V570" s="64"/>
      <c r="W570" s="70"/>
      <c r="X570" s="64"/>
      <c r="Y570" s="70"/>
      <c r="Z570" s="70"/>
      <c r="AA570" s="71"/>
      <c r="AB570" s="70"/>
      <c r="AC570" s="70"/>
      <c r="AD570" s="64"/>
      <c r="AE570" s="70"/>
      <c r="AF570" s="70"/>
      <c r="AG570" s="70"/>
      <c r="AH570" s="70"/>
    </row>
    <row r="571" spans="4:34" x14ac:dyDescent="0.2">
      <c r="D571" s="53"/>
      <c r="E571" s="70"/>
      <c r="F571" s="70"/>
      <c r="G571" s="70"/>
      <c r="H571" s="70"/>
      <c r="I571" s="70"/>
      <c r="J571" s="70"/>
      <c r="K571" s="70"/>
      <c r="L571" s="70"/>
      <c r="M571" s="70"/>
      <c r="N571" s="70"/>
      <c r="O571" s="70"/>
      <c r="P571" s="70"/>
      <c r="Q571" s="70"/>
      <c r="R571" s="70"/>
      <c r="S571" s="70"/>
      <c r="T571" s="70"/>
      <c r="U571" s="64"/>
      <c r="V571" s="64"/>
      <c r="W571" s="70"/>
      <c r="X571" s="64"/>
      <c r="Y571" s="70"/>
      <c r="Z571" s="70"/>
      <c r="AA571" s="71"/>
      <c r="AB571" s="70"/>
      <c r="AC571" s="70"/>
      <c r="AD571" s="64"/>
      <c r="AE571" s="70"/>
      <c r="AF571" s="70"/>
      <c r="AG571" s="70"/>
      <c r="AH571" s="70"/>
    </row>
    <row r="572" spans="4:34" x14ac:dyDescent="0.2">
      <c r="D572" s="53"/>
      <c r="E572" s="70"/>
      <c r="F572" s="70"/>
      <c r="G572" s="70"/>
      <c r="H572" s="70"/>
      <c r="I572" s="70"/>
      <c r="J572" s="70"/>
      <c r="K572" s="70"/>
      <c r="L572" s="70"/>
      <c r="M572" s="70"/>
      <c r="N572" s="70"/>
      <c r="O572" s="70"/>
      <c r="P572" s="70"/>
      <c r="Q572" s="70"/>
      <c r="R572" s="70"/>
      <c r="S572" s="70"/>
      <c r="T572" s="70"/>
      <c r="U572" s="64"/>
      <c r="V572" s="64"/>
      <c r="W572" s="70"/>
      <c r="X572" s="64"/>
      <c r="Y572" s="70"/>
      <c r="Z572" s="70"/>
      <c r="AA572" s="71"/>
      <c r="AB572" s="70"/>
      <c r="AC572" s="70"/>
      <c r="AD572" s="64"/>
      <c r="AE572" s="70"/>
      <c r="AF572" s="70"/>
      <c r="AG572" s="70"/>
      <c r="AH572" s="70"/>
    </row>
    <row r="573" spans="4:34" x14ac:dyDescent="0.2">
      <c r="D573" s="53"/>
      <c r="E573" s="70"/>
      <c r="F573" s="70"/>
      <c r="G573" s="70"/>
      <c r="H573" s="70"/>
      <c r="I573" s="70"/>
      <c r="J573" s="70"/>
      <c r="K573" s="70"/>
      <c r="L573" s="70"/>
      <c r="M573" s="70"/>
      <c r="N573" s="70"/>
      <c r="O573" s="70"/>
      <c r="P573" s="70"/>
      <c r="Q573" s="70"/>
      <c r="R573" s="70"/>
      <c r="S573" s="70"/>
      <c r="T573" s="70"/>
      <c r="U573" s="64"/>
      <c r="V573" s="64"/>
      <c r="W573" s="70"/>
      <c r="X573" s="64"/>
      <c r="Y573" s="70"/>
      <c r="Z573" s="70"/>
      <c r="AA573" s="71"/>
      <c r="AB573" s="70"/>
      <c r="AC573" s="70"/>
      <c r="AD573" s="64"/>
      <c r="AE573" s="70"/>
      <c r="AF573" s="70"/>
      <c r="AG573" s="70"/>
      <c r="AH573" s="70"/>
    </row>
    <row r="574" spans="4:34" x14ac:dyDescent="0.2">
      <c r="D574" s="53"/>
      <c r="E574" s="70"/>
      <c r="F574" s="70"/>
      <c r="G574" s="70"/>
      <c r="H574" s="70"/>
      <c r="I574" s="70"/>
      <c r="J574" s="70"/>
      <c r="K574" s="70"/>
      <c r="L574" s="70"/>
      <c r="M574" s="70"/>
      <c r="N574" s="70"/>
      <c r="O574" s="70"/>
      <c r="P574" s="70"/>
      <c r="Q574" s="70"/>
      <c r="R574" s="70"/>
      <c r="S574" s="70"/>
      <c r="T574" s="70"/>
      <c r="U574" s="64"/>
      <c r="V574" s="64"/>
      <c r="W574" s="70"/>
      <c r="X574" s="64"/>
      <c r="Y574" s="70"/>
      <c r="Z574" s="70"/>
      <c r="AA574" s="71"/>
      <c r="AB574" s="70"/>
      <c r="AC574" s="70"/>
      <c r="AD574" s="64"/>
      <c r="AE574" s="70"/>
      <c r="AF574" s="70"/>
      <c r="AG574" s="70"/>
      <c r="AH574" s="70"/>
    </row>
    <row r="575" spans="4:34" x14ac:dyDescent="0.2">
      <c r="D575" s="53"/>
      <c r="E575" s="70"/>
      <c r="F575" s="70"/>
      <c r="G575" s="70"/>
      <c r="H575" s="70"/>
      <c r="I575" s="70"/>
      <c r="J575" s="70"/>
      <c r="K575" s="70"/>
      <c r="L575" s="70"/>
      <c r="M575" s="70"/>
      <c r="N575" s="70"/>
      <c r="O575" s="70"/>
      <c r="P575" s="70"/>
      <c r="Q575" s="70"/>
      <c r="R575" s="70"/>
      <c r="S575" s="70"/>
      <c r="T575" s="70"/>
      <c r="U575" s="64"/>
      <c r="V575" s="64"/>
      <c r="W575" s="70"/>
      <c r="X575" s="64"/>
      <c r="Y575" s="70"/>
      <c r="Z575" s="70"/>
      <c r="AA575" s="71"/>
      <c r="AB575" s="70"/>
      <c r="AC575" s="70"/>
      <c r="AD575" s="64"/>
      <c r="AE575" s="70"/>
      <c r="AF575" s="70"/>
      <c r="AG575" s="70"/>
      <c r="AH575" s="70"/>
    </row>
    <row r="576" spans="4:34" x14ac:dyDescent="0.2">
      <c r="D576" s="53"/>
      <c r="E576" s="70"/>
      <c r="F576" s="70"/>
      <c r="G576" s="70"/>
      <c r="H576" s="70"/>
      <c r="I576" s="70"/>
      <c r="J576" s="70"/>
      <c r="K576" s="70"/>
      <c r="L576" s="70"/>
      <c r="M576" s="70"/>
      <c r="N576" s="70"/>
      <c r="O576" s="70"/>
      <c r="P576" s="70"/>
      <c r="Q576" s="70"/>
      <c r="R576" s="70"/>
      <c r="S576" s="70"/>
      <c r="T576" s="70"/>
      <c r="U576" s="64"/>
      <c r="V576" s="64"/>
      <c r="W576" s="70"/>
      <c r="X576" s="64"/>
      <c r="Y576" s="70"/>
      <c r="Z576" s="70"/>
      <c r="AA576" s="71"/>
      <c r="AB576" s="70"/>
      <c r="AC576" s="70"/>
      <c r="AD576" s="64"/>
      <c r="AE576" s="70"/>
      <c r="AF576" s="70"/>
      <c r="AG576" s="70"/>
      <c r="AH576" s="70"/>
    </row>
    <row r="577" spans="4:34" x14ac:dyDescent="0.2">
      <c r="D577" s="53"/>
      <c r="E577" s="70"/>
      <c r="F577" s="70"/>
      <c r="G577" s="70"/>
      <c r="H577" s="70"/>
      <c r="I577" s="70"/>
      <c r="J577" s="70"/>
      <c r="K577" s="70"/>
      <c r="L577" s="70"/>
      <c r="M577" s="70"/>
      <c r="N577" s="70"/>
      <c r="O577" s="70"/>
      <c r="P577" s="70"/>
      <c r="Q577" s="70"/>
      <c r="R577" s="70"/>
      <c r="S577" s="70"/>
      <c r="T577" s="70"/>
      <c r="U577" s="64"/>
      <c r="V577" s="64"/>
      <c r="W577" s="70"/>
      <c r="X577" s="64"/>
      <c r="Y577" s="70"/>
      <c r="Z577" s="70"/>
      <c r="AA577" s="71"/>
      <c r="AB577" s="70"/>
      <c r="AC577" s="70"/>
      <c r="AD577" s="64"/>
      <c r="AE577" s="70"/>
      <c r="AF577" s="70"/>
      <c r="AG577" s="70"/>
      <c r="AH577" s="70"/>
    </row>
    <row r="578" spans="4:34" x14ac:dyDescent="0.2">
      <c r="D578" s="53"/>
      <c r="E578" s="70"/>
      <c r="F578" s="70"/>
      <c r="G578" s="70"/>
      <c r="H578" s="70"/>
      <c r="I578" s="70"/>
      <c r="J578" s="70"/>
      <c r="K578" s="70"/>
      <c r="L578" s="70"/>
      <c r="M578" s="70"/>
      <c r="N578" s="70"/>
      <c r="O578" s="70"/>
      <c r="P578" s="70"/>
      <c r="Q578" s="70"/>
      <c r="R578" s="70"/>
      <c r="S578" s="70"/>
      <c r="T578" s="70"/>
      <c r="U578" s="64"/>
      <c r="V578" s="64"/>
      <c r="W578" s="70"/>
      <c r="X578" s="64"/>
      <c r="Y578" s="70"/>
      <c r="Z578" s="70"/>
      <c r="AA578" s="71"/>
      <c r="AB578" s="70"/>
      <c r="AC578" s="70"/>
      <c r="AD578" s="64"/>
      <c r="AE578" s="70"/>
      <c r="AF578" s="70"/>
      <c r="AG578" s="70"/>
      <c r="AH578" s="70"/>
    </row>
    <row r="579" spans="4:34" x14ac:dyDescent="0.2">
      <c r="D579" s="53"/>
      <c r="E579" s="70"/>
      <c r="F579" s="70"/>
      <c r="G579" s="70"/>
      <c r="H579" s="70"/>
      <c r="I579" s="70"/>
      <c r="J579" s="70"/>
      <c r="K579" s="70"/>
      <c r="L579" s="70"/>
      <c r="M579" s="70"/>
      <c r="N579" s="70"/>
      <c r="O579" s="70"/>
      <c r="P579" s="70"/>
      <c r="Q579" s="70"/>
      <c r="R579" s="70"/>
      <c r="S579" s="70"/>
      <c r="T579" s="70"/>
      <c r="U579" s="64"/>
      <c r="V579" s="64"/>
      <c r="W579" s="70"/>
      <c r="X579" s="64"/>
      <c r="Y579" s="70"/>
      <c r="Z579" s="70"/>
      <c r="AA579" s="71"/>
      <c r="AB579" s="70"/>
      <c r="AC579" s="70"/>
      <c r="AD579" s="64"/>
      <c r="AE579" s="70"/>
      <c r="AF579" s="70"/>
      <c r="AG579" s="70"/>
      <c r="AH579" s="70"/>
    </row>
    <row r="580" spans="4:34" x14ac:dyDescent="0.2">
      <c r="D580" s="53"/>
      <c r="E580" s="70"/>
      <c r="F580" s="70"/>
      <c r="G580" s="70"/>
      <c r="H580" s="70"/>
      <c r="I580" s="70"/>
      <c r="J580" s="70"/>
      <c r="K580" s="70"/>
      <c r="L580" s="70"/>
      <c r="M580" s="70"/>
      <c r="N580" s="70"/>
      <c r="O580" s="70"/>
      <c r="P580" s="70"/>
      <c r="Q580" s="70"/>
      <c r="R580" s="70"/>
      <c r="S580" s="70"/>
      <c r="T580" s="70"/>
      <c r="U580" s="64"/>
      <c r="V580" s="64"/>
      <c r="W580" s="70"/>
      <c r="X580" s="64"/>
      <c r="Y580" s="70"/>
      <c r="Z580" s="70"/>
      <c r="AA580" s="71"/>
      <c r="AB580" s="70"/>
      <c r="AC580" s="70"/>
      <c r="AD580" s="64"/>
      <c r="AE580" s="70"/>
      <c r="AF580" s="70"/>
      <c r="AG580" s="70"/>
      <c r="AH580" s="70"/>
    </row>
    <row r="581" spans="4:34" x14ac:dyDescent="0.2">
      <c r="D581" s="53"/>
      <c r="E581" s="70"/>
      <c r="F581" s="70"/>
      <c r="G581" s="70"/>
      <c r="H581" s="70"/>
      <c r="I581" s="70"/>
      <c r="J581" s="70"/>
      <c r="K581" s="70"/>
      <c r="L581" s="70"/>
      <c r="M581" s="70"/>
      <c r="N581" s="70"/>
      <c r="O581" s="70"/>
      <c r="P581" s="70"/>
      <c r="Q581" s="70"/>
      <c r="R581" s="70"/>
      <c r="S581" s="70"/>
      <c r="T581" s="70"/>
      <c r="U581" s="64"/>
      <c r="V581" s="64"/>
      <c r="W581" s="70"/>
      <c r="X581" s="64"/>
      <c r="Y581" s="70"/>
      <c r="Z581" s="70"/>
      <c r="AA581" s="71"/>
      <c r="AB581" s="70"/>
      <c r="AC581" s="70"/>
      <c r="AD581" s="64"/>
      <c r="AE581" s="70"/>
      <c r="AF581" s="70"/>
      <c r="AG581" s="70"/>
      <c r="AH581" s="70"/>
    </row>
    <row r="582" spans="4:34" x14ac:dyDescent="0.2">
      <c r="D582" s="53"/>
      <c r="E582" s="70"/>
      <c r="F582" s="70"/>
      <c r="G582" s="70"/>
      <c r="H582" s="70"/>
      <c r="I582" s="70"/>
      <c r="J582" s="70"/>
      <c r="K582" s="70"/>
      <c r="L582" s="70"/>
      <c r="M582" s="70"/>
      <c r="N582" s="70"/>
      <c r="O582" s="70"/>
      <c r="P582" s="70"/>
      <c r="Q582" s="70"/>
      <c r="R582" s="70"/>
      <c r="S582" s="70"/>
      <c r="T582" s="70"/>
      <c r="U582" s="64"/>
      <c r="V582" s="64"/>
      <c r="W582" s="70"/>
      <c r="X582" s="64"/>
      <c r="Y582" s="70"/>
      <c r="Z582" s="70"/>
      <c r="AA582" s="71"/>
      <c r="AB582" s="70"/>
      <c r="AC582" s="70"/>
      <c r="AD582" s="64"/>
      <c r="AE582" s="70"/>
      <c r="AF582" s="70"/>
      <c r="AG582" s="70"/>
      <c r="AH582" s="70"/>
    </row>
    <row r="583" spans="4:34" x14ac:dyDescent="0.2">
      <c r="D583" s="53"/>
      <c r="E583" s="70"/>
      <c r="F583" s="70"/>
      <c r="G583" s="70"/>
      <c r="H583" s="70"/>
      <c r="I583" s="70"/>
      <c r="J583" s="70"/>
      <c r="K583" s="70"/>
      <c r="L583" s="70"/>
      <c r="M583" s="70"/>
      <c r="N583" s="70"/>
      <c r="O583" s="70"/>
      <c r="P583" s="70"/>
      <c r="Q583" s="70"/>
      <c r="R583" s="70"/>
      <c r="S583" s="70"/>
      <c r="T583" s="70"/>
      <c r="U583" s="64"/>
      <c r="V583" s="64"/>
      <c r="W583" s="70"/>
      <c r="X583" s="64"/>
      <c r="Y583" s="70"/>
      <c r="Z583" s="70"/>
      <c r="AA583" s="71"/>
      <c r="AB583" s="70"/>
      <c r="AC583" s="70"/>
      <c r="AD583" s="64"/>
      <c r="AE583" s="70"/>
      <c r="AF583" s="70"/>
      <c r="AG583" s="70"/>
      <c r="AH583" s="70"/>
    </row>
    <row r="584" spans="4:34" x14ac:dyDescent="0.2">
      <c r="D584" s="53"/>
      <c r="E584" s="70"/>
      <c r="F584" s="70"/>
      <c r="G584" s="70"/>
      <c r="H584" s="70"/>
      <c r="I584" s="70"/>
      <c r="J584" s="70"/>
      <c r="K584" s="70"/>
      <c r="L584" s="70"/>
      <c r="M584" s="70"/>
      <c r="N584" s="70"/>
      <c r="O584" s="70"/>
      <c r="P584" s="70"/>
      <c r="Q584" s="70"/>
      <c r="R584" s="70"/>
      <c r="S584" s="70"/>
      <c r="T584" s="70"/>
      <c r="U584" s="64"/>
      <c r="V584" s="64"/>
      <c r="W584" s="70"/>
      <c r="X584" s="64"/>
      <c r="Y584" s="70"/>
      <c r="Z584" s="70"/>
      <c r="AA584" s="71"/>
      <c r="AB584" s="70"/>
      <c r="AC584" s="70"/>
      <c r="AD584" s="64"/>
      <c r="AE584" s="70"/>
      <c r="AF584" s="70"/>
      <c r="AG584" s="70"/>
      <c r="AH584" s="70"/>
    </row>
    <row r="585" spans="4:34" x14ac:dyDescent="0.2">
      <c r="D585" s="53"/>
      <c r="E585" s="70"/>
      <c r="F585" s="70"/>
      <c r="G585" s="70"/>
      <c r="H585" s="70"/>
      <c r="I585" s="70"/>
      <c r="J585" s="70"/>
      <c r="K585" s="70"/>
      <c r="L585" s="70"/>
      <c r="M585" s="70"/>
      <c r="N585" s="70"/>
      <c r="O585" s="70"/>
      <c r="P585" s="70"/>
      <c r="Q585" s="70"/>
      <c r="R585" s="70"/>
      <c r="S585" s="70"/>
      <c r="T585" s="70"/>
      <c r="U585" s="64"/>
      <c r="V585" s="64"/>
      <c r="W585" s="70"/>
      <c r="X585" s="64"/>
      <c r="Y585" s="70"/>
      <c r="Z585" s="70"/>
      <c r="AA585" s="71"/>
      <c r="AB585" s="70"/>
      <c r="AC585" s="70"/>
      <c r="AD585" s="64"/>
      <c r="AE585" s="70"/>
      <c r="AF585" s="70"/>
      <c r="AG585" s="70"/>
      <c r="AH585" s="70"/>
    </row>
    <row r="586" spans="4:34" x14ac:dyDescent="0.2">
      <c r="D586" s="53"/>
      <c r="E586" s="70"/>
      <c r="F586" s="70"/>
      <c r="G586" s="70"/>
      <c r="H586" s="70"/>
      <c r="I586" s="70"/>
      <c r="J586" s="70"/>
      <c r="K586" s="70"/>
      <c r="L586" s="70"/>
      <c r="M586" s="70"/>
      <c r="N586" s="70"/>
      <c r="O586" s="70"/>
      <c r="P586" s="70"/>
      <c r="Q586" s="70"/>
      <c r="R586" s="70"/>
      <c r="S586" s="70"/>
      <c r="T586" s="70"/>
      <c r="U586" s="64"/>
      <c r="V586" s="64"/>
      <c r="W586" s="70"/>
      <c r="X586" s="64"/>
      <c r="Y586" s="70"/>
      <c r="Z586" s="70"/>
      <c r="AA586" s="71"/>
      <c r="AB586" s="70"/>
      <c r="AC586" s="70"/>
      <c r="AD586" s="64"/>
      <c r="AE586" s="70"/>
      <c r="AF586" s="70"/>
      <c r="AG586" s="70"/>
      <c r="AH586" s="70"/>
    </row>
    <row r="587" spans="4:34" x14ac:dyDescent="0.2">
      <c r="D587" s="53"/>
      <c r="E587" s="70"/>
      <c r="F587" s="70"/>
      <c r="G587" s="70"/>
      <c r="H587" s="70"/>
      <c r="I587" s="70"/>
      <c r="J587" s="70"/>
      <c r="K587" s="70"/>
      <c r="L587" s="70"/>
      <c r="M587" s="70"/>
      <c r="N587" s="70"/>
      <c r="O587" s="70"/>
      <c r="P587" s="70"/>
      <c r="Q587" s="70"/>
      <c r="R587" s="70"/>
      <c r="S587" s="70"/>
      <c r="T587" s="70"/>
      <c r="U587" s="64"/>
      <c r="V587" s="64"/>
      <c r="W587" s="70"/>
      <c r="X587" s="64"/>
      <c r="Y587" s="70"/>
      <c r="Z587" s="70"/>
      <c r="AA587" s="71"/>
      <c r="AB587" s="70"/>
      <c r="AC587" s="70"/>
      <c r="AD587" s="64"/>
      <c r="AE587" s="70"/>
      <c r="AF587" s="70"/>
      <c r="AG587" s="70"/>
      <c r="AH587" s="70"/>
    </row>
    <row r="588" spans="4:34" x14ac:dyDescent="0.2">
      <c r="D588" s="53"/>
      <c r="E588" s="70"/>
      <c r="F588" s="70"/>
      <c r="G588" s="70"/>
      <c r="H588" s="70"/>
      <c r="I588" s="70"/>
      <c r="J588" s="70"/>
      <c r="K588" s="70"/>
      <c r="L588" s="70"/>
      <c r="M588" s="70"/>
      <c r="N588" s="70"/>
      <c r="O588" s="70"/>
      <c r="P588" s="70"/>
      <c r="Q588" s="70"/>
      <c r="R588" s="70"/>
      <c r="S588" s="70"/>
      <c r="T588" s="70"/>
      <c r="U588" s="64"/>
      <c r="V588" s="64"/>
      <c r="W588" s="70"/>
      <c r="X588" s="64"/>
      <c r="Y588" s="70"/>
      <c r="Z588" s="70"/>
      <c r="AA588" s="71"/>
      <c r="AB588" s="70"/>
      <c r="AC588" s="70"/>
      <c r="AD588" s="64"/>
      <c r="AE588" s="70"/>
      <c r="AF588" s="70"/>
      <c r="AG588" s="70"/>
      <c r="AH588" s="70"/>
    </row>
    <row r="589" spans="4:34" x14ac:dyDescent="0.2">
      <c r="D589" s="53"/>
      <c r="E589" s="70"/>
      <c r="F589" s="70"/>
      <c r="G589" s="70"/>
      <c r="H589" s="70"/>
      <c r="I589" s="70"/>
      <c r="J589" s="70"/>
      <c r="K589" s="70"/>
      <c r="L589" s="70"/>
      <c r="M589" s="70"/>
      <c r="N589" s="70"/>
      <c r="O589" s="70"/>
      <c r="P589" s="70"/>
      <c r="Q589" s="70"/>
      <c r="R589" s="70"/>
      <c r="S589" s="70"/>
      <c r="T589" s="70"/>
      <c r="U589" s="64"/>
      <c r="V589" s="64"/>
      <c r="W589" s="70"/>
      <c r="X589" s="64"/>
      <c r="Y589" s="70"/>
      <c r="Z589" s="70"/>
      <c r="AA589" s="71"/>
      <c r="AB589" s="70"/>
      <c r="AC589" s="70"/>
      <c r="AD589" s="64"/>
      <c r="AE589" s="70"/>
      <c r="AF589" s="70"/>
      <c r="AG589" s="70"/>
      <c r="AH589" s="70"/>
    </row>
    <row r="590" spans="4:34" x14ac:dyDescent="0.2">
      <c r="D590" s="53"/>
      <c r="E590" s="70"/>
      <c r="F590" s="70"/>
      <c r="G590" s="70"/>
      <c r="H590" s="70"/>
      <c r="I590" s="70"/>
      <c r="J590" s="70"/>
      <c r="K590" s="70"/>
      <c r="L590" s="70"/>
      <c r="M590" s="70"/>
      <c r="N590" s="70"/>
      <c r="O590" s="70"/>
      <c r="P590" s="70"/>
      <c r="Q590" s="70"/>
      <c r="R590" s="70"/>
      <c r="S590" s="70"/>
      <c r="T590" s="70"/>
      <c r="U590" s="64"/>
      <c r="V590" s="64"/>
      <c r="W590" s="70"/>
      <c r="X590" s="64"/>
      <c r="Y590" s="70"/>
      <c r="Z590" s="70"/>
      <c r="AA590" s="71"/>
      <c r="AB590" s="70"/>
      <c r="AC590" s="70"/>
      <c r="AD590" s="64"/>
      <c r="AE590" s="70"/>
      <c r="AF590" s="70"/>
      <c r="AG590" s="70"/>
      <c r="AH590" s="70"/>
    </row>
    <row r="591" spans="4:34" x14ac:dyDescent="0.2">
      <c r="D591" s="53"/>
      <c r="E591" s="70"/>
      <c r="F591" s="70"/>
      <c r="G591" s="70"/>
      <c r="H591" s="70"/>
      <c r="I591" s="70"/>
      <c r="J591" s="70"/>
      <c r="K591" s="70"/>
      <c r="L591" s="70"/>
      <c r="M591" s="70"/>
      <c r="N591" s="70"/>
      <c r="O591" s="70"/>
      <c r="P591" s="70"/>
      <c r="Q591" s="70"/>
      <c r="R591" s="70"/>
      <c r="S591" s="70"/>
      <c r="T591" s="70"/>
      <c r="U591" s="64"/>
      <c r="V591" s="64"/>
      <c r="W591" s="70"/>
      <c r="X591" s="64"/>
      <c r="Y591" s="70"/>
      <c r="Z591" s="70"/>
      <c r="AA591" s="71"/>
      <c r="AB591" s="70"/>
      <c r="AC591" s="70"/>
      <c r="AD591" s="64"/>
      <c r="AE591" s="70"/>
      <c r="AF591" s="70"/>
      <c r="AG591" s="70"/>
      <c r="AH591" s="70"/>
    </row>
    <row r="592" spans="4:34" x14ac:dyDescent="0.2">
      <c r="D592" s="53"/>
      <c r="E592" s="70"/>
      <c r="F592" s="70"/>
      <c r="G592" s="70"/>
      <c r="H592" s="70"/>
      <c r="I592" s="70"/>
      <c r="J592" s="70"/>
      <c r="K592" s="70"/>
      <c r="L592" s="70"/>
      <c r="M592" s="70"/>
      <c r="N592" s="70"/>
      <c r="O592" s="70"/>
      <c r="P592" s="70"/>
      <c r="Q592" s="70"/>
      <c r="R592" s="70"/>
      <c r="S592" s="70"/>
      <c r="T592" s="70"/>
      <c r="U592" s="64"/>
      <c r="V592" s="64"/>
      <c r="W592" s="70"/>
      <c r="X592" s="64"/>
      <c r="Y592" s="70"/>
      <c r="Z592" s="70"/>
      <c r="AA592" s="71"/>
      <c r="AB592" s="70"/>
      <c r="AC592" s="70"/>
      <c r="AD592" s="64"/>
      <c r="AE592" s="70"/>
      <c r="AF592" s="70"/>
      <c r="AG592" s="70"/>
      <c r="AH592" s="70"/>
    </row>
    <row r="593" spans="4:34" x14ac:dyDescent="0.2">
      <c r="D593" s="53"/>
      <c r="E593" s="70"/>
      <c r="F593" s="70"/>
      <c r="G593" s="70"/>
      <c r="H593" s="70"/>
      <c r="I593" s="70"/>
      <c r="J593" s="70"/>
      <c r="K593" s="70"/>
      <c r="L593" s="70"/>
      <c r="M593" s="70"/>
      <c r="N593" s="70"/>
      <c r="O593" s="70"/>
      <c r="P593" s="70"/>
      <c r="Q593" s="70"/>
      <c r="R593" s="70"/>
      <c r="S593" s="70"/>
      <c r="T593" s="70"/>
      <c r="U593" s="64"/>
      <c r="V593" s="64"/>
      <c r="W593" s="70"/>
      <c r="X593" s="64"/>
      <c r="Y593" s="70"/>
      <c r="Z593" s="70"/>
      <c r="AA593" s="71"/>
      <c r="AB593" s="70"/>
      <c r="AC593" s="70"/>
      <c r="AD593" s="64"/>
      <c r="AE593" s="70"/>
      <c r="AF593" s="70"/>
      <c r="AG593" s="70"/>
      <c r="AH593" s="70"/>
    </row>
    <row r="594" spans="4:34" x14ac:dyDescent="0.2">
      <c r="D594" s="53"/>
      <c r="E594" s="70"/>
      <c r="F594" s="70"/>
      <c r="G594" s="70"/>
      <c r="H594" s="70"/>
      <c r="I594" s="70"/>
      <c r="J594" s="70"/>
      <c r="K594" s="70"/>
      <c r="L594" s="70"/>
      <c r="M594" s="70"/>
      <c r="N594" s="70"/>
      <c r="O594" s="70"/>
      <c r="P594" s="70"/>
      <c r="Q594" s="70"/>
      <c r="R594" s="70"/>
      <c r="S594" s="70"/>
      <c r="T594" s="70"/>
      <c r="U594" s="64"/>
      <c r="V594" s="64"/>
      <c r="W594" s="70"/>
      <c r="X594" s="64"/>
      <c r="Y594" s="70"/>
      <c r="Z594" s="70"/>
      <c r="AA594" s="71"/>
      <c r="AB594" s="70"/>
      <c r="AC594" s="70"/>
      <c r="AD594" s="64"/>
      <c r="AE594" s="70"/>
      <c r="AF594" s="70"/>
      <c r="AG594" s="70"/>
      <c r="AH594" s="70"/>
    </row>
    <row r="595" spans="4:34" x14ac:dyDescent="0.2">
      <c r="D595" s="53"/>
      <c r="E595" s="70"/>
      <c r="F595" s="70"/>
      <c r="G595" s="70"/>
      <c r="H595" s="70"/>
      <c r="I595" s="70"/>
      <c r="J595" s="70"/>
      <c r="K595" s="70"/>
      <c r="L595" s="70"/>
      <c r="M595" s="70"/>
      <c r="N595" s="70"/>
      <c r="O595" s="70"/>
      <c r="P595" s="70"/>
      <c r="Q595" s="70"/>
      <c r="R595" s="70"/>
      <c r="S595" s="70"/>
      <c r="T595" s="70"/>
      <c r="U595" s="64"/>
      <c r="V595" s="64"/>
      <c r="W595" s="70"/>
      <c r="X595" s="64"/>
      <c r="Y595" s="70"/>
      <c r="Z595" s="70"/>
      <c r="AA595" s="71"/>
      <c r="AB595" s="70"/>
      <c r="AC595" s="70"/>
      <c r="AD595" s="64"/>
      <c r="AE595" s="70"/>
      <c r="AF595" s="70"/>
      <c r="AG595" s="70"/>
      <c r="AH595" s="70"/>
    </row>
    <row r="596" spans="4:34" x14ac:dyDescent="0.2">
      <c r="D596" s="53"/>
      <c r="E596" s="70"/>
      <c r="F596" s="70"/>
      <c r="G596" s="70"/>
      <c r="H596" s="70"/>
      <c r="I596" s="70"/>
      <c r="J596" s="70"/>
      <c r="K596" s="70"/>
      <c r="L596" s="70"/>
      <c r="M596" s="70"/>
      <c r="N596" s="70"/>
      <c r="O596" s="70"/>
      <c r="P596" s="70"/>
      <c r="Q596" s="70"/>
      <c r="R596" s="70"/>
      <c r="S596" s="70"/>
      <c r="T596" s="70"/>
      <c r="U596" s="64"/>
      <c r="V596" s="64"/>
      <c r="W596" s="70"/>
      <c r="X596" s="64"/>
      <c r="Y596" s="70"/>
      <c r="Z596" s="70"/>
      <c r="AA596" s="71"/>
      <c r="AB596" s="70"/>
      <c r="AC596" s="70"/>
      <c r="AD596" s="64"/>
      <c r="AE596" s="70"/>
      <c r="AF596" s="70"/>
      <c r="AG596" s="70"/>
      <c r="AH596" s="70"/>
    </row>
    <row r="597" spans="4:34" x14ac:dyDescent="0.2">
      <c r="D597" s="53"/>
      <c r="E597" s="70"/>
      <c r="F597" s="70"/>
      <c r="G597" s="70"/>
      <c r="H597" s="70"/>
      <c r="I597" s="70"/>
      <c r="J597" s="70"/>
      <c r="K597" s="70"/>
      <c r="L597" s="70"/>
      <c r="M597" s="70"/>
      <c r="N597" s="70"/>
      <c r="O597" s="70"/>
      <c r="P597" s="70"/>
      <c r="Q597" s="70"/>
      <c r="R597" s="70"/>
      <c r="S597" s="70"/>
      <c r="T597" s="70"/>
      <c r="U597" s="64"/>
      <c r="V597" s="64"/>
      <c r="W597" s="70"/>
      <c r="X597" s="64"/>
      <c r="Y597" s="70"/>
      <c r="Z597" s="70"/>
      <c r="AA597" s="71"/>
      <c r="AB597" s="70"/>
      <c r="AC597" s="70"/>
      <c r="AD597" s="64"/>
      <c r="AE597" s="70"/>
      <c r="AF597" s="70"/>
      <c r="AG597" s="70"/>
      <c r="AH597" s="70"/>
    </row>
    <row r="598" spans="4:34" x14ac:dyDescent="0.2">
      <c r="D598" s="53"/>
      <c r="E598" s="70"/>
      <c r="F598" s="70"/>
      <c r="G598" s="70"/>
      <c r="H598" s="70"/>
      <c r="I598" s="70"/>
      <c r="J598" s="70"/>
      <c r="K598" s="70"/>
      <c r="L598" s="70"/>
      <c r="M598" s="70"/>
      <c r="N598" s="70"/>
      <c r="O598" s="70"/>
      <c r="P598" s="70"/>
      <c r="Q598" s="70"/>
      <c r="R598" s="70"/>
      <c r="S598" s="70"/>
      <c r="T598" s="70"/>
      <c r="U598" s="64"/>
      <c r="V598" s="64"/>
      <c r="W598" s="70"/>
      <c r="X598" s="64"/>
      <c r="Y598" s="70"/>
      <c r="Z598" s="70"/>
      <c r="AA598" s="71"/>
      <c r="AB598" s="70"/>
      <c r="AC598" s="70"/>
      <c r="AD598" s="64"/>
      <c r="AE598" s="70"/>
      <c r="AF598" s="70"/>
      <c r="AG598" s="70"/>
      <c r="AH598" s="70"/>
    </row>
    <row r="599" spans="4:34" x14ac:dyDescent="0.2">
      <c r="D599" s="53"/>
      <c r="E599" s="70"/>
      <c r="F599" s="70"/>
      <c r="G599" s="70"/>
      <c r="H599" s="70"/>
      <c r="I599" s="70"/>
      <c r="J599" s="70"/>
      <c r="K599" s="70"/>
      <c r="L599" s="70"/>
      <c r="M599" s="70"/>
      <c r="N599" s="70"/>
      <c r="O599" s="70"/>
      <c r="P599" s="70"/>
      <c r="Q599" s="70"/>
      <c r="R599" s="70"/>
      <c r="S599" s="70"/>
      <c r="T599" s="70"/>
      <c r="U599" s="64"/>
      <c r="V599" s="64"/>
      <c r="W599" s="70"/>
      <c r="X599" s="64"/>
      <c r="Y599" s="70"/>
      <c r="Z599" s="70"/>
      <c r="AA599" s="71"/>
      <c r="AB599" s="70"/>
      <c r="AC599" s="70"/>
      <c r="AD599" s="64"/>
      <c r="AE599" s="70"/>
      <c r="AF599" s="70"/>
      <c r="AG599" s="70"/>
      <c r="AH599" s="70"/>
    </row>
    <row r="600" spans="4:34" x14ac:dyDescent="0.2">
      <c r="D600" s="53"/>
      <c r="E600" s="70"/>
      <c r="F600" s="70"/>
      <c r="G600" s="70"/>
      <c r="H600" s="70"/>
      <c r="I600" s="70"/>
      <c r="J600" s="70"/>
      <c r="K600" s="70"/>
      <c r="L600" s="70"/>
      <c r="M600" s="70"/>
      <c r="N600" s="70"/>
      <c r="O600" s="70"/>
      <c r="P600" s="70"/>
      <c r="Q600" s="70"/>
      <c r="R600" s="70"/>
      <c r="S600" s="70"/>
      <c r="T600" s="70"/>
      <c r="U600" s="64"/>
      <c r="V600" s="64"/>
      <c r="W600" s="70"/>
      <c r="X600" s="64"/>
      <c r="Y600" s="70"/>
      <c r="Z600" s="70"/>
      <c r="AA600" s="71"/>
      <c r="AB600" s="70"/>
      <c r="AC600" s="70"/>
      <c r="AD600" s="64"/>
      <c r="AE600" s="70"/>
      <c r="AF600" s="70"/>
      <c r="AG600" s="70"/>
      <c r="AH600" s="70"/>
    </row>
    <row r="601" spans="4:34" x14ac:dyDescent="0.2">
      <c r="D601" s="53"/>
      <c r="E601" s="70"/>
      <c r="F601" s="70"/>
      <c r="G601" s="70"/>
      <c r="H601" s="70"/>
      <c r="I601" s="70"/>
      <c r="J601" s="70"/>
      <c r="K601" s="70"/>
      <c r="L601" s="70"/>
      <c r="M601" s="70"/>
      <c r="N601" s="70"/>
      <c r="O601" s="70"/>
      <c r="P601" s="70"/>
      <c r="Q601" s="70"/>
      <c r="R601" s="70"/>
      <c r="S601" s="70"/>
      <c r="T601" s="70"/>
      <c r="U601" s="64"/>
      <c r="V601" s="64"/>
      <c r="W601" s="70"/>
      <c r="X601" s="64"/>
      <c r="Y601" s="70"/>
      <c r="Z601" s="70"/>
      <c r="AA601" s="71"/>
      <c r="AB601" s="70"/>
      <c r="AC601" s="70"/>
      <c r="AD601" s="64"/>
      <c r="AE601" s="70"/>
      <c r="AF601" s="70"/>
      <c r="AG601" s="70"/>
      <c r="AH601" s="70"/>
    </row>
    <row r="602" spans="4:34" x14ac:dyDescent="0.2">
      <c r="D602" s="53"/>
      <c r="E602" s="70"/>
      <c r="F602" s="70"/>
      <c r="G602" s="70"/>
      <c r="H602" s="70"/>
      <c r="I602" s="70"/>
      <c r="J602" s="70"/>
      <c r="K602" s="70"/>
      <c r="L602" s="70"/>
      <c r="M602" s="70"/>
      <c r="N602" s="70"/>
      <c r="O602" s="70"/>
      <c r="P602" s="70"/>
      <c r="Q602" s="70"/>
      <c r="R602" s="70"/>
      <c r="S602" s="70"/>
      <c r="T602" s="70"/>
      <c r="U602" s="64"/>
      <c r="V602" s="64"/>
      <c r="W602" s="70"/>
      <c r="X602" s="64"/>
      <c r="Y602" s="70"/>
      <c r="Z602" s="70"/>
      <c r="AA602" s="71"/>
      <c r="AB602" s="70"/>
      <c r="AC602" s="70"/>
      <c r="AD602" s="64"/>
      <c r="AE602" s="70"/>
      <c r="AF602" s="70"/>
      <c r="AG602" s="70"/>
      <c r="AH602" s="70"/>
    </row>
    <row r="603" spans="4:34" x14ac:dyDescent="0.2">
      <c r="D603" s="53"/>
      <c r="E603" s="70"/>
      <c r="F603" s="70"/>
      <c r="G603" s="70"/>
      <c r="H603" s="70"/>
      <c r="I603" s="70"/>
      <c r="J603" s="70"/>
      <c r="K603" s="70"/>
      <c r="L603" s="70"/>
      <c r="M603" s="70"/>
      <c r="N603" s="70"/>
      <c r="O603" s="70"/>
      <c r="P603" s="70"/>
      <c r="Q603" s="70"/>
      <c r="R603" s="70"/>
      <c r="S603" s="70"/>
      <c r="T603" s="70"/>
      <c r="U603" s="64"/>
      <c r="V603" s="64"/>
      <c r="W603" s="70"/>
      <c r="X603" s="64"/>
      <c r="Y603" s="70"/>
      <c r="Z603" s="70"/>
      <c r="AA603" s="71"/>
      <c r="AB603" s="70"/>
      <c r="AC603" s="70"/>
      <c r="AD603" s="64"/>
      <c r="AE603" s="70"/>
      <c r="AF603" s="70"/>
      <c r="AG603" s="70"/>
      <c r="AH603" s="70"/>
    </row>
    <row r="604" spans="4:34" x14ac:dyDescent="0.2">
      <c r="D604" s="53"/>
      <c r="E604" s="70"/>
      <c r="F604" s="70"/>
      <c r="G604" s="70"/>
      <c r="H604" s="70"/>
      <c r="I604" s="70"/>
      <c r="J604" s="70"/>
      <c r="K604" s="70"/>
      <c r="L604" s="70"/>
      <c r="M604" s="70"/>
      <c r="N604" s="70"/>
      <c r="O604" s="70"/>
      <c r="P604" s="70"/>
      <c r="Q604" s="70"/>
      <c r="R604" s="70"/>
      <c r="S604" s="70"/>
      <c r="T604" s="70"/>
      <c r="U604" s="64"/>
      <c r="V604" s="64"/>
      <c r="W604" s="70"/>
      <c r="X604" s="64"/>
      <c r="Y604" s="70"/>
      <c r="Z604" s="70"/>
      <c r="AA604" s="71"/>
      <c r="AB604" s="70"/>
      <c r="AC604" s="70"/>
      <c r="AD604" s="64"/>
      <c r="AE604" s="70"/>
      <c r="AF604" s="70"/>
      <c r="AG604" s="70"/>
      <c r="AH604" s="70"/>
    </row>
    <row r="605" spans="4:34" x14ac:dyDescent="0.2">
      <c r="D605" s="53"/>
      <c r="E605" s="70"/>
      <c r="F605" s="70"/>
      <c r="G605" s="70"/>
      <c r="H605" s="70"/>
      <c r="I605" s="70"/>
      <c r="J605" s="70"/>
      <c r="K605" s="70"/>
      <c r="L605" s="70"/>
      <c r="M605" s="70"/>
      <c r="N605" s="70"/>
      <c r="O605" s="70"/>
      <c r="P605" s="70"/>
      <c r="Q605" s="70"/>
      <c r="R605" s="70"/>
      <c r="S605" s="70"/>
      <c r="T605" s="70"/>
      <c r="U605" s="64"/>
      <c r="V605" s="64"/>
      <c r="W605" s="70"/>
      <c r="X605" s="64"/>
      <c r="Y605" s="70"/>
      <c r="Z605" s="70"/>
      <c r="AA605" s="71"/>
      <c r="AB605" s="70"/>
      <c r="AC605" s="70"/>
      <c r="AD605" s="64"/>
      <c r="AE605" s="70"/>
      <c r="AF605" s="70"/>
      <c r="AG605" s="70"/>
      <c r="AH605" s="70"/>
    </row>
    <row r="606" spans="4:34" x14ac:dyDescent="0.2">
      <c r="D606" s="53"/>
      <c r="E606" s="70"/>
      <c r="F606" s="70"/>
      <c r="G606" s="70"/>
      <c r="H606" s="70"/>
      <c r="I606" s="70"/>
      <c r="J606" s="70"/>
      <c r="K606" s="70"/>
      <c r="L606" s="70"/>
      <c r="M606" s="70"/>
      <c r="N606" s="70"/>
      <c r="O606" s="70"/>
      <c r="P606" s="70"/>
      <c r="Q606" s="70"/>
      <c r="R606" s="70"/>
      <c r="S606" s="70"/>
      <c r="T606" s="70"/>
      <c r="U606" s="64"/>
      <c r="V606" s="64"/>
      <c r="W606" s="70"/>
      <c r="X606" s="64"/>
      <c r="Y606" s="70"/>
      <c r="Z606" s="70"/>
      <c r="AA606" s="71"/>
      <c r="AB606" s="70"/>
      <c r="AC606" s="70"/>
      <c r="AD606" s="64"/>
      <c r="AE606" s="70"/>
      <c r="AF606" s="70"/>
      <c r="AG606" s="70"/>
      <c r="AH606" s="70"/>
    </row>
    <row r="607" spans="4:34" x14ac:dyDescent="0.2">
      <c r="D607" s="53"/>
      <c r="E607" s="70"/>
      <c r="F607" s="70"/>
      <c r="G607" s="70"/>
      <c r="H607" s="70"/>
      <c r="I607" s="70"/>
      <c r="J607" s="70"/>
      <c r="K607" s="70"/>
      <c r="L607" s="70"/>
      <c r="M607" s="70"/>
      <c r="N607" s="70"/>
      <c r="O607" s="70"/>
      <c r="P607" s="70"/>
      <c r="Q607" s="70"/>
      <c r="R607" s="70"/>
      <c r="S607" s="70"/>
      <c r="T607" s="70"/>
      <c r="U607" s="64"/>
      <c r="V607" s="64"/>
      <c r="W607" s="70"/>
      <c r="X607" s="64"/>
      <c r="Y607" s="70"/>
      <c r="Z607" s="70"/>
      <c r="AA607" s="71"/>
      <c r="AB607" s="70"/>
      <c r="AC607" s="70"/>
      <c r="AD607" s="64"/>
      <c r="AE607" s="70"/>
      <c r="AF607" s="70"/>
      <c r="AG607" s="70"/>
      <c r="AH607" s="70"/>
    </row>
    <row r="608" spans="4:34" x14ac:dyDescent="0.2">
      <c r="D608" s="53"/>
      <c r="E608" s="70"/>
      <c r="F608" s="70"/>
      <c r="G608" s="70"/>
      <c r="H608" s="70"/>
      <c r="I608" s="70"/>
      <c r="J608" s="70"/>
      <c r="K608" s="70"/>
      <c r="L608" s="70"/>
      <c r="M608" s="70"/>
      <c r="N608" s="70"/>
      <c r="O608" s="70"/>
      <c r="P608" s="70"/>
      <c r="Q608" s="70"/>
      <c r="R608" s="70"/>
      <c r="S608" s="70"/>
      <c r="T608" s="70"/>
      <c r="U608" s="64"/>
      <c r="V608" s="64"/>
      <c r="W608" s="70"/>
      <c r="X608" s="64"/>
      <c r="Y608" s="70"/>
      <c r="Z608" s="70"/>
      <c r="AA608" s="71"/>
      <c r="AB608" s="70"/>
      <c r="AC608" s="70"/>
      <c r="AD608" s="64"/>
      <c r="AE608" s="70"/>
      <c r="AF608" s="70"/>
      <c r="AG608" s="70"/>
      <c r="AH608" s="70"/>
    </row>
    <row r="609" spans="4:34" x14ac:dyDescent="0.2">
      <c r="D609" s="53"/>
      <c r="E609" s="70"/>
      <c r="F609" s="70"/>
      <c r="G609" s="70"/>
      <c r="H609" s="70"/>
      <c r="I609" s="70"/>
      <c r="J609" s="70"/>
      <c r="K609" s="70"/>
      <c r="L609" s="70"/>
      <c r="M609" s="70"/>
      <c r="N609" s="70"/>
      <c r="O609" s="70"/>
      <c r="P609" s="70"/>
      <c r="Q609" s="70"/>
      <c r="R609" s="70"/>
      <c r="S609" s="70"/>
      <c r="T609" s="70"/>
      <c r="U609" s="64"/>
      <c r="V609" s="64"/>
      <c r="W609" s="70"/>
      <c r="X609" s="64"/>
      <c r="Y609" s="70"/>
      <c r="Z609" s="70"/>
      <c r="AA609" s="71"/>
      <c r="AB609" s="70"/>
      <c r="AC609" s="70"/>
      <c r="AD609" s="64"/>
      <c r="AE609" s="70"/>
      <c r="AF609" s="70"/>
      <c r="AG609" s="70"/>
      <c r="AH609" s="70"/>
    </row>
    <row r="610" spans="4:34" x14ac:dyDescent="0.2">
      <c r="D610" s="53"/>
      <c r="E610" s="70"/>
      <c r="F610" s="70"/>
      <c r="G610" s="70"/>
      <c r="H610" s="70"/>
      <c r="I610" s="70"/>
      <c r="J610" s="70"/>
      <c r="K610" s="70"/>
      <c r="L610" s="70"/>
      <c r="M610" s="70"/>
      <c r="N610" s="70"/>
      <c r="O610" s="70"/>
      <c r="P610" s="70"/>
      <c r="Q610" s="70"/>
      <c r="R610" s="70"/>
      <c r="S610" s="70"/>
      <c r="T610" s="70"/>
      <c r="U610" s="64"/>
      <c r="V610" s="64"/>
      <c r="W610" s="70"/>
      <c r="X610" s="64"/>
      <c r="Y610" s="70"/>
      <c r="Z610" s="70"/>
      <c r="AA610" s="71"/>
      <c r="AB610" s="70"/>
      <c r="AC610" s="70"/>
      <c r="AD610" s="64"/>
      <c r="AE610" s="70"/>
      <c r="AF610" s="70"/>
      <c r="AG610" s="70"/>
      <c r="AH610" s="70"/>
    </row>
    <row r="611" spans="4:34" x14ac:dyDescent="0.2">
      <c r="D611" s="53"/>
      <c r="E611" s="70"/>
      <c r="F611" s="70"/>
      <c r="G611" s="70"/>
      <c r="H611" s="70"/>
      <c r="I611" s="70"/>
      <c r="J611" s="70"/>
      <c r="K611" s="70"/>
      <c r="L611" s="70"/>
      <c r="M611" s="70"/>
      <c r="N611" s="70"/>
      <c r="O611" s="70"/>
      <c r="P611" s="70"/>
      <c r="Q611" s="70"/>
      <c r="R611" s="70"/>
      <c r="S611" s="70"/>
      <c r="T611" s="70"/>
      <c r="U611" s="64"/>
      <c r="V611" s="64"/>
      <c r="W611" s="70"/>
      <c r="X611" s="64"/>
      <c r="Y611" s="70"/>
      <c r="Z611" s="70"/>
      <c r="AA611" s="71"/>
      <c r="AB611" s="70"/>
      <c r="AC611" s="70"/>
      <c r="AD611" s="64"/>
      <c r="AE611" s="70"/>
      <c r="AF611" s="70"/>
      <c r="AG611" s="70"/>
      <c r="AH611" s="70"/>
    </row>
    <row r="612" spans="4:34" x14ac:dyDescent="0.2">
      <c r="D612" s="53"/>
      <c r="E612" s="70"/>
      <c r="F612" s="70"/>
      <c r="G612" s="70"/>
      <c r="H612" s="70"/>
      <c r="I612" s="70"/>
      <c r="J612" s="70"/>
      <c r="K612" s="70"/>
      <c r="L612" s="70"/>
      <c r="M612" s="70"/>
      <c r="N612" s="70"/>
      <c r="O612" s="70"/>
      <c r="P612" s="70"/>
      <c r="Q612" s="70"/>
      <c r="R612" s="70"/>
      <c r="S612" s="70"/>
      <c r="T612" s="70"/>
      <c r="U612" s="64"/>
      <c r="V612" s="64"/>
      <c r="W612" s="70"/>
      <c r="X612" s="64"/>
      <c r="Y612" s="70"/>
      <c r="Z612" s="70"/>
      <c r="AA612" s="71"/>
      <c r="AB612" s="70"/>
      <c r="AC612" s="70"/>
      <c r="AD612" s="64"/>
      <c r="AE612" s="70"/>
      <c r="AF612" s="70"/>
      <c r="AG612" s="70"/>
      <c r="AH612" s="70"/>
    </row>
    <row r="613" spans="4:34" x14ac:dyDescent="0.2">
      <c r="D613" s="53"/>
      <c r="E613" s="70"/>
      <c r="F613" s="70"/>
      <c r="G613" s="70"/>
      <c r="H613" s="70"/>
      <c r="I613" s="70"/>
      <c r="J613" s="70"/>
      <c r="K613" s="70"/>
      <c r="L613" s="70"/>
      <c r="M613" s="70"/>
      <c r="N613" s="70"/>
      <c r="O613" s="70"/>
      <c r="P613" s="70"/>
      <c r="Q613" s="70"/>
      <c r="R613" s="70"/>
      <c r="S613" s="70"/>
      <c r="T613" s="70"/>
      <c r="U613" s="64"/>
      <c r="V613" s="64"/>
      <c r="W613" s="70"/>
      <c r="X613" s="64"/>
      <c r="Y613" s="70"/>
      <c r="Z613" s="70"/>
      <c r="AA613" s="71"/>
      <c r="AB613" s="70"/>
      <c r="AC613" s="70"/>
      <c r="AD613" s="64"/>
      <c r="AE613" s="70"/>
      <c r="AF613" s="70"/>
      <c r="AG613" s="70"/>
      <c r="AH613" s="70"/>
    </row>
    <row r="614" spans="4:34" x14ac:dyDescent="0.2">
      <c r="D614" s="53"/>
      <c r="E614" s="70"/>
      <c r="F614" s="70"/>
      <c r="G614" s="70"/>
      <c r="H614" s="70"/>
      <c r="I614" s="70"/>
      <c r="J614" s="70"/>
      <c r="K614" s="70"/>
      <c r="L614" s="70"/>
      <c r="M614" s="70"/>
      <c r="N614" s="70"/>
      <c r="O614" s="70"/>
      <c r="P614" s="70"/>
      <c r="Q614" s="70"/>
      <c r="R614" s="70"/>
      <c r="S614" s="70"/>
      <c r="T614" s="70"/>
      <c r="U614" s="64"/>
      <c r="V614" s="64"/>
      <c r="W614" s="70"/>
      <c r="X614" s="64"/>
      <c r="Y614" s="70"/>
      <c r="Z614" s="70"/>
      <c r="AA614" s="71"/>
      <c r="AB614" s="70"/>
      <c r="AC614" s="70"/>
      <c r="AD614" s="64"/>
      <c r="AE614" s="70"/>
      <c r="AF614" s="70"/>
      <c r="AG614" s="70"/>
      <c r="AH614" s="70"/>
    </row>
    <row r="615" spans="4:34" x14ac:dyDescent="0.2">
      <c r="D615" s="53"/>
      <c r="E615" s="70"/>
      <c r="F615" s="70"/>
      <c r="G615" s="70"/>
      <c r="H615" s="70"/>
      <c r="I615" s="70"/>
      <c r="J615" s="70"/>
      <c r="K615" s="70"/>
      <c r="L615" s="70"/>
      <c r="M615" s="70"/>
      <c r="N615" s="70"/>
      <c r="O615" s="70"/>
      <c r="P615" s="70"/>
      <c r="Q615" s="70"/>
      <c r="R615" s="70"/>
      <c r="S615" s="70"/>
      <c r="T615" s="70"/>
      <c r="U615" s="64"/>
      <c r="V615" s="64"/>
      <c r="W615" s="70"/>
      <c r="X615" s="64"/>
      <c r="Y615" s="70"/>
      <c r="Z615" s="70"/>
      <c r="AA615" s="71"/>
      <c r="AB615" s="70"/>
      <c r="AC615" s="70"/>
      <c r="AD615" s="64"/>
      <c r="AE615" s="70"/>
      <c r="AF615" s="70"/>
      <c r="AG615" s="70"/>
      <c r="AH615" s="70"/>
    </row>
    <row r="616" spans="4:34" x14ac:dyDescent="0.2">
      <c r="D616" s="53"/>
      <c r="E616" s="70"/>
      <c r="F616" s="70"/>
      <c r="G616" s="70"/>
      <c r="H616" s="70"/>
      <c r="I616" s="70"/>
      <c r="J616" s="70"/>
      <c r="K616" s="70"/>
      <c r="L616" s="70"/>
      <c r="M616" s="70"/>
      <c r="N616" s="70"/>
      <c r="O616" s="70"/>
      <c r="P616" s="70"/>
      <c r="Q616" s="70"/>
      <c r="R616" s="70"/>
      <c r="S616" s="70"/>
      <c r="T616" s="70"/>
      <c r="U616" s="64"/>
      <c r="V616" s="64"/>
      <c r="W616" s="70"/>
      <c r="X616" s="64"/>
      <c r="Y616" s="70"/>
      <c r="Z616" s="70"/>
      <c r="AA616" s="71"/>
      <c r="AB616" s="70"/>
      <c r="AC616" s="70"/>
      <c r="AD616" s="64"/>
      <c r="AE616" s="70"/>
      <c r="AF616" s="70"/>
      <c r="AG616" s="70"/>
      <c r="AH616" s="70"/>
    </row>
    <row r="617" spans="4:34" x14ac:dyDescent="0.2">
      <c r="D617" s="53"/>
      <c r="E617" s="70"/>
      <c r="F617" s="70"/>
      <c r="G617" s="70"/>
      <c r="H617" s="70"/>
      <c r="I617" s="70"/>
      <c r="J617" s="70"/>
      <c r="K617" s="70"/>
      <c r="L617" s="70"/>
      <c r="M617" s="70"/>
      <c r="N617" s="70"/>
      <c r="O617" s="70"/>
      <c r="P617" s="70"/>
      <c r="Q617" s="70"/>
      <c r="R617" s="70"/>
      <c r="S617" s="70"/>
      <c r="T617" s="70"/>
      <c r="U617" s="64"/>
      <c r="V617" s="64"/>
      <c r="W617" s="70"/>
      <c r="X617" s="64"/>
      <c r="Y617" s="70"/>
      <c r="Z617" s="70"/>
      <c r="AA617" s="71"/>
      <c r="AB617" s="70"/>
      <c r="AC617" s="70"/>
      <c r="AD617" s="64"/>
      <c r="AE617" s="70"/>
      <c r="AF617" s="70"/>
      <c r="AG617" s="70"/>
      <c r="AH617" s="70"/>
    </row>
    <row r="618" spans="4:34" x14ac:dyDescent="0.2">
      <c r="D618" s="53"/>
      <c r="E618" s="70"/>
      <c r="F618" s="70"/>
      <c r="G618" s="70"/>
      <c r="H618" s="70"/>
      <c r="I618" s="70"/>
      <c r="J618" s="70"/>
      <c r="K618" s="70"/>
      <c r="L618" s="70"/>
      <c r="M618" s="70"/>
      <c r="N618" s="70"/>
      <c r="O618" s="70"/>
      <c r="P618" s="70"/>
      <c r="Q618" s="70"/>
      <c r="R618" s="70"/>
      <c r="S618" s="70"/>
      <c r="T618" s="70"/>
      <c r="U618" s="64"/>
      <c r="V618" s="64"/>
      <c r="W618" s="70"/>
      <c r="X618" s="64"/>
      <c r="Y618" s="70"/>
      <c r="Z618" s="70"/>
      <c r="AA618" s="71"/>
      <c r="AB618" s="70"/>
      <c r="AC618" s="70"/>
      <c r="AD618" s="64"/>
      <c r="AE618" s="70"/>
      <c r="AF618" s="70"/>
      <c r="AG618" s="70"/>
      <c r="AH618" s="70"/>
    </row>
    <row r="619" spans="4:34" x14ac:dyDescent="0.2">
      <c r="D619" s="53"/>
      <c r="E619" s="70"/>
      <c r="F619" s="70"/>
      <c r="G619" s="70"/>
      <c r="H619" s="70"/>
      <c r="I619" s="70"/>
      <c r="J619" s="70"/>
      <c r="K619" s="70"/>
      <c r="L619" s="70"/>
      <c r="M619" s="70"/>
      <c r="N619" s="70"/>
      <c r="O619" s="70"/>
      <c r="P619" s="70"/>
      <c r="Q619" s="70"/>
      <c r="R619" s="70"/>
      <c r="S619" s="70"/>
      <c r="T619" s="70"/>
      <c r="U619" s="64"/>
      <c r="V619" s="64"/>
      <c r="W619" s="70"/>
      <c r="X619" s="64"/>
      <c r="Y619" s="70"/>
      <c r="Z619" s="70"/>
      <c r="AA619" s="71"/>
      <c r="AB619" s="70"/>
      <c r="AC619" s="70"/>
      <c r="AD619" s="64"/>
      <c r="AE619" s="70"/>
      <c r="AF619" s="70"/>
      <c r="AG619" s="70"/>
      <c r="AH619" s="70"/>
    </row>
    <row r="620" spans="4:34" x14ac:dyDescent="0.2">
      <c r="D620" s="53"/>
      <c r="E620" s="70"/>
      <c r="F620" s="70"/>
      <c r="G620" s="70"/>
      <c r="H620" s="70"/>
      <c r="I620" s="70"/>
      <c r="J620" s="70"/>
      <c r="K620" s="70"/>
      <c r="L620" s="70"/>
      <c r="M620" s="70"/>
      <c r="N620" s="70"/>
      <c r="O620" s="70"/>
      <c r="P620" s="70"/>
      <c r="Q620" s="70"/>
      <c r="R620" s="70"/>
      <c r="S620" s="70"/>
      <c r="T620" s="70"/>
      <c r="U620" s="64"/>
      <c r="V620" s="64"/>
      <c r="W620" s="70"/>
      <c r="X620" s="64"/>
      <c r="Y620" s="70"/>
      <c r="Z620" s="70"/>
      <c r="AA620" s="71"/>
      <c r="AB620" s="70"/>
      <c r="AC620" s="70"/>
      <c r="AD620" s="64"/>
      <c r="AE620" s="70"/>
      <c r="AF620" s="70"/>
      <c r="AG620" s="70"/>
      <c r="AH620" s="70"/>
    </row>
    <row r="621" spans="4:34" x14ac:dyDescent="0.2">
      <c r="D621" s="53"/>
      <c r="E621" s="70"/>
      <c r="F621" s="70"/>
      <c r="G621" s="70"/>
      <c r="H621" s="70"/>
      <c r="I621" s="70"/>
      <c r="J621" s="70"/>
      <c r="K621" s="70"/>
      <c r="L621" s="70"/>
      <c r="M621" s="70"/>
      <c r="N621" s="70"/>
      <c r="O621" s="70"/>
      <c r="P621" s="70"/>
      <c r="Q621" s="70"/>
      <c r="R621" s="70"/>
      <c r="S621" s="70"/>
      <c r="T621" s="70"/>
      <c r="U621" s="64"/>
      <c r="V621" s="64"/>
      <c r="W621" s="70"/>
      <c r="X621" s="64"/>
      <c r="Y621" s="70"/>
      <c r="Z621" s="70"/>
      <c r="AA621" s="71"/>
      <c r="AB621" s="70"/>
      <c r="AC621" s="70"/>
      <c r="AD621" s="64"/>
      <c r="AE621" s="70"/>
      <c r="AF621" s="70"/>
      <c r="AG621" s="70"/>
      <c r="AH621" s="70"/>
    </row>
    <row r="622" spans="4:34" x14ac:dyDescent="0.2">
      <c r="D622" s="53"/>
      <c r="E622" s="70"/>
      <c r="F622" s="70"/>
      <c r="G622" s="70"/>
      <c r="H622" s="70"/>
      <c r="I622" s="70"/>
      <c r="J622" s="70"/>
      <c r="K622" s="70"/>
      <c r="L622" s="70"/>
      <c r="M622" s="70"/>
      <c r="N622" s="70"/>
      <c r="O622" s="70"/>
      <c r="P622" s="70"/>
      <c r="Q622" s="70"/>
      <c r="R622" s="70"/>
      <c r="S622" s="70"/>
      <c r="T622" s="70"/>
      <c r="U622" s="64"/>
      <c r="V622" s="64"/>
      <c r="W622" s="70"/>
      <c r="X622" s="64"/>
      <c r="Y622" s="70"/>
      <c r="Z622" s="70"/>
      <c r="AA622" s="71"/>
      <c r="AB622" s="70"/>
      <c r="AC622" s="70"/>
      <c r="AD622" s="64"/>
      <c r="AE622" s="70"/>
      <c r="AF622" s="70"/>
      <c r="AG622" s="70"/>
      <c r="AH622" s="70"/>
    </row>
    <row r="623" spans="4:34" x14ac:dyDescent="0.2">
      <c r="D623" s="53"/>
      <c r="E623" s="70"/>
      <c r="F623" s="70"/>
      <c r="G623" s="70"/>
      <c r="H623" s="70"/>
      <c r="I623" s="70"/>
      <c r="J623" s="70"/>
      <c r="K623" s="70"/>
      <c r="L623" s="70"/>
      <c r="M623" s="70"/>
      <c r="N623" s="70"/>
      <c r="O623" s="70"/>
      <c r="P623" s="70"/>
      <c r="Q623" s="70"/>
      <c r="R623" s="70"/>
      <c r="S623" s="70"/>
      <c r="T623" s="70"/>
      <c r="U623" s="64"/>
      <c r="V623" s="64"/>
      <c r="W623" s="70"/>
      <c r="X623" s="64"/>
      <c r="Y623" s="70"/>
      <c r="Z623" s="70"/>
      <c r="AA623" s="71"/>
      <c r="AB623" s="70"/>
      <c r="AC623" s="70"/>
      <c r="AD623" s="64"/>
      <c r="AE623" s="70"/>
      <c r="AF623" s="70"/>
      <c r="AG623" s="70"/>
      <c r="AH623" s="70"/>
    </row>
    <row r="624" spans="4:34" x14ac:dyDescent="0.2">
      <c r="D624" s="53"/>
      <c r="E624" s="70"/>
      <c r="F624" s="70"/>
      <c r="G624" s="70"/>
      <c r="H624" s="70"/>
      <c r="I624" s="70"/>
      <c r="J624" s="70"/>
      <c r="K624" s="70"/>
      <c r="L624" s="70"/>
      <c r="M624" s="70"/>
      <c r="N624" s="70"/>
      <c r="O624" s="70"/>
      <c r="P624" s="70"/>
      <c r="Q624" s="70"/>
      <c r="R624" s="70"/>
      <c r="S624" s="70"/>
      <c r="T624" s="70"/>
      <c r="U624" s="64"/>
      <c r="V624" s="64"/>
      <c r="W624" s="70"/>
      <c r="X624" s="64"/>
      <c r="Y624" s="70"/>
      <c r="Z624" s="70"/>
      <c r="AA624" s="71"/>
      <c r="AB624" s="70"/>
      <c r="AC624" s="70"/>
      <c r="AD624" s="64"/>
      <c r="AE624" s="70"/>
      <c r="AF624" s="70"/>
      <c r="AG624" s="70"/>
      <c r="AH624" s="70"/>
    </row>
    <row r="625" spans="4:34" x14ac:dyDescent="0.2">
      <c r="D625" s="53"/>
      <c r="E625" s="70"/>
      <c r="F625" s="70"/>
      <c r="G625" s="70"/>
      <c r="H625" s="70"/>
      <c r="I625" s="70"/>
      <c r="J625" s="70"/>
      <c r="K625" s="70"/>
      <c r="L625" s="70"/>
      <c r="M625" s="70"/>
      <c r="N625" s="70"/>
      <c r="O625" s="70"/>
      <c r="P625" s="70"/>
      <c r="Q625" s="70"/>
      <c r="R625" s="70"/>
      <c r="S625" s="70"/>
      <c r="T625" s="70"/>
      <c r="U625" s="64"/>
      <c r="V625" s="64"/>
      <c r="W625" s="70"/>
      <c r="X625" s="64"/>
      <c r="Y625" s="70"/>
      <c r="Z625" s="70"/>
      <c r="AA625" s="71"/>
      <c r="AB625" s="70"/>
      <c r="AC625" s="70"/>
      <c r="AD625" s="64"/>
      <c r="AE625" s="70"/>
      <c r="AF625" s="70"/>
      <c r="AG625" s="70"/>
      <c r="AH625" s="70"/>
    </row>
    <row r="626" spans="4:34" x14ac:dyDescent="0.2">
      <c r="D626" s="53"/>
      <c r="E626" s="70"/>
      <c r="F626" s="70"/>
      <c r="G626" s="70"/>
      <c r="H626" s="70"/>
      <c r="I626" s="70"/>
      <c r="J626" s="70"/>
      <c r="K626" s="70"/>
      <c r="L626" s="70"/>
      <c r="M626" s="70"/>
      <c r="N626" s="70"/>
      <c r="O626" s="70"/>
      <c r="P626" s="70"/>
      <c r="Q626" s="70"/>
      <c r="R626" s="70"/>
      <c r="S626" s="70"/>
      <c r="T626" s="70"/>
      <c r="U626" s="64"/>
      <c r="V626" s="64"/>
      <c r="W626" s="70"/>
      <c r="X626" s="64"/>
      <c r="Y626" s="70"/>
      <c r="Z626" s="70"/>
      <c r="AA626" s="71"/>
      <c r="AB626" s="70"/>
      <c r="AC626" s="70"/>
      <c r="AD626" s="64"/>
      <c r="AE626" s="70"/>
      <c r="AF626" s="70"/>
      <c r="AG626" s="70"/>
      <c r="AH626" s="70"/>
    </row>
    <row r="627" spans="4:34" x14ac:dyDescent="0.2">
      <c r="D627" s="53"/>
      <c r="E627" s="70"/>
      <c r="F627" s="70"/>
      <c r="G627" s="70"/>
      <c r="H627" s="70"/>
      <c r="I627" s="70"/>
      <c r="J627" s="70"/>
      <c r="K627" s="70"/>
      <c r="L627" s="70"/>
      <c r="M627" s="70"/>
      <c r="N627" s="70"/>
      <c r="O627" s="70"/>
      <c r="P627" s="70"/>
      <c r="Q627" s="70"/>
      <c r="R627" s="70"/>
      <c r="S627" s="70"/>
      <c r="T627" s="70"/>
      <c r="U627" s="64"/>
      <c r="V627" s="64"/>
      <c r="W627" s="70"/>
      <c r="X627" s="64"/>
      <c r="Y627" s="70"/>
      <c r="Z627" s="70"/>
      <c r="AA627" s="71"/>
      <c r="AB627" s="70"/>
      <c r="AC627" s="70"/>
      <c r="AD627" s="64"/>
      <c r="AE627" s="70"/>
      <c r="AF627" s="70"/>
      <c r="AG627" s="70"/>
      <c r="AH627" s="70"/>
    </row>
    <row r="628" spans="4:34" x14ac:dyDescent="0.2">
      <c r="D628" s="53"/>
      <c r="E628" s="70"/>
      <c r="F628" s="70"/>
      <c r="G628" s="70"/>
      <c r="H628" s="70"/>
      <c r="I628" s="70"/>
      <c r="J628" s="70"/>
      <c r="K628" s="70"/>
      <c r="L628" s="70"/>
      <c r="M628" s="70"/>
      <c r="N628" s="70"/>
      <c r="O628" s="70"/>
      <c r="P628" s="70"/>
      <c r="Q628" s="70"/>
      <c r="R628" s="70"/>
      <c r="S628" s="70"/>
      <c r="T628" s="70"/>
      <c r="U628" s="64"/>
      <c r="V628" s="64"/>
      <c r="W628" s="70"/>
      <c r="X628" s="64"/>
      <c r="Y628" s="70"/>
      <c r="Z628" s="70"/>
      <c r="AA628" s="71"/>
      <c r="AB628" s="70"/>
      <c r="AC628" s="70"/>
      <c r="AD628" s="64"/>
      <c r="AE628" s="70"/>
      <c r="AF628" s="70"/>
      <c r="AG628" s="70"/>
      <c r="AH628" s="70"/>
    </row>
    <row r="629" spans="4:34" x14ac:dyDescent="0.2">
      <c r="D629" s="53"/>
      <c r="E629" s="70"/>
      <c r="F629" s="70"/>
      <c r="G629" s="70"/>
      <c r="H629" s="70"/>
      <c r="I629" s="70"/>
      <c r="J629" s="70"/>
      <c r="K629" s="70"/>
      <c r="L629" s="70"/>
      <c r="M629" s="70"/>
      <c r="N629" s="70"/>
      <c r="O629" s="70"/>
      <c r="P629" s="70"/>
      <c r="Q629" s="70"/>
      <c r="R629" s="70"/>
      <c r="S629" s="70"/>
      <c r="T629" s="70"/>
      <c r="U629" s="64"/>
      <c r="V629" s="64"/>
      <c r="W629" s="70"/>
      <c r="X629" s="64"/>
      <c r="Y629" s="70"/>
      <c r="Z629" s="70"/>
      <c r="AA629" s="71"/>
      <c r="AB629" s="70"/>
      <c r="AC629" s="70"/>
      <c r="AD629" s="64"/>
      <c r="AE629" s="70"/>
      <c r="AF629" s="70"/>
      <c r="AG629" s="70"/>
      <c r="AH629" s="70"/>
    </row>
    <row r="630" spans="4:34" x14ac:dyDescent="0.2">
      <c r="D630" s="53"/>
      <c r="E630" s="70"/>
      <c r="F630" s="70"/>
      <c r="G630" s="70"/>
      <c r="H630" s="70"/>
      <c r="I630" s="70"/>
      <c r="J630" s="70"/>
      <c r="K630" s="70"/>
      <c r="L630" s="70"/>
      <c r="M630" s="70"/>
      <c r="N630" s="70"/>
      <c r="O630" s="70"/>
      <c r="P630" s="70"/>
      <c r="Q630" s="70"/>
      <c r="R630" s="70"/>
      <c r="S630" s="70"/>
      <c r="T630" s="70"/>
      <c r="U630" s="64"/>
      <c r="V630" s="64"/>
      <c r="W630" s="70"/>
      <c r="X630" s="64"/>
      <c r="Y630" s="70"/>
      <c r="Z630" s="70"/>
      <c r="AA630" s="71"/>
      <c r="AB630" s="70"/>
      <c r="AC630" s="70"/>
      <c r="AD630" s="64"/>
      <c r="AE630" s="70"/>
      <c r="AF630" s="70"/>
      <c r="AG630" s="70"/>
      <c r="AH630" s="70"/>
    </row>
    <row r="631" spans="4:34" x14ac:dyDescent="0.2">
      <c r="D631" s="53"/>
      <c r="E631" s="70"/>
      <c r="F631" s="70"/>
      <c r="G631" s="70"/>
      <c r="H631" s="70"/>
      <c r="I631" s="70"/>
      <c r="J631" s="70"/>
      <c r="K631" s="70"/>
      <c r="L631" s="70"/>
      <c r="M631" s="70"/>
      <c r="N631" s="70"/>
      <c r="O631" s="70"/>
      <c r="P631" s="70"/>
      <c r="Q631" s="70"/>
      <c r="R631" s="70"/>
      <c r="S631" s="70"/>
      <c r="T631" s="70"/>
      <c r="U631" s="64"/>
      <c r="V631" s="64"/>
      <c r="W631" s="70"/>
      <c r="X631" s="64"/>
      <c r="Y631" s="70"/>
      <c r="Z631" s="70"/>
      <c r="AA631" s="71"/>
      <c r="AB631" s="70"/>
      <c r="AC631" s="70"/>
      <c r="AD631" s="64"/>
      <c r="AE631" s="70"/>
      <c r="AF631" s="70"/>
      <c r="AG631" s="70"/>
      <c r="AH631" s="70"/>
    </row>
    <row r="632" spans="4:34" x14ac:dyDescent="0.2">
      <c r="D632" s="53"/>
      <c r="E632" s="70"/>
      <c r="F632" s="70"/>
      <c r="G632" s="70"/>
      <c r="H632" s="70"/>
      <c r="I632" s="70"/>
      <c r="J632" s="70"/>
      <c r="K632" s="70"/>
      <c r="L632" s="70"/>
      <c r="M632" s="70"/>
      <c r="N632" s="70"/>
      <c r="O632" s="70"/>
      <c r="P632" s="70"/>
      <c r="Q632" s="70"/>
      <c r="R632" s="70"/>
      <c r="S632" s="70"/>
      <c r="T632" s="70"/>
      <c r="U632" s="64"/>
      <c r="V632" s="64"/>
      <c r="W632" s="70"/>
      <c r="X632" s="64"/>
      <c r="Y632" s="70"/>
      <c r="Z632" s="70"/>
      <c r="AA632" s="71"/>
      <c r="AB632" s="70"/>
      <c r="AC632" s="70"/>
      <c r="AD632" s="64"/>
      <c r="AE632" s="70"/>
      <c r="AF632" s="70"/>
      <c r="AG632" s="70"/>
      <c r="AH632" s="70"/>
    </row>
    <row r="633" spans="4:34" x14ac:dyDescent="0.2">
      <c r="D633" s="53"/>
      <c r="E633" s="70"/>
      <c r="F633" s="70"/>
      <c r="G633" s="70"/>
      <c r="H633" s="70"/>
      <c r="I633" s="70"/>
      <c r="J633" s="70"/>
      <c r="K633" s="70"/>
      <c r="L633" s="70"/>
      <c r="M633" s="70"/>
      <c r="N633" s="70"/>
      <c r="O633" s="70"/>
      <c r="P633" s="70"/>
      <c r="Q633" s="70"/>
      <c r="R633" s="70"/>
      <c r="S633" s="70"/>
      <c r="T633" s="70"/>
      <c r="U633" s="64"/>
      <c r="V633" s="64"/>
      <c r="W633" s="70"/>
      <c r="X633" s="64"/>
      <c r="Y633" s="70"/>
      <c r="Z633" s="70"/>
      <c r="AA633" s="71"/>
      <c r="AB633" s="70"/>
      <c r="AC633" s="70"/>
      <c r="AD633" s="64"/>
      <c r="AE633" s="70"/>
      <c r="AF633" s="70"/>
      <c r="AG633" s="70"/>
      <c r="AH633" s="70"/>
    </row>
    <row r="634" spans="4:34" x14ac:dyDescent="0.2">
      <c r="D634" s="53"/>
      <c r="E634" s="70"/>
      <c r="F634" s="70"/>
      <c r="G634" s="70"/>
      <c r="H634" s="70"/>
      <c r="I634" s="70"/>
      <c r="J634" s="70"/>
      <c r="K634" s="70"/>
      <c r="L634" s="70"/>
      <c r="M634" s="70"/>
      <c r="N634" s="70"/>
      <c r="O634" s="70"/>
      <c r="P634" s="70"/>
      <c r="Q634" s="70"/>
      <c r="R634" s="70"/>
      <c r="S634" s="70"/>
      <c r="T634" s="70"/>
      <c r="U634" s="64"/>
      <c r="V634" s="64"/>
      <c r="W634" s="70"/>
      <c r="X634" s="64"/>
      <c r="Y634" s="70"/>
      <c r="Z634" s="70"/>
      <c r="AA634" s="71"/>
      <c r="AB634" s="70"/>
      <c r="AC634" s="70"/>
      <c r="AD634" s="64"/>
      <c r="AE634" s="70"/>
      <c r="AF634" s="70"/>
      <c r="AG634" s="70"/>
      <c r="AH634" s="70"/>
    </row>
    <row r="635" spans="4:34" x14ac:dyDescent="0.2">
      <c r="D635" s="53"/>
      <c r="E635" s="70"/>
      <c r="F635" s="70"/>
      <c r="G635" s="70"/>
      <c r="H635" s="70"/>
      <c r="I635" s="70"/>
      <c r="J635" s="70"/>
      <c r="K635" s="70"/>
      <c r="L635" s="70"/>
      <c r="M635" s="70"/>
      <c r="N635" s="70"/>
      <c r="O635" s="70"/>
      <c r="P635" s="70"/>
      <c r="Q635" s="70"/>
      <c r="R635" s="70"/>
      <c r="S635" s="70"/>
      <c r="T635" s="70"/>
      <c r="U635" s="64"/>
      <c r="V635" s="64"/>
      <c r="W635" s="70"/>
      <c r="X635" s="64"/>
      <c r="Y635" s="70"/>
      <c r="Z635" s="70"/>
      <c r="AA635" s="71"/>
      <c r="AB635" s="70"/>
      <c r="AC635" s="70"/>
      <c r="AD635" s="64"/>
      <c r="AE635" s="70"/>
      <c r="AF635" s="70"/>
      <c r="AG635" s="70"/>
      <c r="AH635" s="70"/>
    </row>
    <row r="636" spans="4:34" x14ac:dyDescent="0.2">
      <c r="D636" s="53"/>
      <c r="E636" s="70"/>
      <c r="F636" s="70"/>
      <c r="G636" s="70"/>
      <c r="H636" s="70"/>
      <c r="I636" s="70"/>
      <c r="J636" s="70"/>
      <c r="K636" s="70"/>
      <c r="L636" s="70"/>
      <c r="M636" s="70"/>
      <c r="N636" s="70"/>
      <c r="O636" s="70"/>
      <c r="P636" s="70"/>
      <c r="Q636" s="70"/>
      <c r="R636" s="70"/>
      <c r="S636" s="70"/>
      <c r="T636" s="70"/>
      <c r="U636" s="64"/>
      <c r="V636" s="64"/>
      <c r="W636" s="70"/>
      <c r="X636" s="64"/>
      <c r="Y636" s="70"/>
      <c r="Z636" s="70"/>
      <c r="AA636" s="71"/>
      <c r="AB636" s="70"/>
      <c r="AC636" s="70"/>
      <c r="AD636" s="64"/>
      <c r="AE636" s="70"/>
      <c r="AF636" s="70"/>
      <c r="AG636" s="70"/>
      <c r="AH636" s="70"/>
    </row>
    <row r="637" spans="4:34" x14ac:dyDescent="0.2">
      <c r="D637" s="53"/>
      <c r="E637" s="70"/>
      <c r="F637" s="70"/>
      <c r="G637" s="70"/>
      <c r="H637" s="70"/>
      <c r="I637" s="70"/>
      <c r="J637" s="70"/>
      <c r="K637" s="70"/>
      <c r="L637" s="70"/>
      <c r="M637" s="70"/>
      <c r="N637" s="70"/>
      <c r="O637" s="70"/>
      <c r="P637" s="70"/>
      <c r="Q637" s="70"/>
      <c r="R637" s="70"/>
      <c r="S637" s="70"/>
      <c r="T637" s="70"/>
      <c r="U637" s="64"/>
      <c r="V637" s="64"/>
      <c r="W637" s="70"/>
      <c r="X637" s="64"/>
      <c r="Y637" s="70"/>
      <c r="Z637" s="70"/>
      <c r="AA637" s="71"/>
      <c r="AB637" s="70"/>
      <c r="AC637" s="70"/>
      <c r="AD637" s="64"/>
      <c r="AE637" s="70"/>
      <c r="AF637" s="70"/>
      <c r="AG637" s="70"/>
      <c r="AH637" s="70"/>
    </row>
    <row r="638" spans="4:34" x14ac:dyDescent="0.2">
      <c r="D638" s="53"/>
      <c r="E638" s="70"/>
      <c r="F638" s="70"/>
      <c r="G638" s="70"/>
      <c r="H638" s="70"/>
      <c r="I638" s="70"/>
      <c r="J638" s="70"/>
      <c r="K638" s="70"/>
      <c r="L638" s="70"/>
      <c r="M638" s="70"/>
      <c r="N638" s="70"/>
      <c r="O638" s="70"/>
      <c r="P638" s="70"/>
      <c r="Q638" s="70"/>
      <c r="R638" s="70"/>
      <c r="S638" s="70"/>
      <c r="T638" s="70"/>
      <c r="U638" s="64"/>
      <c r="V638" s="64"/>
      <c r="W638" s="70"/>
      <c r="X638" s="64"/>
      <c r="Y638" s="70"/>
      <c r="Z638" s="70"/>
      <c r="AA638" s="71"/>
      <c r="AB638" s="70"/>
      <c r="AC638" s="70"/>
      <c r="AD638" s="64"/>
      <c r="AE638" s="70"/>
      <c r="AF638" s="70"/>
      <c r="AG638" s="70"/>
      <c r="AH638" s="70"/>
    </row>
    <row r="639" spans="4:34" x14ac:dyDescent="0.2">
      <c r="D639" s="53"/>
      <c r="E639" s="70"/>
      <c r="F639" s="70"/>
      <c r="G639" s="70"/>
      <c r="H639" s="70"/>
      <c r="I639" s="70"/>
      <c r="J639" s="70"/>
      <c r="K639" s="70"/>
      <c r="L639" s="70"/>
      <c r="M639" s="70"/>
      <c r="N639" s="70"/>
      <c r="O639" s="70"/>
      <c r="P639" s="70"/>
      <c r="Q639" s="70"/>
      <c r="R639" s="70"/>
      <c r="S639" s="70"/>
      <c r="T639" s="70"/>
      <c r="U639" s="64"/>
      <c r="V639" s="64"/>
      <c r="W639" s="70"/>
      <c r="X639" s="64"/>
      <c r="Y639" s="70"/>
      <c r="Z639" s="70"/>
      <c r="AA639" s="71"/>
      <c r="AB639" s="70"/>
      <c r="AC639" s="70"/>
      <c r="AD639" s="64"/>
      <c r="AE639" s="70"/>
      <c r="AF639" s="70"/>
      <c r="AG639" s="70"/>
      <c r="AH639" s="70"/>
    </row>
    <row r="640" spans="4:34" x14ac:dyDescent="0.2">
      <c r="D640" s="53"/>
      <c r="E640" s="70"/>
      <c r="F640" s="70"/>
      <c r="G640" s="70"/>
      <c r="H640" s="70"/>
      <c r="I640" s="70"/>
      <c r="J640" s="70"/>
      <c r="K640" s="70"/>
      <c r="L640" s="70"/>
      <c r="M640" s="70"/>
      <c r="N640" s="70"/>
      <c r="O640" s="70"/>
      <c r="P640" s="70"/>
      <c r="Q640" s="70"/>
      <c r="R640" s="70"/>
      <c r="S640" s="70"/>
      <c r="T640" s="70"/>
      <c r="U640" s="64"/>
      <c r="V640" s="64"/>
      <c r="W640" s="70"/>
      <c r="X640" s="64"/>
      <c r="Y640" s="70"/>
      <c r="Z640" s="70"/>
      <c r="AA640" s="71"/>
      <c r="AB640" s="70"/>
      <c r="AC640" s="70"/>
      <c r="AD640" s="64"/>
      <c r="AE640" s="70"/>
      <c r="AF640" s="70"/>
      <c r="AG640" s="70"/>
      <c r="AH640" s="70"/>
    </row>
    <row r="641" spans="4:34" x14ac:dyDescent="0.2">
      <c r="D641" s="53"/>
      <c r="E641" s="70"/>
      <c r="F641" s="70"/>
      <c r="G641" s="70"/>
      <c r="H641" s="70"/>
      <c r="I641" s="70"/>
      <c r="J641" s="70"/>
      <c r="K641" s="70"/>
      <c r="L641" s="70"/>
      <c r="M641" s="70"/>
      <c r="N641" s="70"/>
      <c r="O641" s="70"/>
      <c r="P641" s="70"/>
      <c r="Q641" s="70"/>
      <c r="R641" s="70"/>
      <c r="S641" s="70"/>
      <c r="T641" s="70"/>
      <c r="U641" s="64"/>
      <c r="V641" s="64"/>
      <c r="W641" s="70"/>
      <c r="X641" s="64"/>
      <c r="Y641" s="70"/>
      <c r="Z641" s="70"/>
      <c r="AA641" s="71"/>
      <c r="AB641" s="70"/>
      <c r="AC641" s="70"/>
      <c r="AD641" s="64"/>
      <c r="AE641" s="70"/>
      <c r="AF641" s="70"/>
      <c r="AG641" s="70"/>
      <c r="AH641" s="70"/>
    </row>
    <row r="642" spans="4:34" x14ac:dyDescent="0.2">
      <c r="D642" s="53"/>
      <c r="E642" s="70"/>
      <c r="F642" s="70"/>
      <c r="G642" s="70"/>
      <c r="H642" s="70"/>
      <c r="I642" s="70"/>
      <c r="J642" s="70"/>
      <c r="K642" s="70"/>
      <c r="L642" s="70"/>
      <c r="M642" s="70"/>
      <c r="N642" s="70"/>
      <c r="O642" s="70"/>
      <c r="P642" s="70"/>
      <c r="Q642" s="70"/>
      <c r="R642" s="70"/>
      <c r="S642" s="70"/>
      <c r="T642" s="70"/>
      <c r="U642" s="64"/>
      <c r="V642" s="64"/>
      <c r="W642" s="70"/>
      <c r="X642" s="64"/>
      <c r="Y642" s="70"/>
      <c r="Z642" s="70"/>
      <c r="AA642" s="71"/>
      <c r="AB642" s="70"/>
      <c r="AC642" s="70"/>
      <c r="AD642" s="64"/>
      <c r="AE642" s="70"/>
      <c r="AF642" s="70"/>
      <c r="AG642" s="70"/>
      <c r="AH642" s="70"/>
    </row>
    <row r="643" spans="4:34" x14ac:dyDescent="0.2">
      <c r="D643" s="53"/>
      <c r="E643" s="70"/>
      <c r="F643" s="70"/>
      <c r="G643" s="70"/>
      <c r="H643" s="70"/>
      <c r="I643" s="70"/>
      <c r="J643" s="70"/>
      <c r="K643" s="70"/>
      <c r="L643" s="70"/>
      <c r="M643" s="70"/>
      <c r="N643" s="70"/>
      <c r="O643" s="70"/>
      <c r="P643" s="70"/>
      <c r="Q643" s="70"/>
      <c r="R643" s="70"/>
      <c r="S643" s="70"/>
      <c r="T643" s="70"/>
      <c r="U643" s="64"/>
      <c r="V643" s="64"/>
      <c r="W643" s="70"/>
      <c r="X643" s="64"/>
      <c r="Y643" s="70"/>
      <c r="Z643" s="70"/>
      <c r="AA643" s="71"/>
      <c r="AB643" s="70"/>
      <c r="AC643" s="70"/>
      <c r="AD643" s="64"/>
      <c r="AE643" s="70"/>
      <c r="AF643" s="70"/>
      <c r="AG643" s="70"/>
      <c r="AH643" s="70"/>
    </row>
    <row r="644" spans="4:34" x14ac:dyDescent="0.2">
      <c r="D644" s="53"/>
      <c r="E644" s="70"/>
      <c r="F644" s="70"/>
      <c r="G644" s="70"/>
      <c r="H644" s="70"/>
      <c r="I644" s="70"/>
      <c r="J644" s="70"/>
      <c r="K644" s="70"/>
      <c r="L644" s="70"/>
      <c r="M644" s="70"/>
      <c r="N644" s="70"/>
      <c r="O644" s="70"/>
      <c r="P644" s="70"/>
      <c r="Q644" s="70"/>
      <c r="R644" s="70"/>
      <c r="S644" s="70"/>
      <c r="T644" s="70"/>
      <c r="U644" s="64"/>
      <c r="V644" s="64"/>
      <c r="W644" s="70"/>
      <c r="X644" s="64"/>
      <c r="Y644" s="70"/>
      <c r="Z644" s="70"/>
      <c r="AA644" s="71"/>
      <c r="AB644" s="70"/>
      <c r="AC644" s="70"/>
      <c r="AD644" s="64"/>
      <c r="AE644" s="70"/>
      <c r="AF644" s="70"/>
      <c r="AG644" s="70"/>
      <c r="AH644" s="70"/>
    </row>
    <row r="645" spans="4:34" x14ac:dyDescent="0.2">
      <c r="D645" s="53"/>
      <c r="E645" s="70"/>
      <c r="F645" s="70"/>
      <c r="G645" s="70"/>
      <c r="H645" s="70"/>
      <c r="I645" s="70"/>
      <c r="J645" s="70"/>
      <c r="K645" s="70"/>
      <c r="L645" s="70"/>
      <c r="M645" s="70"/>
      <c r="N645" s="70"/>
      <c r="O645" s="70"/>
      <c r="P645" s="70"/>
      <c r="Q645" s="70"/>
      <c r="R645" s="70"/>
      <c r="S645" s="70"/>
      <c r="T645" s="70"/>
      <c r="U645" s="64"/>
      <c r="V645" s="64"/>
      <c r="W645" s="70"/>
      <c r="X645" s="64"/>
      <c r="Y645" s="70"/>
      <c r="Z645" s="70"/>
      <c r="AA645" s="71"/>
      <c r="AB645" s="70"/>
      <c r="AC645" s="70"/>
      <c r="AD645" s="64"/>
      <c r="AE645" s="70"/>
      <c r="AF645" s="70"/>
      <c r="AG645" s="70"/>
      <c r="AH645" s="70"/>
    </row>
    <row r="646" spans="4:34" x14ac:dyDescent="0.2">
      <c r="D646" s="53"/>
      <c r="E646" s="70"/>
      <c r="F646" s="70"/>
      <c r="G646" s="70"/>
      <c r="H646" s="70"/>
      <c r="I646" s="70"/>
      <c r="J646" s="70"/>
      <c r="K646" s="70"/>
      <c r="L646" s="70"/>
      <c r="M646" s="70"/>
      <c r="N646" s="70"/>
      <c r="O646" s="70"/>
      <c r="P646" s="70"/>
      <c r="Q646" s="70"/>
      <c r="R646" s="70"/>
      <c r="S646" s="70"/>
      <c r="T646" s="70"/>
      <c r="U646" s="64"/>
      <c r="V646" s="64"/>
      <c r="W646" s="70"/>
      <c r="X646" s="64"/>
      <c r="Y646" s="70"/>
      <c r="Z646" s="70"/>
      <c r="AA646" s="71"/>
      <c r="AB646" s="70"/>
      <c r="AC646" s="70"/>
      <c r="AD646" s="64"/>
      <c r="AE646" s="70"/>
      <c r="AF646" s="70"/>
      <c r="AG646" s="70"/>
      <c r="AH646" s="70"/>
    </row>
    <row r="647" spans="4:34" x14ac:dyDescent="0.2">
      <c r="D647" s="53"/>
      <c r="E647" s="70"/>
      <c r="F647" s="70"/>
      <c r="G647" s="70"/>
      <c r="H647" s="70"/>
      <c r="I647" s="70"/>
      <c r="J647" s="70"/>
      <c r="K647" s="70"/>
      <c r="L647" s="70"/>
      <c r="M647" s="70"/>
      <c r="N647" s="70"/>
      <c r="O647" s="70"/>
      <c r="P647" s="70"/>
      <c r="Q647" s="70"/>
      <c r="R647" s="70"/>
      <c r="S647" s="70"/>
      <c r="T647" s="70"/>
      <c r="U647" s="64"/>
      <c r="V647" s="64"/>
      <c r="W647" s="70"/>
      <c r="X647" s="64"/>
      <c r="Y647" s="70"/>
      <c r="Z647" s="70"/>
      <c r="AA647" s="71"/>
      <c r="AB647" s="70"/>
      <c r="AC647" s="70"/>
      <c r="AD647" s="64"/>
      <c r="AE647" s="70"/>
      <c r="AF647" s="70"/>
      <c r="AG647" s="70"/>
      <c r="AH647" s="70"/>
    </row>
    <row r="648" spans="4:34" x14ac:dyDescent="0.2">
      <c r="D648" s="53"/>
      <c r="E648" s="70"/>
      <c r="F648" s="70"/>
      <c r="G648" s="70"/>
      <c r="H648" s="70"/>
      <c r="I648" s="70"/>
      <c r="J648" s="70"/>
      <c r="K648" s="70"/>
      <c r="L648" s="70"/>
      <c r="M648" s="70"/>
      <c r="N648" s="70"/>
      <c r="O648" s="70"/>
      <c r="P648" s="70"/>
      <c r="Q648" s="70"/>
      <c r="R648" s="70"/>
      <c r="S648" s="70"/>
      <c r="T648" s="70"/>
      <c r="U648" s="64"/>
      <c r="V648" s="64"/>
      <c r="W648" s="70"/>
      <c r="X648" s="64"/>
      <c r="Y648" s="70"/>
      <c r="Z648" s="70"/>
      <c r="AA648" s="71"/>
      <c r="AB648" s="70"/>
      <c r="AC648" s="70"/>
      <c r="AD648" s="64"/>
      <c r="AE648" s="70"/>
      <c r="AF648" s="70"/>
      <c r="AG648" s="70"/>
      <c r="AH648" s="70"/>
    </row>
    <row r="649" spans="4:34" x14ac:dyDescent="0.2">
      <c r="D649" s="53"/>
      <c r="E649" s="70"/>
      <c r="F649" s="70"/>
      <c r="G649" s="70"/>
      <c r="H649" s="70"/>
      <c r="I649" s="70"/>
      <c r="J649" s="70"/>
      <c r="K649" s="70"/>
      <c r="L649" s="70"/>
      <c r="M649" s="70"/>
      <c r="N649" s="70"/>
      <c r="O649" s="70"/>
      <c r="P649" s="70"/>
      <c r="Q649" s="70"/>
      <c r="R649" s="70"/>
      <c r="S649" s="70"/>
      <c r="T649" s="70"/>
      <c r="U649" s="64"/>
      <c r="V649" s="64"/>
      <c r="W649" s="70"/>
      <c r="X649" s="64"/>
      <c r="Y649" s="70"/>
      <c r="Z649" s="70"/>
      <c r="AA649" s="71"/>
      <c r="AB649" s="70"/>
      <c r="AC649" s="70"/>
      <c r="AD649" s="64"/>
      <c r="AE649" s="70"/>
      <c r="AF649" s="70"/>
      <c r="AG649" s="70"/>
      <c r="AH649" s="70"/>
    </row>
    <row r="650" spans="4:34" x14ac:dyDescent="0.2">
      <c r="D650" s="53"/>
      <c r="E650" s="70"/>
      <c r="F650" s="70"/>
      <c r="G650" s="70"/>
      <c r="H650" s="70"/>
      <c r="I650" s="70"/>
      <c r="J650" s="70"/>
      <c r="K650" s="70"/>
      <c r="L650" s="70"/>
      <c r="M650" s="70"/>
      <c r="N650" s="70"/>
      <c r="O650" s="70"/>
      <c r="P650" s="70"/>
      <c r="Q650" s="70"/>
      <c r="R650" s="70"/>
      <c r="S650" s="70"/>
      <c r="T650" s="70"/>
      <c r="U650" s="64"/>
      <c r="V650" s="64"/>
      <c r="W650" s="70"/>
      <c r="X650" s="64"/>
      <c r="Y650" s="70"/>
      <c r="Z650" s="70"/>
      <c r="AA650" s="71"/>
      <c r="AB650" s="70"/>
      <c r="AC650" s="70"/>
      <c r="AD650" s="64"/>
      <c r="AE650" s="70"/>
      <c r="AF650" s="70"/>
      <c r="AG650" s="70"/>
      <c r="AH650" s="70"/>
    </row>
    <row r="651" spans="4:34" x14ac:dyDescent="0.2">
      <c r="D651" s="53"/>
      <c r="E651" s="70"/>
      <c r="F651" s="70"/>
      <c r="G651" s="70"/>
      <c r="H651" s="70"/>
      <c r="I651" s="70"/>
      <c r="J651" s="70"/>
      <c r="K651" s="70"/>
      <c r="L651" s="70"/>
      <c r="M651" s="70"/>
      <c r="N651" s="70"/>
      <c r="O651" s="70"/>
      <c r="P651" s="70"/>
      <c r="Q651" s="70"/>
      <c r="R651" s="70"/>
      <c r="S651" s="70"/>
      <c r="T651" s="70"/>
      <c r="U651" s="64"/>
      <c r="V651" s="64"/>
      <c r="W651" s="70"/>
      <c r="X651" s="64"/>
      <c r="Y651" s="70"/>
      <c r="Z651" s="70"/>
      <c r="AA651" s="71"/>
      <c r="AB651" s="70"/>
      <c r="AC651" s="70"/>
      <c r="AD651" s="64"/>
      <c r="AE651" s="70"/>
      <c r="AF651" s="70"/>
      <c r="AG651" s="70"/>
      <c r="AH651" s="70"/>
    </row>
    <row r="652" spans="4:34" x14ac:dyDescent="0.2">
      <c r="D652" s="53"/>
      <c r="E652" s="70"/>
      <c r="F652" s="70"/>
      <c r="G652" s="70"/>
      <c r="H652" s="70"/>
      <c r="I652" s="70"/>
      <c r="J652" s="70"/>
      <c r="K652" s="70"/>
      <c r="L652" s="70"/>
      <c r="M652" s="70"/>
      <c r="N652" s="70"/>
      <c r="O652" s="70"/>
      <c r="P652" s="70"/>
      <c r="Q652" s="70"/>
      <c r="R652" s="70"/>
      <c r="S652" s="70"/>
      <c r="T652" s="70"/>
      <c r="U652" s="64"/>
      <c r="V652" s="64"/>
      <c r="W652" s="70"/>
      <c r="X652" s="64"/>
      <c r="Y652" s="70"/>
      <c r="Z652" s="70"/>
      <c r="AA652" s="71"/>
      <c r="AB652" s="70"/>
      <c r="AC652" s="70"/>
      <c r="AD652" s="64"/>
      <c r="AE652" s="70"/>
      <c r="AF652" s="70"/>
      <c r="AG652" s="70"/>
      <c r="AH652" s="70"/>
    </row>
    <row r="653" spans="4:34" x14ac:dyDescent="0.2">
      <c r="D653" s="53"/>
      <c r="E653" s="70"/>
      <c r="F653" s="70"/>
      <c r="G653" s="70"/>
      <c r="H653" s="70"/>
      <c r="I653" s="70"/>
      <c r="J653" s="70"/>
      <c r="K653" s="70"/>
      <c r="L653" s="70"/>
      <c r="M653" s="70"/>
      <c r="N653" s="70"/>
      <c r="O653" s="70"/>
      <c r="P653" s="70"/>
      <c r="Q653" s="70"/>
      <c r="R653" s="70"/>
      <c r="S653" s="70"/>
      <c r="T653" s="70"/>
      <c r="U653" s="64"/>
      <c r="V653" s="64"/>
      <c r="W653" s="70"/>
      <c r="X653" s="64"/>
      <c r="Y653" s="70"/>
      <c r="Z653" s="70"/>
      <c r="AA653" s="71"/>
      <c r="AB653" s="70"/>
      <c r="AC653" s="70"/>
      <c r="AD653" s="64"/>
      <c r="AE653" s="70"/>
      <c r="AF653" s="70"/>
      <c r="AG653" s="70"/>
      <c r="AH653" s="70"/>
    </row>
    <row r="654" spans="4:34" x14ac:dyDescent="0.2">
      <c r="D654" s="53"/>
      <c r="E654" s="70"/>
      <c r="F654" s="70"/>
      <c r="G654" s="70"/>
      <c r="H654" s="70"/>
      <c r="I654" s="70"/>
      <c r="J654" s="70"/>
      <c r="K654" s="70"/>
      <c r="L654" s="70"/>
      <c r="M654" s="70"/>
      <c r="N654" s="70"/>
      <c r="O654" s="70"/>
      <c r="P654" s="70"/>
      <c r="Q654" s="70"/>
      <c r="R654" s="70"/>
      <c r="S654" s="70"/>
      <c r="T654" s="70"/>
      <c r="U654" s="64"/>
      <c r="V654" s="64"/>
      <c r="W654" s="70"/>
      <c r="X654" s="64"/>
      <c r="Y654" s="70"/>
      <c r="Z654" s="70"/>
      <c r="AA654" s="71"/>
      <c r="AB654" s="70"/>
      <c r="AC654" s="70"/>
      <c r="AD654" s="64"/>
      <c r="AE654" s="70"/>
      <c r="AF654" s="70"/>
      <c r="AG654" s="70"/>
      <c r="AH654" s="70"/>
    </row>
    <row r="655" spans="4:34" x14ac:dyDescent="0.2">
      <c r="D655" s="53"/>
      <c r="E655" s="70"/>
      <c r="F655" s="70"/>
      <c r="G655" s="70"/>
      <c r="H655" s="70"/>
      <c r="I655" s="70"/>
      <c r="J655" s="70"/>
      <c r="K655" s="70"/>
      <c r="L655" s="70"/>
      <c r="M655" s="70"/>
      <c r="N655" s="70"/>
      <c r="O655" s="70"/>
      <c r="P655" s="70"/>
      <c r="Q655" s="70"/>
      <c r="R655" s="70"/>
      <c r="S655" s="70"/>
      <c r="T655" s="70"/>
      <c r="U655" s="64"/>
      <c r="V655" s="64"/>
      <c r="W655" s="70"/>
      <c r="X655" s="64"/>
      <c r="Y655" s="70"/>
      <c r="Z655" s="70"/>
      <c r="AA655" s="71"/>
      <c r="AB655" s="70"/>
      <c r="AC655" s="70"/>
      <c r="AD655" s="64"/>
      <c r="AE655" s="70"/>
      <c r="AF655" s="70"/>
      <c r="AG655" s="70"/>
      <c r="AH655" s="70"/>
    </row>
    <row r="656" spans="4:34" x14ac:dyDescent="0.2">
      <c r="D656" s="53"/>
      <c r="E656" s="70"/>
      <c r="F656" s="70"/>
      <c r="G656" s="70"/>
      <c r="H656" s="70"/>
      <c r="I656" s="70"/>
      <c r="J656" s="70"/>
      <c r="K656" s="70"/>
      <c r="L656" s="70"/>
      <c r="M656" s="70"/>
      <c r="N656" s="70"/>
      <c r="O656" s="70"/>
      <c r="P656" s="70"/>
      <c r="Q656" s="70"/>
      <c r="R656" s="70"/>
      <c r="S656" s="70"/>
      <c r="T656" s="70"/>
      <c r="U656" s="64"/>
      <c r="V656" s="64"/>
      <c r="W656" s="70"/>
      <c r="X656" s="64"/>
      <c r="Y656" s="70"/>
      <c r="Z656" s="70"/>
      <c r="AA656" s="71"/>
      <c r="AB656" s="70"/>
      <c r="AC656" s="70"/>
      <c r="AD656" s="64"/>
      <c r="AE656" s="70"/>
      <c r="AF656" s="70"/>
      <c r="AG656" s="70"/>
      <c r="AH656" s="70"/>
    </row>
    <row r="657" spans="4:34" x14ac:dyDescent="0.2">
      <c r="D657" s="53"/>
      <c r="E657" s="70"/>
      <c r="F657" s="70"/>
      <c r="G657" s="70"/>
      <c r="H657" s="70"/>
      <c r="I657" s="70"/>
      <c r="J657" s="70"/>
      <c r="K657" s="70"/>
      <c r="L657" s="70"/>
      <c r="M657" s="70"/>
      <c r="N657" s="70"/>
      <c r="O657" s="70"/>
      <c r="P657" s="70"/>
      <c r="Q657" s="70"/>
      <c r="R657" s="70"/>
      <c r="S657" s="70"/>
      <c r="T657" s="70"/>
      <c r="U657" s="64"/>
      <c r="V657" s="64"/>
      <c r="W657" s="70"/>
      <c r="X657" s="64"/>
      <c r="Y657" s="70"/>
      <c r="Z657" s="70"/>
      <c r="AA657" s="71"/>
      <c r="AB657" s="70"/>
      <c r="AC657" s="70"/>
      <c r="AD657" s="64"/>
      <c r="AE657" s="70"/>
      <c r="AF657" s="70"/>
      <c r="AG657" s="70"/>
      <c r="AH657" s="70"/>
    </row>
    <row r="658" spans="4:34" x14ac:dyDescent="0.2">
      <c r="D658" s="53"/>
      <c r="E658" s="70"/>
      <c r="F658" s="70"/>
      <c r="G658" s="70"/>
      <c r="H658" s="70"/>
      <c r="I658" s="70"/>
      <c r="J658" s="70"/>
      <c r="K658" s="70"/>
      <c r="L658" s="70"/>
      <c r="M658" s="70"/>
      <c r="N658" s="70"/>
      <c r="O658" s="70"/>
      <c r="P658" s="70"/>
      <c r="Q658" s="70"/>
      <c r="R658" s="70"/>
      <c r="S658" s="70"/>
      <c r="T658" s="70"/>
      <c r="U658" s="64"/>
      <c r="V658" s="64"/>
      <c r="W658" s="70"/>
      <c r="X658" s="64"/>
      <c r="Y658" s="70"/>
      <c r="Z658" s="70"/>
      <c r="AA658" s="71"/>
      <c r="AB658" s="70"/>
      <c r="AC658" s="70"/>
      <c r="AD658" s="64"/>
      <c r="AE658" s="70"/>
      <c r="AF658" s="70"/>
      <c r="AG658" s="70"/>
      <c r="AH658" s="70"/>
    </row>
    <row r="659" spans="4:34" x14ac:dyDescent="0.2">
      <c r="D659" s="53"/>
      <c r="E659" s="70"/>
      <c r="F659" s="70"/>
      <c r="G659" s="70"/>
      <c r="H659" s="70"/>
      <c r="I659" s="70"/>
      <c r="J659" s="70"/>
      <c r="K659" s="70"/>
      <c r="L659" s="70"/>
      <c r="M659" s="70"/>
      <c r="N659" s="70"/>
      <c r="O659" s="70"/>
      <c r="P659" s="70"/>
      <c r="Q659" s="70"/>
      <c r="R659" s="70"/>
      <c r="S659" s="70"/>
      <c r="T659" s="70"/>
      <c r="U659" s="64"/>
      <c r="V659" s="64"/>
      <c r="W659" s="70"/>
      <c r="X659" s="64"/>
      <c r="Y659" s="70"/>
      <c r="Z659" s="70"/>
      <c r="AA659" s="71"/>
      <c r="AB659" s="70"/>
      <c r="AC659" s="70"/>
      <c r="AD659" s="64"/>
      <c r="AE659" s="70"/>
      <c r="AF659" s="70"/>
      <c r="AG659" s="70"/>
      <c r="AH659" s="70"/>
    </row>
    <row r="660" spans="4:34" x14ac:dyDescent="0.2">
      <c r="D660" s="53"/>
      <c r="E660" s="70"/>
      <c r="F660" s="70"/>
      <c r="G660" s="70"/>
      <c r="H660" s="70"/>
      <c r="I660" s="70"/>
      <c r="J660" s="70"/>
      <c r="K660" s="70"/>
      <c r="L660" s="70"/>
      <c r="M660" s="70"/>
      <c r="N660" s="70"/>
      <c r="O660" s="70"/>
      <c r="P660" s="70"/>
      <c r="Q660" s="70"/>
      <c r="R660" s="70"/>
      <c r="S660" s="70"/>
      <c r="T660" s="70"/>
      <c r="U660" s="64"/>
      <c r="V660" s="64"/>
      <c r="W660" s="70"/>
      <c r="X660" s="64"/>
      <c r="Y660" s="70"/>
      <c r="Z660" s="70"/>
      <c r="AA660" s="71"/>
      <c r="AB660" s="70"/>
      <c r="AC660" s="70"/>
      <c r="AD660" s="64"/>
      <c r="AE660" s="70"/>
      <c r="AF660" s="70"/>
      <c r="AG660" s="70"/>
      <c r="AH660" s="70"/>
    </row>
    <row r="661" spans="4:34" x14ac:dyDescent="0.2">
      <c r="D661" s="53"/>
      <c r="E661" s="70"/>
      <c r="F661" s="70"/>
      <c r="G661" s="70"/>
      <c r="H661" s="70"/>
      <c r="I661" s="70"/>
      <c r="J661" s="70"/>
      <c r="K661" s="70"/>
      <c r="L661" s="70"/>
      <c r="M661" s="70"/>
      <c r="N661" s="70"/>
      <c r="O661" s="70"/>
      <c r="P661" s="70"/>
      <c r="Q661" s="70"/>
      <c r="R661" s="70"/>
      <c r="S661" s="70"/>
      <c r="T661" s="70"/>
      <c r="U661" s="64"/>
      <c r="V661" s="64"/>
      <c r="W661" s="70"/>
      <c r="X661" s="64"/>
      <c r="Y661" s="70"/>
      <c r="Z661" s="70"/>
      <c r="AA661" s="71"/>
      <c r="AB661" s="70"/>
      <c r="AC661" s="70"/>
      <c r="AD661" s="64"/>
      <c r="AE661" s="70"/>
      <c r="AF661" s="70"/>
      <c r="AG661" s="70"/>
      <c r="AH661" s="70"/>
    </row>
    <row r="662" spans="4:34" x14ac:dyDescent="0.2">
      <c r="D662" s="53"/>
      <c r="E662" s="70"/>
      <c r="F662" s="70"/>
      <c r="G662" s="70"/>
      <c r="H662" s="70"/>
      <c r="I662" s="70"/>
      <c r="J662" s="70"/>
      <c r="K662" s="70"/>
      <c r="L662" s="70"/>
      <c r="M662" s="70"/>
      <c r="N662" s="70"/>
      <c r="O662" s="70"/>
      <c r="P662" s="70"/>
      <c r="Q662" s="70"/>
      <c r="R662" s="70"/>
      <c r="S662" s="70"/>
      <c r="T662" s="70"/>
      <c r="U662" s="64"/>
      <c r="V662" s="64"/>
      <c r="W662" s="70"/>
      <c r="X662" s="64"/>
      <c r="Y662" s="70"/>
      <c r="Z662" s="70"/>
      <c r="AA662" s="71"/>
      <c r="AB662" s="70"/>
      <c r="AC662" s="70"/>
      <c r="AD662" s="64"/>
      <c r="AE662" s="70"/>
      <c r="AF662" s="70"/>
      <c r="AG662" s="70"/>
      <c r="AH662" s="70"/>
    </row>
    <row r="663" spans="4:34" x14ac:dyDescent="0.2">
      <c r="D663" s="53"/>
      <c r="E663" s="70"/>
      <c r="F663" s="70"/>
      <c r="G663" s="70"/>
      <c r="H663" s="70"/>
      <c r="I663" s="70"/>
      <c r="J663" s="70"/>
      <c r="K663" s="70"/>
      <c r="L663" s="70"/>
      <c r="M663" s="70"/>
      <c r="N663" s="70"/>
      <c r="O663" s="70"/>
      <c r="P663" s="70"/>
      <c r="Q663" s="70"/>
      <c r="R663" s="70"/>
      <c r="S663" s="70"/>
      <c r="T663" s="70"/>
      <c r="U663" s="64"/>
      <c r="V663" s="64"/>
      <c r="W663" s="70"/>
      <c r="X663" s="64"/>
      <c r="Y663" s="70"/>
      <c r="Z663" s="70"/>
      <c r="AA663" s="71"/>
      <c r="AB663" s="70"/>
      <c r="AC663" s="70"/>
      <c r="AD663" s="64"/>
      <c r="AE663" s="70"/>
      <c r="AF663" s="70"/>
      <c r="AG663" s="70"/>
      <c r="AH663" s="70"/>
    </row>
    <row r="664" spans="4:34" x14ac:dyDescent="0.2">
      <c r="D664" s="53"/>
      <c r="E664" s="70"/>
      <c r="F664" s="70"/>
      <c r="G664" s="70"/>
      <c r="H664" s="70"/>
      <c r="I664" s="70"/>
      <c r="J664" s="70"/>
      <c r="K664" s="70"/>
      <c r="L664" s="70"/>
      <c r="M664" s="70"/>
      <c r="N664" s="70"/>
      <c r="O664" s="70"/>
      <c r="P664" s="70"/>
      <c r="Q664" s="70"/>
      <c r="R664" s="70"/>
      <c r="S664" s="70"/>
      <c r="T664" s="70"/>
      <c r="U664" s="64"/>
      <c r="V664" s="64"/>
      <c r="W664" s="70"/>
      <c r="X664" s="64"/>
      <c r="Y664" s="70"/>
      <c r="Z664" s="70"/>
      <c r="AA664" s="71"/>
      <c r="AB664" s="70"/>
      <c r="AC664" s="70"/>
      <c r="AD664" s="64"/>
      <c r="AE664" s="70"/>
      <c r="AF664" s="70"/>
      <c r="AG664" s="70"/>
      <c r="AH664" s="70"/>
    </row>
    <row r="665" spans="4:34" x14ac:dyDescent="0.2">
      <c r="D665" s="53"/>
      <c r="E665" s="70"/>
      <c r="F665" s="70"/>
      <c r="G665" s="70"/>
      <c r="H665" s="70"/>
      <c r="I665" s="70"/>
      <c r="J665" s="70"/>
      <c r="K665" s="70"/>
      <c r="L665" s="70"/>
      <c r="M665" s="70"/>
      <c r="N665" s="70"/>
      <c r="O665" s="70"/>
      <c r="P665" s="70"/>
      <c r="Q665" s="70"/>
      <c r="R665" s="70"/>
      <c r="S665" s="70"/>
      <c r="T665" s="70"/>
      <c r="U665" s="64"/>
      <c r="V665" s="64"/>
      <c r="W665" s="70"/>
      <c r="X665" s="64"/>
      <c r="Y665" s="70"/>
      <c r="Z665" s="70"/>
      <c r="AA665" s="71"/>
      <c r="AB665" s="70"/>
      <c r="AC665" s="70"/>
      <c r="AD665" s="64"/>
      <c r="AE665" s="70"/>
      <c r="AF665" s="70"/>
      <c r="AG665" s="70"/>
      <c r="AH665" s="70"/>
    </row>
    <row r="666" spans="4:34" x14ac:dyDescent="0.2">
      <c r="D666" s="53"/>
      <c r="E666" s="70"/>
      <c r="F666" s="70"/>
      <c r="G666" s="70"/>
      <c r="H666" s="70"/>
      <c r="I666" s="70"/>
      <c r="J666" s="70"/>
      <c r="K666" s="70"/>
      <c r="L666" s="70"/>
      <c r="M666" s="70"/>
      <c r="N666" s="70"/>
      <c r="O666" s="70"/>
      <c r="P666" s="70"/>
      <c r="Q666" s="70"/>
      <c r="R666" s="70"/>
      <c r="S666" s="70"/>
      <c r="T666" s="70"/>
      <c r="U666" s="64"/>
      <c r="V666" s="64"/>
      <c r="W666" s="70"/>
      <c r="X666" s="64"/>
      <c r="Y666" s="70"/>
      <c r="Z666" s="70"/>
      <c r="AA666" s="71"/>
      <c r="AB666" s="70"/>
      <c r="AC666" s="70"/>
      <c r="AD666" s="64"/>
      <c r="AE666" s="70"/>
      <c r="AF666" s="70"/>
      <c r="AG666" s="70"/>
      <c r="AH666" s="70"/>
    </row>
    <row r="667" spans="4:34" x14ac:dyDescent="0.2">
      <c r="D667" s="53"/>
      <c r="E667" s="70"/>
      <c r="F667" s="70"/>
      <c r="G667" s="70"/>
      <c r="H667" s="70"/>
      <c r="I667" s="70"/>
      <c r="J667" s="70"/>
      <c r="K667" s="70"/>
      <c r="L667" s="70"/>
      <c r="M667" s="70"/>
      <c r="N667" s="70"/>
      <c r="O667" s="70"/>
      <c r="P667" s="70"/>
      <c r="Q667" s="70"/>
      <c r="R667" s="70"/>
      <c r="S667" s="70"/>
      <c r="T667" s="70"/>
      <c r="U667" s="64"/>
      <c r="V667" s="64"/>
      <c r="W667" s="70"/>
      <c r="X667" s="64"/>
      <c r="Y667" s="70"/>
      <c r="Z667" s="70"/>
      <c r="AA667" s="71"/>
      <c r="AB667" s="70"/>
      <c r="AC667" s="70"/>
      <c r="AD667" s="64"/>
      <c r="AE667" s="70"/>
      <c r="AF667" s="70"/>
      <c r="AG667" s="70"/>
      <c r="AH667" s="70"/>
    </row>
    <row r="668" spans="4:34" x14ac:dyDescent="0.2">
      <c r="D668" s="53"/>
      <c r="E668" s="70"/>
      <c r="F668" s="70"/>
      <c r="G668" s="70"/>
      <c r="H668" s="70"/>
      <c r="I668" s="70"/>
      <c r="J668" s="70"/>
      <c r="K668" s="70"/>
      <c r="L668" s="70"/>
      <c r="M668" s="70"/>
      <c r="N668" s="70"/>
      <c r="O668" s="70"/>
      <c r="P668" s="70"/>
      <c r="Q668" s="70"/>
      <c r="R668" s="70"/>
      <c r="S668" s="70"/>
      <c r="T668" s="70"/>
      <c r="U668" s="64"/>
      <c r="V668" s="64"/>
      <c r="W668" s="70"/>
      <c r="X668" s="64"/>
      <c r="Y668" s="70"/>
      <c r="Z668" s="70"/>
      <c r="AA668" s="71"/>
      <c r="AB668" s="70"/>
      <c r="AC668" s="70"/>
      <c r="AD668" s="64"/>
      <c r="AE668" s="70"/>
      <c r="AF668" s="70"/>
      <c r="AG668" s="70"/>
      <c r="AH668" s="70"/>
    </row>
    <row r="669" spans="4:34" x14ac:dyDescent="0.2">
      <c r="D669" s="53"/>
      <c r="E669" s="70"/>
      <c r="F669" s="70"/>
      <c r="G669" s="70"/>
      <c r="H669" s="70"/>
      <c r="I669" s="70"/>
      <c r="J669" s="70"/>
      <c r="K669" s="70"/>
      <c r="L669" s="70"/>
      <c r="M669" s="70"/>
      <c r="N669" s="70"/>
      <c r="O669" s="70"/>
      <c r="P669" s="70"/>
      <c r="Q669" s="70"/>
      <c r="R669" s="70"/>
      <c r="S669" s="70"/>
      <c r="T669" s="70"/>
      <c r="U669" s="64"/>
      <c r="V669" s="64"/>
      <c r="W669" s="70"/>
      <c r="X669" s="64"/>
      <c r="Y669" s="70"/>
      <c r="Z669" s="70"/>
      <c r="AA669" s="71"/>
      <c r="AB669" s="70"/>
      <c r="AC669" s="70"/>
      <c r="AD669" s="64"/>
      <c r="AE669" s="70"/>
      <c r="AF669" s="70"/>
      <c r="AG669" s="70"/>
      <c r="AH669" s="70"/>
    </row>
    <row r="670" spans="4:34" x14ac:dyDescent="0.2">
      <c r="D670" s="53"/>
      <c r="E670" s="70"/>
      <c r="F670" s="70"/>
      <c r="G670" s="70"/>
      <c r="H670" s="70"/>
      <c r="I670" s="70"/>
      <c r="J670" s="70"/>
      <c r="K670" s="70"/>
      <c r="L670" s="70"/>
      <c r="M670" s="70"/>
      <c r="N670" s="70"/>
      <c r="O670" s="70"/>
      <c r="P670" s="70"/>
      <c r="Q670" s="70"/>
      <c r="R670" s="70"/>
      <c r="S670" s="70"/>
      <c r="T670" s="70"/>
      <c r="U670" s="64"/>
      <c r="V670" s="64"/>
      <c r="W670" s="70"/>
      <c r="X670" s="64"/>
      <c r="Y670" s="70"/>
      <c r="Z670" s="70"/>
      <c r="AA670" s="71"/>
      <c r="AB670" s="70"/>
      <c r="AC670" s="70"/>
      <c r="AD670" s="64"/>
      <c r="AE670" s="70"/>
      <c r="AF670" s="70"/>
      <c r="AG670" s="70"/>
      <c r="AH670" s="70"/>
    </row>
    <row r="671" spans="4:34" x14ac:dyDescent="0.2">
      <c r="D671" s="53"/>
      <c r="E671" s="70"/>
      <c r="F671" s="70"/>
      <c r="G671" s="70"/>
      <c r="H671" s="70"/>
      <c r="I671" s="70"/>
      <c r="J671" s="70"/>
      <c r="K671" s="70"/>
      <c r="L671" s="70"/>
      <c r="M671" s="70"/>
      <c r="N671" s="70"/>
      <c r="O671" s="70"/>
      <c r="P671" s="70"/>
      <c r="Q671" s="70"/>
      <c r="R671" s="70"/>
      <c r="S671" s="70"/>
      <c r="T671" s="70"/>
      <c r="U671" s="64"/>
      <c r="V671" s="64"/>
      <c r="W671" s="70"/>
      <c r="X671" s="64"/>
      <c r="Y671" s="70"/>
      <c r="Z671" s="70"/>
      <c r="AA671" s="71"/>
      <c r="AB671" s="70"/>
      <c r="AC671" s="70"/>
      <c r="AD671" s="64"/>
      <c r="AE671" s="70"/>
      <c r="AF671" s="70"/>
      <c r="AG671" s="70"/>
      <c r="AH671" s="70"/>
    </row>
    <row r="672" spans="4:34" x14ac:dyDescent="0.2">
      <c r="D672" s="53"/>
      <c r="E672" s="70"/>
      <c r="F672" s="70"/>
      <c r="G672" s="70"/>
      <c r="H672" s="70"/>
      <c r="I672" s="70"/>
      <c r="J672" s="70"/>
      <c r="K672" s="70"/>
      <c r="L672" s="70"/>
      <c r="M672" s="70"/>
      <c r="N672" s="70"/>
      <c r="O672" s="70"/>
      <c r="P672" s="70"/>
      <c r="Q672" s="70"/>
      <c r="R672" s="70"/>
      <c r="S672" s="70"/>
      <c r="T672" s="70"/>
      <c r="U672" s="64"/>
      <c r="V672" s="64"/>
      <c r="W672" s="70"/>
      <c r="X672" s="64"/>
      <c r="Y672" s="70"/>
      <c r="Z672" s="70"/>
      <c r="AA672" s="71"/>
      <c r="AB672" s="70"/>
      <c r="AC672" s="70"/>
      <c r="AD672" s="64"/>
      <c r="AE672" s="70"/>
      <c r="AF672" s="70"/>
      <c r="AG672" s="70"/>
      <c r="AH672" s="70"/>
    </row>
    <row r="673" spans="4:34" x14ac:dyDescent="0.2">
      <c r="D673" s="53"/>
      <c r="E673" s="70"/>
      <c r="F673" s="70"/>
      <c r="G673" s="70"/>
      <c r="H673" s="70"/>
      <c r="I673" s="70"/>
      <c r="J673" s="70"/>
      <c r="K673" s="70"/>
      <c r="L673" s="70"/>
      <c r="M673" s="70"/>
      <c r="N673" s="70"/>
      <c r="O673" s="70"/>
      <c r="P673" s="70"/>
      <c r="Q673" s="70"/>
      <c r="R673" s="70"/>
      <c r="S673" s="70"/>
      <c r="T673" s="70"/>
      <c r="U673" s="64"/>
      <c r="V673" s="64"/>
      <c r="W673" s="70"/>
      <c r="X673" s="64"/>
      <c r="Y673" s="70"/>
      <c r="Z673" s="70"/>
      <c r="AA673" s="71"/>
      <c r="AB673" s="70"/>
      <c r="AC673" s="70"/>
      <c r="AD673" s="64"/>
      <c r="AE673" s="70"/>
      <c r="AF673" s="70"/>
      <c r="AG673" s="70"/>
      <c r="AH673" s="70"/>
    </row>
    <row r="674" spans="4:34" x14ac:dyDescent="0.2">
      <c r="D674" s="53"/>
      <c r="E674" s="70"/>
      <c r="F674" s="70"/>
      <c r="G674" s="70"/>
      <c r="H674" s="70"/>
      <c r="I674" s="70"/>
      <c r="J674" s="70"/>
      <c r="K674" s="70"/>
      <c r="L674" s="70"/>
      <c r="M674" s="70"/>
      <c r="N674" s="70"/>
      <c r="O674" s="70"/>
      <c r="P674" s="70"/>
      <c r="Q674" s="70"/>
      <c r="R674" s="70"/>
      <c r="S674" s="70"/>
      <c r="T674" s="70"/>
      <c r="U674" s="64"/>
      <c r="V674" s="64"/>
      <c r="W674" s="70"/>
      <c r="X674" s="64"/>
      <c r="Y674" s="70"/>
      <c r="Z674" s="70"/>
      <c r="AA674" s="71"/>
      <c r="AB674" s="70"/>
      <c r="AC674" s="70"/>
      <c r="AD674" s="64"/>
      <c r="AE674" s="70"/>
      <c r="AF674" s="70"/>
      <c r="AG674" s="70"/>
      <c r="AH674" s="70"/>
    </row>
    <row r="675" spans="4:34" x14ac:dyDescent="0.2">
      <c r="D675" s="53"/>
      <c r="E675" s="70"/>
      <c r="F675" s="70"/>
      <c r="G675" s="70"/>
      <c r="H675" s="70"/>
      <c r="I675" s="70"/>
      <c r="J675" s="70"/>
      <c r="K675" s="70"/>
      <c r="L675" s="70"/>
      <c r="M675" s="70"/>
      <c r="N675" s="70"/>
      <c r="O675" s="70"/>
      <c r="P675" s="70"/>
      <c r="Q675" s="70"/>
      <c r="R675" s="70"/>
      <c r="S675" s="70"/>
      <c r="T675" s="70"/>
      <c r="U675" s="64"/>
      <c r="V675" s="64"/>
      <c r="W675" s="70"/>
      <c r="X675" s="64"/>
      <c r="Y675" s="70"/>
      <c r="Z675" s="70"/>
      <c r="AA675" s="71"/>
      <c r="AB675" s="70"/>
      <c r="AC675" s="70"/>
      <c r="AD675" s="64"/>
      <c r="AE675" s="70"/>
      <c r="AF675" s="70"/>
      <c r="AG675" s="70"/>
      <c r="AH675" s="70"/>
    </row>
    <row r="676" spans="4:34" x14ac:dyDescent="0.2">
      <c r="D676" s="53"/>
      <c r="E676" s="70"/>
      <c r="F676" s="70"/>
      <c r="G676" s="70"/>
      <c r="H676" s="70"/>
      <c r="I676" s="70"/>
      <c r="J676" s="70"/>
      <c r="K676" s="70"/>
      <c r="L676" s="70"/>
      <c r="M676" s="70"/>
      <c r="N676" s="70"/>
      <c r="O676" s="70"/>
      <c r="P676" s="70"/>
      <c r="Q676" s="70"/>
      <c r="R676" s="70"/>
      <c r="S676" s="70"/>
      <c r="T676" s="70"/>
      <c r="U676" s="64"/>
      <c r="V676" s="64"/>
      <c r="W676" s="70"/>
      <c r="X676" s="64"/>
      <c r="Y676" s="70"/>
      <c r="Z676" s="70"/>
      <c r="AA676" s="71"/>
      <c r="AB676" s="70"/>
      <c r="AC676" s="70"/>
      <c r="AD676" s="64"/>
      <c r="AE676" s="70"/>
      <c r="AF676" s="70"/>
      <c r="AG676" s="70"/>
      <c r="AH676" s="70"/>
    </row>
    <row r="677" spans="4:34" x14ac:dyDescent="0.2">
      <c r="D677" s="53"/>
      <c r="E677" s="70"/>
      <c r="F677" s="70"/>
      <c r="G677" s="70"/>
      <c r="H677" s="70"/>
      <c r="I677" s="70"/>
      <c r="J677" s="70"/>
      <c r="K677" s="70"/>
      <c r="L677" s="70"/>
      <c r="M677" s="70"/>
      <c r="N677" s="70"/>
      <c r="O677" s="70"/>
      <c r="P677" s="70"/>
      <c r="Q677" s="70"/>
      <c r="R677" s="70"/>
      <c r="S677" s="70"/>
      <c r="T677" s="70"/>
      <c r="U677" s="64"/>
      <c r="V677" s="64"/>
      <c r="W677" s="70"/>
      <c r="X677" s="64"/>
      <c r="Y677" s="70"/>
      <c r="Z677" s="70"/>
      <c r="AA677" s="71"/>
      <c r="AB677" s="70"/>
      <c r="AC677" s="70"/>
      <c r="AD677" s="64"/>
      <c r="AE677" s="70"/>
      <c r="AF677" s="70"/>
      <c r="AG677" s="70"/>
      <c r="AH677" s="70"/>
    </row>
    <row r="678" spans="4:34" x14ac:dyDescent="0.2">
      <c r="D678" s="53"/>
      <c r="E678" s="70"/>
      <c r="F678" s="70"/>
      <c r="G678" s="70"/>
      <c r="H678" s="70"/>
      <c r="I678" s="70"/>
      <c r="J678" s="70"/>
      <c r="K678" s="70"/>
      <c r="L678" s="70"/>
      <c r="M678" s="70"/>
      <c r="N678" s="70"/>
      <c r="O678" s="70"/>
      <c r="P678" s="70"/>
      <c r="Q678" s="70"/>
      <c r="R678" s="70"/>
      <c r="S678" s="70"/>
      <c r="T678" s="70"/>
      <c r="U678" s="64"/>
      <c r="V678" s="64"/>
      <c r="W678" s="70"/>
      <c r="X678" s="64"/>
      <c r="Y678" s="70"/>
      <c r="Z678" s="70"/>
      <c r="AA678" s="71"/>
      <c r="AB678" s="70"/>
      <c r="AC678" s="70"/>
      <c r="AD678" s="64"/>
      <c r="AE678" s="70"/>
      <c r="AF678" s="70"/>
      <c r="AG678" s="70"/>
      <c r="AH678" s="70"/>
    </row>
    <row r="679" spans="4:34" x14ac:dyDescent="0.2">
      <c r="D679" s="53"/>
      <c r="E679" s="70"/>
      <c r="F679" s="70"/>
      <c r="G679" s="70"/>
      <c r="H679" s="70"/>
      <c r="I679" s="70"/>
      <c r="J679" s="70"/>
      <c r="K679" s="70"/>
      <c r="L679" s="70"/>
      <c r="M679" s="70"/>
      <c r="N679" s="70"/>
      <c r="O679" s="70"/>
      <c r="P679" s="70"/>
      <c r="Q679" s="70"/>
      <c r="R679" s="70"/>
      <c r="S679" s="70"/>
      <c r="T679" s="70"/>
      <c r="U679" s="64"/>
      <c r="V679" s="64"/>
      <c r="W679" s="70"/>
      <c r="X679" s="64"/>
      <c r="Y679" s="70"/>
      <c r="Z679" s="70"/>
      <c r="AA679" s="71"/>
      <c r="AB679" s="70"/>
      <c r="AC679" s="70"/>
      <c r="AD679" s="64"/>
      <c r="AE679" s="70"/>
      <c r="AF679" s="70"/>
      <c r="AG679" s="70"/>
      <c r="AH679" s="70"/>
    </row>
    <row r="680" spans="4:34" x14ac:dyDescent="0.2">
      <c r="D680" s="53"/>
      <c r="E680" s="70"/>
      <c r="F680" s="70"/>
      <c r="G680" s="70"/>
      <c r="H680" s="70"/>
      <c r="I680" s="70"/>
      <c r="J680" s="70"/>
      <c r="K680" s="70"/>
      <c r="L680" s="70"/>
      <c r="M680" s="70"/>
      <c r="N680" s="70"/>
      <c r="O680" s="70"/>
      <c r="P680" s="70"/>
      <c r="Q680" s="70"/>
      <c r="R680" s="70"/>
      <c r="S680" s="70"/>
      <c r="T680" s="70"/>
      <c r="U680" s="64"/>
      <c r="V680" s="64"/>
      <c r="W680" s="70"/>
      <c r="X680" s="64"/>
      <c r="Y680" s="70"/>
      <c r="Z680" s="70"/>
      <c r="AA680" s="71"/>
      <c r="AB680" s="70"/>
      <c r="AC680" s="70"/>
      <c r="AD680" s="64"/>
      <c r="AE680" s="70"/>
      <c r="AF680" s="70"/>
      <c r="AG680" s="70"/>
      <c r="AH680" s="70"/>
    </row>
    <row r="681" spans="4:34" x14ac:dyDescent="0.2">
      <c r="D681" s="53"/>
      <c r="E681" s="70"/>
      <c r="F681" s="70"/>
      <c r="G681" s="70"/>
      <c r="H681" s="70"/>
      <c r="I681" s="70"/>
      <c r="J681" s="70"/>
      <c r="K681" s="70"/>
      <c r="L681" s="70"/>
      <c r="M681" s="70"/>
      <c r="N681" s="70"/>
      <c r="O681" s="70"/>
      <c r="P681" s="70"/>
      <c r="Q681" s="70"/>
      <c r="R681" s="70"/>
      <c r="S681" s="70"/>
      <c r="T681" s="70"/>
      <c r="U681" s="64"/>
      <c r="V681" s="64"/>
      <c r="W681" s="70"/>
      <c r="X681" s="64"/>
      <c r="Y681" s="70"/>
      <c r="Z681" s="70"/>
      <c r="AA681" s="71"/>
      <c r="AB681" s="70"/>
      <c r="AC681" s="70"/>
      <c r="AD681" s="64"/>
      <c r="AE681" s="70"/>
      <c r="AF681" s="70"/>
      <c r="AG681" s="70"/>
      <c r="AH681" s="70"/>
    </row>
    <row r="682" spans="4:34" x14ac:dyDescent="0.2">
      <c r="D682" s="53"/>
      <c r="E682" s="70"/>
      <c r="F682" s="70"/>
      <c r="G682" s="70"/>
      <c r="H682" s="70"/>
      <c r="I682" s="70"/>
      <c r="J682" s="70"/>
      <c r="K682" s="70"/>
      <c r="L682" s="70"/>
      <c r="M682" s="70"/>
      <c r="N682" s="70"/>
      <c r="O682" s="70"/>
      <c r="P682" s="70"/>
      <c r="Q682" s="70"/>
      <c r="R682" s="70"/>
      <c r="S682" s="70"/>
      <c r="T682" s="70"/>
      <c r="U682" s="64"/>
      <c r="V682" s="64"/>
      <c r="W682" s="70"/>
      <c r="X682" s="64"/>
      <c r="Y682" s="70"/>
      <c r="Z682" s="70"/>
      <c r="AA682" s="71"/>
      <c r="AB682" s="70"/>
      <c r="AC682" s="70"/>
      <c r="AD682" s="64"/>
      <c r="AE682" s="70"/>
      <c r="AF682" s="70"/>
      <c r="AG682" s="70"/>
      <c r="AH682" s="70"/>
    </row>
    <row r="683" spans="4:34" x14ac:dyDescent="0.2">
      <c r="D683" s="53"/>
      <c r="E683" s="70"/>
      <c r="F683" s="70"/>
      <c r="G683" s="70"/>
      <c r="H683" s="70"/>
      <c r="I683" s="70"/>
      <c r="J683" s="70"/>
      <c r="K683" s="70"/>
      <c r="L683" s="70"/>
      <c r="M683" s="70"/>
      <c r="N683" s="70"/>
      <c r="O683" s="70"/>
      <c r="P683" s="70"/>
      <c r="Q683" s="70"/>
      <c r="R683" s="70"/>
      <c r="S683" s="70"/>
      <c r="T683" s="70"/>
      <c r="U683" s="64"/>
      <c r="V683" s="64"/>
      <c r="W683" s="70"/>
      <c r="X683" s="64"/>
      <c r="Y683" s="70"/>
      <c r="Z683" s="70"/>
      <c r="AA683" s="71"/>
      <c r="AB683" s="70"/>
      <c r="AC683" s="70"/>
      <c r="AD683" s="64"/>
      <c r="AE683" s="70"/>
      <c r="AF683" s="70"/>
      <c r="AG683" s="70"/>
      <c r="AH683" s="70"/>
    </row>
    <row r="684" spans="4:34" x14ac:dyDescent="0.2">
      <c r="D684" s="53"/>
      <c r="E684" s="70"/>
      <c r="F684" s="70"/>
      <c r="G684" s="70"/>
      <c r="H684" s="70"/>
      <c r="I684" s="70"/>
      <c r="J684" s="70"/>
      <c r="K684" s="70"/>
      <c r="L684" s="70"/>
      <c r="M684" s="70"/>
      <c r="N684" s="70"/>
      <c r="O684" s="70"/>
      <c r="P684" s="70"/>
      <c r="Q684" s="70"/>
      <c r="R684" s="70"/>
      <c r="S684" s="70"/>
      <c r="T684" s="70"/>
      <c r="U684" s="64"/>
      <c r="V684" s="64"/>
      <c r="W684" s="70"/>
      <c r="X684" s="64"/>
      <c r="Y684" s="70"/>
      <c r="Z684" s="70"/>
      <c r="AA684" s="71"/>
      <c r="AB684" s="70"/>
      <c r="AC684" s="70"/>
      <c r="AD684" s="64"/>
      <c r="AE684" s="70"/>
      <c r="AF684" s="70"/>
      <c r="AG684" s="70"/>
      <c r="AH684" s="70"/>
    </row>
    <row r="685" spans="4:34" x14ac:dyDescent="0.2">
      <c r="D685" s="53"/>
      <c r="E685" s="70"/>
      <c r="F685" s="70"/>
      <c r="G685" s="70"/>
      <c r="H685" s="70"/>
      <c r="I685" s="70"/>
      <c r="J685" s="70"/>
      <c r="K685" s="70"/>
      <c r="L685" s="70"/>
      <c r="M685" s="70"/>
      <c r="N685" s="70"/>
      <c r="O685" s="70"/>
      <c r="P685" s="70"/>
      <c r="Q685" s="70"/>
      <c r="R685" s="70"/>
      <c r="S685" s="70"/>
      <c r="T685" s="70"/>
      <c r="U685" s="64"/>
      <c r="V685" s="64"/>
      <c r="W685" s="70"/>
      <c r="X685" s="64"/>
      <c r="Y685" s="70"/>
      <c r="Z685" s="70"/>
      <c r="AA685" s="71"/>
      <c r="AB685" s="70"/>
      <c r="AC685" s="70"/>
      <c r="AD685" s="64"/>
      <c r="AE685" s="70"/>
      <c r="AF685" s="70"/>
      <c r="AG685" s="70"/>
      <c r="AH685" s="70"/>
    </row>
    <row r="686" spans="4:34" x14ac:dyDescent="0.2">
      <c r="D686" s="53"/>
      <c r="E686" s="70"/>
      <c r="F686" s="70"/>
      <c r="G686" s="70"/>
      <c r="H686" s="70"/>
      <c r="I686" s="70"/>
      <c r="J686" s="70"/>
      <c r="K686" s="70"/>
      <c r="L686" s="70"/>
      <c r="M686" s="70"/>
      <c r="N686" s="70"/>
      <c r="O686" s="70"/>
      <c r="P686" s="70"/>
      <c r="Q686" s="70"/>
      <c r="R686" s="70"/>
      <c r="S686" s="70"/>
      <c r="T686" s="70"/>
      <c r="U686" s="64"/>
      <c r="V686" s="64"/>
      <c r="W686" s="70"/>
      <c r="X686" s="64"/>
      <c r="Y686" s="70"/>
      <c r="Z686" s="70"/>
      <c r="AA686" s="71"/>
      <c r="AB686" s="70"/>
      <c r="AC686" s="70"/>
      <c r="AD686" s="64"/>
      <c r="AE686" s="70"/>
      <c r="AF686" s="70"/>
      <c r="AG686" s="70"/>
      <c r="AH686" s="70"/>
    </row>
    <row r="687" spans="4:34" x14ac:dyDescent="0.2">
      <c r="D687" s="53"/>
      <c r="E687" s="70"/>
      <c r="F687" s="70"/>
      <c r="G687" s="70"/>
      <c r="H687" s="70"/>
      <c r="I687" s="70"/>
      <c r="J687" s="70"/>
      <c r="K687" s="70"/>
      <c r="L687" s="70"/>
      <c r="M687" s="70"/>
      <c r="N687" s="70"/>
      <c r="O687" s="70"/>
      <c r="P687" s="70"/>
      <c r="Q687" s="70"/>
      <c r="R687" s="70"/>
      <c r="S687" s="70"/>
      <c r="T687" s="70"/>
      <c r="U687" s="64"/>
      <c r="V687" s="64"/>
      <c r="W687" s="70"/>
      <c r="X687" s="64"/>
      <c r="Y687" s="70"/>
      <c r="Z687" s="70"/>
      <c r="AA687" s="71"/>
      <c r="AB687" s="70"/>
      <c r="AC687" s="70"/>
      <c r="AD687" s="64"/>
      <c r="AE687" s="70"/>
      <c r="AF687" s="70"/>
      <c r="AG687" s="70"/>
      <c r="AH687" s="70"/>
    </row>
    <row r="688" spans="4:34" x14ac:dyDescent="0.2">
      <c r="D688" s="53"/>
      <c r="E688" s="70"/>
      <c r="F688" s="70"/>
      <c r="G688" s="70"/>
      <c r="H688" s="70"/>
      <c r="I688" s="70"/>
      <c r="J688" s="70"/>
      <c r="K688" s="70"/>
      <c r="L688" s="70"/>
      <c r="M688" s="70"/>
      <c r="N688" s="70"/>
      <c r="O688" s="70"/>
      <c r="P688" s="70"/>
      <c r="Q688" s="70"/>
      <c r="R688" s="70"/>
      <c r="S688" s="70"/>
      <c r="T688" s="70"/>
      <c r="U688" s="64"/>
      <c r="V688" s="64"/>
      <c r="W688" s="70"/>
      <c r="X688" s="64"/>
      <c r="Y688" s="70"/>
      <c r="Z688" s="70"/>
      <c r="AA688" s="71"/>
      <c r="AB688" s="70"/>
      <c r="AC688" s="70"/>
      <c r="AD688" s="64"/>
      <c r="AE688" s="70"/>
      <c r="AF688" s="70"/>
      <c r="AG688" s="70"/>
      <c r="AH688" s="70"/>
    </row>
    <row r="689" spans="4:34" x14ac:dyDescent="0.2">
      <c r="D689" s="53"/>
      <c r="E689" s="70"/>
      <c r="F689" s="70"/>
      <c r="G689" s="70"/>
      <c r="H689" s="70"/>
      <c r="I689" s="70"/>
      <c r="J689" s="70"/>
      <c r="K689" s="70"/>
      <c r="L689" s="70"/>
      <c r="M689" s="70"/>
      <c r="N689" s="70"/>
      <c r="O689" s="70"/>
      <c r="P689" s="70"/>
      <c r="Q689" s="70"/>
      <c r="R689" s="70"/>
      <c r="S689" s="70"/>
      <c r="T689" s="70"/>
      <c r="U689" s="64"/>
      <c r="V689" s="64"/>
      <c r="W689" s="70"/>
      <c r="X689" s="64"/>
      <c r="Y689" s="70"/>
      <c r="Z689" s="70"/>
      <c r="AA689" s="71"/>
      <c r="AB689" s="70"/>
      <c r="AC689" s="70"/>
      <c r="AD689" s="64"/>
      <c r="AE689" s="70"/>
      <c r="AF689" s="70"/>
      <c r="AG689" s="70"/>
      <c r="AH689" s="70"/>
    </row>
    <row r="690" spans="4:34" x14ac:dyDescent="0.2">
      <c r="D690" s="53"/>
      <c r="E690" s="70"/>
      <c r="F690" s="70"/>
      <c r="G690" s="70"/>
      <c r="H690" s="70"/>
      <c r="I690" s="70"/>
      <c r="J690" s="70"/>
      <c r="K690" s="70"/>
      <c r="L690" s="70"/>
      <c r="M690" s="70"/>
      <c r="N690" s="70"/>
      <c r="O690" s="70"/>
      <c r="P690" s="70"/>
      <c r="Q690" s="70"/>
      <c r="R690" s="70"/>
      <c r="S690" s="70"/>
      <c r="T690" s="70"/>
      <c r="U690" s="64"/>
      <c r="V690" s="64"/>
      <c r="W690" s="70"/>
      <c r="X690" s="64"/>
      <c r="Y690" s="70"/>
      <c r="Z690" s="70"/>
      <c r="AA690" s="71"/>
      <c r="AB690" s="70"/>
      <c r="AC690" s="70"/>
      <c r="AD690" s="64"/>
      <c r="AE690" s="70"/>
      <c r="AF690" s="70"/>
      <c r="AG690" s="70"/>
      <c r="AH690" s="70"/>
    </row>
    <row r="691" spans="4:34" x14ac:dyDescent="0.2">
      <c r="D691" s="53"/>
      <c r="E691" s="70"/>
      <c r="F691" s="70"/>
      <c r="G691" s="70"/>
      <c r="H691" s="70"/>
      <c r="I691" s="70"/>
      <c r="J691" s="70"/>
      <c r="K691" s="70"/>
      <c r="L691" s="70"/>
      <c r="M691" s="70"/>
      <c r="N691" s="70"/>
      <c r="O691" s="70"/>
      <c r="P691" s="70"/>
      <c r="Q691" s="70"/>
      <c r="R691" s="70"/>
      <c r="S691" s="70"/>
      <c r="T691" s="70"/>
      <c r="U691" s="64"/>
      <c r="V691" s="64"/>
      <c r="W691" s="70"/>
      <c r="X691" s="64"/>
      <c r="Y691" s="70"/>
      <c r="Z691" s="70"/>
      <c r="AA691" s="71"/>
      <c r="AB691" s="70"/>
      <c r="AC691" s="70"/>
      <c r="AD691" s="64"/>
      <c r="AE691" s="70"/>
      <c r="AF691" s="70"/>
      <c r="AG691" s="70"/>
      <c r="AH691" s="70"/>
    </row>
    <row r="692" spans="4:34" x14ac:dyDescent="0.2">
      <c r="D692" s="53"/>
      <c r="E692" s="70"/>
      <c r="F692" s="70"/>
      <c r="G692" s="70"/>
      <c r="H692" s="70"/>
      <c r="I692" s="70"/>
      <c r="J692" s="70"/>
      <c r="K692" s="70"/>
      <c r="L692" s="70"/>
      <c r="M692" s="70"/>
      <c r="N692" s="70"/>
      <c r="O692" s="70"/>
      <c r="P692" s="70"/>
      <c r="Q692" s="70"/>
      <c r="R692" s="70"/>
      <c r="S692" s="70"/>
      <c r="T692" s="70"/>
      <c r="U692" s="64"/>
      <c r="V692" s="64"/>
      <c r="W692" s="70"/>
      <c r="X692" s="64"/>
      <c r="Y692" s="70"/>
      <c r="Z692" s="70"/>
      <c r="AA692" s="71"/>
      <c r="AB692" s="70"/>
      <c r="AC692" s="70"/>
      <c r="AD692" s="64"/>
      <c r="AE692" s="70"/>
      <c r="AF692" s="70"/>
      <c r="AG692" s="70"/>
      <c r="AH692" s="70"/>
    </row>
    <row r="693" spans="4:34" x14ac:dyDescent="0.2">
      <c r="D693" s="53"/>
      <c r="E693" s="70"/>
      <c r="F693" s="70"/>
      <c r="G693" s="70"/>
      <c r="H693" s="70"/>
      <c r="I693" s="70"/>
      <c r="J693" s="70"/>
      <c r="K693" s="70"/>
      <c r="L693" s="70"/>
      <c r="M693" s="70"/>
      <c r="N693" s="70"/>
      <c r="O693" s="70"/>
      <c r="P693" s="70"/>
      <c r="Q693" s="70"/>
      <c r="R693" s="70"/>
      <c r="S693" s="70"/>
      <c r="T693" s="70"/>
      <c r="U693" s="64"/>
      <c r="V693" s="64"/>
      <c r="W693" s="70"/>
      <c r="X693" s="64"/>
      <c r="Y693" s="70"/>
      <c r="Z693" s="70"/>
      <c r="AA693" s="71"/>
      <c r="AB693" s="70"/>
      <c r="AC693" s="70"/>
      <c r="AD693" s="64"/>
      <c r="AE693" s="70"/>
      <c r="AF693" s="70"/>
      <c r="AG693" s="70"/>
      <c r="AH693" s="70"/>
    </row>
    <row r="694" spans="4:34" x14ac:dyDescent="0.2">
      <c r="D694" s="53"/>
      <c r="E694" s="70"/>
      <c r="F694" s="70"/>
      <c r="G694" s="70"/>
      <c r="H694" s="70"/>
      <c r="I694" s="70"/>
      <c r="J694" s="70"/>
      <c r="K694" s="70"/>
      <c r="L694" s="70"/>
      <c r="M694" s="70"/>
      <c r="N694" s="70"/>
      <c r="O694" s="70"/>
      <c r="P694" s="70"/>
      <c r="Q694" s="70"/>
      <c r="R694" s="70"/>
      <c r="S694" s="70"/>
      <c r="T694" s="70"/>
      <c r="U694" s="64"/>
      <c r="V694" s="64"/>
      <c r="W694" s="70"/>
      <c r="X694" s="64"/>
      <c r="Y694" s="70"/>
      <c r="Z694" s="70"/>
      <c r="AA694" s="71"/>
      <c r="AB694" s="70"/>
      <c r="AC694" s="70"/>
      <c r="AD694" s="64"/>
      <c r="AE694" s="70"/>
      <c r="AF694" s="70"/>
      <c r="AG694" s="70"/>
      <c r="AH694" s="70"/>
    </row>
    <row r="695" spans="4:34" x14ac:dyDescent="0.2">
      <c r="D695" s="53"/>
      <c r="E695" s="70"/>
      <c r="F695" s="70"/>
      <c r="G695" s="70"/>
      <c r="H695" s="70"/>
      <c r="I695" s="70"/>
      <c r="J695" s="70"/>
      <c r="K695" s="70"/>
      <c r="L695" s="70"/>
      <c r="M695" s="70"/>
      <c r="N695" s="70"/>
      <c r="O695" s="70"/>
      <c r="P695" s="70"/>
      <c r="Q695" s="70"/>
      <c r="R695" s="70"/>
      <c r="S695" s="70"/>
      <c r="T695" s="70"/>
      <c r="U695" s="64"/>
      <c r="V695" s="64"/>
      <c r="W695" s="70"/>
      <c r="X695" s="64"/>
      <c r="Y695" s="70"/>
      <c r="Z695" s="70"/>
      <c r="AA695" s="71"/>
      <c r="AB695" s="70"/>
      <c r="AC695" s="70"/>
      <c r="AD695" s="64"/>
      <c r="AE695" s="70"/>
      <c r="AF695" s="70"/>
      <c r="AG695" s="70"/>
      <c r="AH695" s="70"/>
    </row>
    <row r="696" spans="4:34" x14ac:dyDescent="0.2">
      <c r="D696" s="53"/>
      <c r="E696" s="70"/>
      <c r="F696" s="70"/>
      <c r="G696" s="70"/>
      <c r="H696" s="70"/>
      <c r="I696" s="70"/>
      <c r="J696" s="70"/>
      <c r="K696" s="70"/>
      <c r="L696" s="70"/>
      <c r="M696" s="70"/>
      <c r="N696" s="70"/>
      <c r="O696" s="70"/>
      <c r="P696" s="70"/>
      <c r="Q696" s="70"/>
      <c r="R696" s="70"/>
      <c r="S696" s="70"/>
      <c r="T696" s="70"/>
      <c r="U696" s="64"/>
      <c r="V696" s="64"/>
      <c r="W696" s="70"/>
      <c r="X696" s="64"/>
      <c r="Y696" s="70"/>
      <c r="Z696" s="70"/>
      <c r="AA696" s="71"/>
      <c r="AB696" s="70"/>
      <c r="AC696" s="70"/>
      <c r="AD696" s="64"/>
      <c r="AE696" s="70"/>
      <c r="AF696" s="70"/>
      <c r="AG696" s="70"/>
      <c r="AH696" s="70"/>
    </row>
    <row r="697" spans="4:34" x14ac:dyDescent="0.2">
      <c r="D697" s="53"/>
      <c r="E697" s="70"/>
      <c r="F697" s="70"/>
      <c r="G697" s="70"/>
      <c r="H697" s="70"/>
      <c r="I697" s="70"/>
      <c r="J697" s="70"/>
      <c r="K697" s="70"/>
      <c r="L697" s="70"/>
      <c r="M697" s="70"/>
      <c r="N697" s="70"/>
      <c r="O697" s="70"/>
      <c r="P697" s="70"/>
      <c r="Q697" s="70"/>
      <c r="R697" s="70"/>
      <c r="S697" s="70"/>
      <c r="T697" s="70"/>
      <c r="U697" s="64"/>
      <c r="V697" s="64"/>
      <c r="W697" s="70"/>
      <c r="X697" s="64"/>
      <c r="Y697" s="70"/>
      <c r="Z697" s="70"/>
      <c r="AA697" s="71"/>
      <c r="AB697" s="70"/>
      <c r="AC697" s="70"/>
      <c r="AD697" s="64"/>
      <c r="AE697" s="70"/>
      <c r="AF697" s="70"/>
      <c r="AG697" s="70"/>
      <c r="AH697" s="70"/>
    </row>
    <row r="698" spans="4:34" x14ac:dyDescent="0.2">
      <c r="D698" s="53"/>
      <c r="E698" s="70"/>
      <c r="F698" s="70"/>
      <c r="G698" s="70"/>
      <c r="H698" s="70"/>
      <c r="I698" s="70"/>
      <c r="J698" s="70"/>
      <c r="K698" s="70"/>
      <c r="L698" s="70"/>
      <c r="M698" s="70"/>
      <c r="N698" s="70"/>
      <c r="O698" s="70"/>
      <c r="P698" s="70"/>
      <c r="Q698" s="70"/>
      <c r="R698" s="70"/>
      <c r="S698" s="70"/>
      <c r="T698" s="70"/>
      <c r="U698" s="64"/>
      <c r="V698" s="64"/>
      <c r="W698" s="70"/>
      <c r="X698" s="64"/>
      <c r="Y698" s="70"/>
      <c r="Z698" s="70"/>
      <c r="AA698" s="71"/>
      <c r="AB698" s="70"/>
      <c r="AC698" s="70"/>
      <c r="AD698" s="64"/>
      <c r="AE698" s="70"/>
      <c r="AF698" s="70"/>
      <c r="AG698" s="70"/>
      <c r="AH698" s="70"/>
    </row>
    <row r="699" spans="4:34" x14ac:dyDescent="0.2">
      <c r="D699" s="53"/>
      <c r="E699" s="70"/>
      <c r="F699" s="70"/>
      <c r="G699" s="70"/>
      <c r="H699" s="70"/>
      <c r="I699" s="70"/>
      <c r="J699" s="70"/>
      <c r="K699" s="70"/>
      <c r="L699" s="70"/>
      <c r="M699" s="70"/>
      <c r="N699" s="70"/>
      <c r="O699" s="70"/>
      <c r="P699" s="70"/>
      <c r="Q699" s="70"/>
      <c r="R699" s="70"/>
      <c r="S699" s="70"/>
      <c r="T699" s="70"/>
      <c r="U699" s="64"/>
      <c r="V699" s="64"/>
      <c r="W699" s="70"/>
      <c r="X699" s="64"/>
      <c r="Y699" s="70"/>
      <c r="Z699" s="70"/>
      <c r="AA699" s="71"/>
      <c r="AB699" s="70"/>
      <c r="AC699" s="70"/>
      <c r="AD699" s="64"/>
      <c r="AE699" s="70"/>
      <c r="AF699" s="70"/>
      <c r="AG699" s="70"/>
      <c r="AH699" s="70"/>
    </row>
    <row r="700" spans="4:34" x14ac:dyDescent="0.2">
      <c r="D700" s="53"/>
      <c r="E700" s="70"/>
      <c r="F700" s="70"/>
      <c r="G700" s="70"/>
      <c r="H700" s="70"/>
      <c r="I700" s="70"/>
      <c r="J700" s="70"/>
      <c r="K700" s="70"/>
      <c r="L700" s="70"/>
      <c r="M700" s="70"/>
      <c r="N700" s="70"/>
      <c r="O700" s="70"/>
      <c r="P700" s="70"/>
      <c r="Q700" s="70"/>
      <c r="R700" s="70"/>
      <c r="S700" s="70"/>
      <c r="T700" s="70"/>
      <c r="U700" s="64"/>
      <c r="V700" s="64"/>
      <c r="W700" s="70"/>
      <c r="X700" s="64"/>
      <c r="Y700" s="70"/>
      <c r="Z700" s="70"/>
      <c r="AA700" s="71"/>
      <c r="AB700" s="70"/>
      <c r="AC700" s="70"/>
      <c r="AD700" s="64"/>
      <c r="AE700" s="70"/>
      <c r="AF700" s="70"/>
      <c r="AG700" s="70"/>
      <c r="AH700" s="70"/>
    </row>
    <row r="701" spans="4:34" x14ac:dyDescent="0.2">
      <c r="D701" s="53"/>
      <c r="E701" s="70"/>
      <c r="F701" s="70"/>
      <c r="G701" s="70"/>
      <c r="H701" s="70"/>
      <c r="I701" s="70"/>
      <c r="J701" s="70"/>
      <c r="K701" s="70"/>
      <c r="L701" s="70"/>
      <c r="M701" s="70"/>
      <c r="N701" s="70"/>
      <c r="O701" s="70"/>
      <c r="P701" s="70"/>
      <c r="Q701" s="70"/>
      <c r="R701" s="70"/>
      <c r="S701" s="70"/>
      <c r="T701" s="70"/>
      <c r="U701" s="64"/>
      <c r="V701" s="64"/>
      <c r="W701" s="70"/>
      <c r="X701" s="64"/>
      <c r="Y701" s="70"/>
      <c r="Z701" s="70"/>
      <c r="AA701" s="71"/>
      <c r="AB701" s="70"/>
      <c r="AC701" s="70"/>
      <c r="AD701" s="64"/>
      <c r="AE701" s="70"/>
      <c r="AF701" s="70"/>
      <c r="AG701" s="70"/>
      <c r="AH701" s="70"/>
    </row>
    <row r="702" spans="4:34" x14ac:dyDescent="0.2">
      <c r="D702" s="53"/>
      <c r="E702" s="70"/>
      <c r="F702" s="70"/>
      <c r="G702" s="70"/>
      <c r="H702" s="70"/>
      <c r="I702" s="70"/>
      <c r="J702" s="70"/>
      <c r="K702" s="70"/>
      <c r="L702" s="70"/>
      <c r="M702" s="70"/>
      <c r="N702" s="70"/>
      <c r="O702" s="70"/>
      <c r="P702" s="70"/>
      <c r="Q702" s="70"/>
      <c r="R702" s="70"/>
      <c r="S702" s="70"/>
      <c r="T702" s="70"/>
      <c r="U702" s="64"/>
      <c r="V702" s="64"/>
      <c r="W702" s="70"/>
      <c r="X702" s="64"/>
      <c r="Y702" s="70"/>
      <c r="Z702" s="70"/>
      <c r="AA702" s="71"/>
      <c r="AB702" s="70"/>
      <c r="AC702" s="70"/>
      <c r="AD702" s="64"/>
      <c r="AE702" s="70"/>
      <c r="AF702" s="70"/>
      <c r="AG702" s="70"/>
      <c r="AH702" s="70"/>
    </row>
    <row r="703" spans="4:34" x14ac:dyDescent="0.2">
      <c r="D703" s="53"/>
      <c r="E703" s="70"/>
      <c r="F703" s="70"/>
      <c r="G703" s="70"/>
      <c r="H703" s="70"/>
      <c r="I703" s="70"/>
      <c r="J703" s="70"/>
      <c r="K703" s="70"/>
      <c r="L703" s="70"/>
      <c r="M703" s="70"/>
      <c r="N703" s="70"/>
      <c r="O703" s="70"/>
      <c r="P703" s="70"/>
      <c r="Q703" s="70"/>
      <c r="R703" s="70"/>
      <c r="S703" s="70"/>
      <c r="T703" s="70"/>
      <c r="U703" s="64"/>
      <c r="V703" s="64"/>
      <c r="W703" s="70"/>
      <c r="X703" s="64"/>
      <c r="Y703" s="70"/>
      <c r="Z703" s="70"/>
      <c r="AA703" s="71"/>
      <c r="AB703" s="70"/>
      <c r="AC703" s="70"/>
      <c r="AD703" s="64"/>
      <c r="AE703" s="70"/>
      <c r="AF703" s="70"/>
      <c r="AG703" s="70"/>
      <c r="AH703" s="70"/>
    </row>
    <row r="704" spans="4:34" x14ac:dyDescent="0.2">
      <c r="D704" s="53"/>
      <c r="E704" s="70"/>
      <c r="F704" s="70"/>
      <c r="G704" s="70"/>
      <c r="H704" s="70"/>
      <c r="I704" s="70"/>
      <c r="J704" s="70"/>
      <c r="K704" s="70"/>
      <c r="L704" s="70"/>
      <c r="M704" s="70"/>
      <c r="N704" s="70"/>
      <c r="O704" s="70"/>
      <c r="P704" s="70"/>
      <c r="Q704" s="70"/>
      <c r="R704" s="70"/>
      <c r="S704" s="70"/>
      <c r="T704" s="70"/>
      <c r="U704" s="64"/>
      <c r="V704" s="64"/>
      <c r="W704" s="70"/>
      <c r="X704" s="64"/>
      <c r="Y704" s="70"/>
      <c r="Z704" s="70"/>
      <c r="AA704" s="71"/>
      <c r="AB704" s="70"/>
      <c r="AC704" s="70"/>
      <c r="AD704" s="64"/>
      <c r="AE704" s="70"/>
      <c r="AF704" s="70"/>
      <c r="AG704" s="70"/>
      <c r="AH704" s="70"/>
    </row>
    <row r="705" spans="4:34" x14ac:dyDescent="0.2">
      <c r="D705" s="53"/>
      <c r="E705" s="70"/>
      <c r="F705" s="70"/>
      <c r="G705" s="70"/>
      <c r="H705" s="70"/>
      <c r="I705" s="70"/>
      <c r="J705" s="70"/>
      <c r="K705" s="70"/>
      <c r="L705" s="70"/>
      <c r="M705" s="70"/>
      <c r="N705" s="70"/>
      <c r="O705" s="70"/>
      <c r="P705" s="70"/>
      <c r="Q705" s="70"/>
      <c r="R705" s="70"/>
      <c r="S705" s="70"/>
      <c r="T705" s="70"/>
      <c r="U705" s="64"/>
      <c r="V705" s="64"/>
      <c r="W705" s="70"/>
      <c r="X705" s="64"/>
      <c r="Y705" s="70"/>
      <c r="Z705" s="70"/>
      <c r="AA705" s="71"/>
      <c r="AB705" s="70"/>
      <c r="AC705" s="70"/>
      <c r="AD705" s="64"/>
      <c r="AE705" s="70"/>
      <c r="AF705" s="70"/>
      <c r="AG705" s="70"/>
      <c r="AH705" s="70"/>
    </row>
    <row r="706" spans="4:34" x14ac:dyDescent="0.2">
      <c r="D706" s="53"/>
      <c r="E706" s="70"/>
      <c r="F706" s="70"/>
      <c r="G706" s="70"/>
      <c r="H706" s="70"/>
      <c r="I706" s="70"/>
      <c r="J706" s="70"/>
      <c r="K706" s="70"/>
      <c r="L706" s="70"/>
      <c r="M706" s="70"/>
      <c r="N706" s="70"/>
      <c r="O706" s="70"/>
      <c r="P706" s="70"/>
      <c r="Q706" s="70"/>
      <c r="R706" s="70"/>
      <c r="S706" s="70"/>
      <c r="T706" s="70"/>
      <c r="U706" s="64"/>
      <c r="V706" s="64"/>
      <c r="W706" s="70"/>
      <c r="X706" s="64"/>
      <c r="Y706" s="70"/>
      <c r="Z706" s="70"/>
      <c r="AA706" s="71"/>
      <c r="AB706" s="70"/>
      <c r="AC706" s="70"/>
      <c r="AD706" s="64"/>
      <c r="AE706" s="70"/>
      <c r="AF706" s="70"/>
      <c r="AG706" s="70"/>
      <c r="AH706" s="70"/>
    </row>
    <row r="707" spans="4:34" x14ac:dyDescent="0.2">
      <c r="D707" s="53"/>
      <c r="E707" s="70"/>
      <c r="F707" s="70"/>
      <c r="G707" s="70"/>
      <c r="H707" s="70"/>
      <c r="I707" s="70"/>
      <c r="J707" s="70"/>
      <c r="K707" s="70"/>
      <c r="L707" s="70"/>
      <c r="M707" s="70"/>
      <c r="N707" s="70"/>
      <c r="O707" s="70"/>
      <c r="P707" s="70"/>
      <c r="Q707" s="70"/>
      <c r="R707" s="70"/>
      <c r="S707" s="70"/>
      <c r="T707" s="70"/>
      <c r="U707" s="64"/>
      <c r="V707" s="64"/>
      <c r="W707" s="70"/>
      <c r="X707" s="64"/>
      <c r="Y707" s="70"/>
      <c r="Z707" s="70"/>
      <c r="AA707" s="71"/>
      <c r="AB707" s="70"/>
      <c r="AC707" s="70"/>
      <c r="AD707" s="64"/>
      <c r="AE707" s="70"/>
      <c r="AF707" s="70"/>
      <c r="AG707" s="70"/>
      <c r="AH707" s="70"/>
    </row>
    <row r="708" spans="4:34" x14ac:dyDescent="0.2">
      <c r="D708" s="53"/>
      <c r="E708" s="70"/>
      <c r="F708" s="70"/>
      <c r="G708" s="70"/>
      <c r="H708" s="70"/>
      <c r="I708" s="70"/>
      <c r="J708" s="70"/>
      <c r="K708" s="70"/>
      <c r="L708" s="70"/>
      <c r="M708" s="70"/>
      <c r="N708" s="70"/>
      <c r="O708" s="70"/>
      <c r="P708" s="70"/>
      <c r="Q708" s="70"/>
      <c r="R708" s="70"/>
      <c r="S708" s="70"/>
      <c r="T708" s="70"/>
      <c r="U708" s="64"/>
      <c r="V708" s="64"/>
      <c r="W708" s="70"/>
      <c r="X708" s="64"/>
      <c r="Y708" s="70"/>
      <c r="Z708" s="70"/>
      <c r="AA708" s="71"/>
      <c r="AB708" s="70"/>
      <c r="AC708" s="70"/>
      <c r="AD708" s="64"/>
      <c r="AE708" s="70"/>
      <c r="AF708" s="70"/>
      <c r="AG708" s="70"/>
      <c r="AH708" s="70"/>
    </row>
    <row r="709" spans="4:34" x14ac:dyDescent="0.2">
      <c r="D709" s="53"/>
      <c r="E709" s="70"/>
      <c r="F709" s="70"/>
      <c r="G709" s="70"/>
      <c r="H709" s="70"/>
      <c r="I709" s="70"/>
      <c r="J709" s="70"/>
      <c r="K709" s="70"/>
      <c r="L709" s="70"/>
      <c r="M709" s="70"/>
      <c r="N709" s="70"/>
      <c r="O709" s="70"/>
      <c r="P709" s="70"/>
      <c r="Q709" s="70"/>
      <c r="R709" s="70"/>
      <c r="S709" s="70"/>
      <c r="T709" s="70"/>
      <c r="U709" s="64"/>
      <c r="V709" s="64"/>
      <c r="W709" s="70"/>
      <c r="X709" s="64"/>
      <c r="Y709" s="70"/>
      <c r="Z709" s="70"/>
      <c r="AA709" s="71"/>
      <c r="AB709" s="70"/>
      <c r="AC709" s="70"/>
      <c r="AD709" s="64"/>
      <c r="AE709" s="70"/>
      <c r="AF709" s="70"/>
      <c r="AG709" s="70"/>
      <c r="AH709" s="70"/>
    </row>
    <row r="710" spans="4:34" x14ac:dyDescent="0.2">
      <c r="D710" s="53"/>
      <c r="E710" s="70"/>
      <c r="F710" s="70"/>
      <c r="G710" s="70"/>
      <c r="H710" s="70"/>
      <c r="I710" s="70"/>
      <c r="J710" s="70"/>
      <c r="K710" s="70"/>
      <c r="L710" s="70"/>
      <c r="M710" s="70"/>
      <c r="N710" s="70"/>
      <c r="O710" s="70"/>
      <c r="P710" s="70"/>
      <c r="Q710" s="70"/>
      <c r="R710" s="70"/>
      <c r="S710" s="70"/>
      <c r="T710" s="70"/>
      <c r="U710" s="64"/>
      <c r="V710" s="64"/>
      <c r="W710" s="70"/>
      <c r="X710" s="64"/>
      <c r="Y710" s="70"/>
      <c r="Z710" s="70"/>
      <c r="AA710" s="71"/>
      <c r="AB710" s="70"/>
      <c r="AC710" s="70"/>
      <c r="AD710" s="64"/>
      <c r="AE710" s="70"/>
      <c r="AF710" s="70"/>
      <c r="AG710" s="70"/>
      <c r="AH710" s="70"/>
    </row>
    <row r="711" spans="4:34" x14ac:dyDescent="0.2">
      <c r="D711" s="53"/>
      <c r="E711" s="70"/>
      <c r="F711" s="70"/>
      <c r="G711" s="70"/>
      <c r="H711" s="70"/>
      <c r="I711" s="70"/>
      <c r="J711" s="70"/>
      <c r="K711" s="70"/>
      <c r="L711" s="70"/>
      <c r="M711" s="70"/>
      <c r="N711" s="70"/>
      <c r="O711" s="70"/>
      <c r="P711" s="70"/>
      <c r="Q711" s="70"/>
      <c r="R711" s="70"/>
      <c r="S711" s="70"/>
      <c r="T711" s="70"/>
      <c r="U711" s="64"/>
      <c r="V711" s="64"/>
      <c r="W711" s="70"/>
      <c r="X711" s="64"/>
      <c r="Y711" s="70"/>
      <c r="Z711" s="70"/>
      <c r="AA711" s="71"/>
      <c r="AB711" s="70"/>
      <c r="AC711" s="70"/>
      <c r="AD711" s="64"/>
      <c r="AE711" s="70"/>
      <c r="AF711" s="70"/>
      <c r="AG711" s="70"/>
      <c r="AH711" s="70"/>
    </row>
    <row r="712" spans="4:34" x14ac:dyDescent="0.2">
      <c r="D712" s="53"/>
      <c r="E712" s="70"/>
      <c r="F712" s="70"/>
      <c r="G712" s="70"/>
      <c r="H712" s="70"/>
      <c r="I712" s="70"/>
      <c r="J712" s="70"/>
      <c r="K712" s="70"/>
      <c r="L712" s="70"/>
      <c r="M712" s="70"/>
      <c r="N712" s="70"/>
      <c r="O712" s="70"/>
      <c r="P712" s="70"/>
      <c r="Q712" s="70"/>
      <c r="R712" s="70"/>
      <c r="S712" s="70"/>
      <c r="T712" s="70"/>
      <c r="U712" s="64"/>
      <c r="V712" s="64"/>
      <c r="W712" s="70"/>
      <c r="X712" s="64"/>
      <c r="Y712" s="70"/>
      <c r="Z712" s="70"/>
      <c r="AA712" s="71"/>
      <c r="AB712" s="70"/>
      <c r="AC712" s="70"/>
      <c r="AD712" s="64"/>
      <c r="AE712" s="70"/>
      <c r="AF712" s="70"/>
      <c r="AG712" s="70"/>
      <c r="AH712" s="70"/>
    </row>
    <row r="713" spans="4:34" x14ac:dyDescent="0.2">
      <c r="D713" s="53"/>
      <c r="E713" s="70"/>
      <c r="F713" s="70"/>
      <c r="G713" s="70"/>
      <c r="H713" s="70"/>
      <c r="I713" s="70"/>
      <c r="J713" s="70"/>
      <c r="K713" s="70"/>
      <c r="L713" s="70"/>
      <c r="M713" s="70"/>
      <c r="N713" s="70"/>
      <c r="O713" s="70"/>
      <c r="P713" s="70"/>
      <c r="Q713" s="70"/>
      <c r="R713" s="70"/>
      <c r="S713" s="70"/>
      <c r="T713" s="70"/>
      <c r="U713" s="64"/>
      <c r="V713" s="64"/>
      <c r="W713" s="70"/>
      <c r="X713" s="64"/>
      <c r="Y713" s="70"/>
      <c r="Z713" s="70"/>
      <c r="AA713" s="71"/>
      <c r="AB713" s="70"/>
      <c r="AC713" s="70"/>
      <c r="AD713" s="64"/>
      <c r="AE713" s="70"/>
      <c r="AF713" s="70"/>
      <c r="AG713" s="70"/>
      <c r="AH713" s="70"/>
    </row>
    <row r="714" spans="4:34" x14ac:dyDescent="0.2">
      <c r="D714" s="53"/>
      <c r="E714" s="70"/>
      <c r="F714" s="70"/>
      <c r="G714" s="70"/>
      <c r="H714" s="70"/>
      <c r="I714" s="70"/>
      <c r="J714" s="70"/>
      <c r="K714" s="70"/>
      <c r="L714" s="70"/>
      <c r="M714" s="70"/>
      <c r="N714" s="70"/>
      <c r="O714" s="70"/>
      <c r="P714" s="70"/>
      <c r="Q714" s="70"/>
      <c r="R714" s="70"/>
      <c r="S714" s="70"/>
      <c r="T714" s="70"/>
      <c r="U714" s="64"/>
      <c r="V714" s="64"/>
      <c r="W714" s="70"/>
      <c r="X714" s="64"/>
      <c r="Y714" s="70"/>
      <c r="Z714" s="70"/>
      <c r="AA714" s="71"/>
      <c r="AB714" s="70"/>
      <c r="AC714" s="70"/>
      <c r="AD714" s="64"/>
      <c r="AE714" s="70"/>
      <c r="AF714" s="70"/>
      <c r="AG714" s="70"/>
      <c r="AH714" s="70"/>
    </row>
    <row r="715" spans="4:34" x14ac:dyDescent="0.2">
      <c r="D715" s="53"/>
      <c r="E715" s="70"/>
      <c r="F715" s="70"/>
      <c r="G715" s="70"/>
      <c r="H715" s="70"/>
      <c r="I715" s="70"/>
      <c r="J715" s="70"/>
      <c r="K715" s="70"/>
      <c r="L715" s="70"/>
      <c r="M715" s="70"/>
      <c r="N715" s="70"/>
      <c r="O715" s="70"/>
      <c r="P715" s="70"/>
      <c r="Q715" s="70"/>
      <c r="R715" s="70"/>
      <c r="S715" s="70"/>
      <c r="T715" s="70"/>
      <c r="U715" s="64"/>
      <c r="V715" s="64"/>
      <c r="W715" s="70"/>
      <c r="X715" s="64"/>
      <c r="Y715" s="70"/>
      <c r="Z715" s="70"/>
      <c r="AA715" s="71"/>
      <c r="AB715" s="70"/>
      <c r="AC715" s="70"/>
      <c r="AD715" s="64"/>
      <c r="AE715" s="70"/>
      <c r="AF715" s="70"/>
      <c r="AG715" s="70"/>
      <c r="AH715" s="70"/>
    </row>
    <row r="716" spans="4:34" x14ac:dyDescent="0.2">
      <c r="D716" s="53"/>
      <c r="E716" s="70"/>
      <c r="F716" s="70"/>
      <c r="G716" s="70"/>
      <c r="H716" s="70"/>
      <c r="I716" s="70"/>
      <c r="J716" s="70"/>
      <c r="K716" s="70"/>
      <c r="L716" s="70"/>
      <c r="M716" s="70"/>
      <c r="N716" s="70"/>
      <c r="O716" s="70"/>
      <c r="P716" s="70"/>
      <c r="Q716" s="70"/>
      <c r="R716" s="70"/>
      <c r="S716" s="70"/>
      <c r="T716" s="70"/>
      <c r="U716" s="64"/>
      <c r="V716" s="64"/>
      <c r="W716" s="70"/>
      <c r="X716" s="64"/>
      <c r="Y716" s="70"/>
      <c r="Z716" s="70"/>
      <c r="AA716" s="71"/>
      <c r="AB716" s="70"/>
      <c r="AC716" s="70"/>
      <c r="AD716" s="64"/>
      <c r="AE716" s="70"/>
      <c r="AF716" s="70"/>
      <c r="AG716" s="70"/>
      <c r="AH716" s="70"/>
    </row>
    <row r="717" spans="4:34" x14ac:dyDescent="0.2">
      <c r="D717" s="53"/>
      <c r="E717" s="70"/>
      <c r="F717" s="70"/>
      <c r="G717" s="70"/>
      <c r="H717" s="70"/>
      <c r="I717" s="70"/>
      <c r="J717" s="70"/>
      <c r="K717" s="70"/>
      <c r="L717" s="70"/>
      <c r="M717" s="70"/>
      <c r="N717" s="70"/>
      <c r="O717" s="70"/>
      <c r="P717" s="70"/>
      <c r="Q717" s="70"/>
      <c r="R717" s="70"/>
      <c r="S717" s="70"/>
      <c r="T717" s="70"/>
      <c r="U717" s="64"/>
      <c r="V717" s="64"/>
      <c r="W717" s="70"/>
      <c r="X717" s="64"/>
      <c r="Y717" s="70"/>
      <c r="Z717" s="70"/>
      <c r="AA717" s="71"/>
      <c r="AB717" s="70"/>
      <c r="AC717" s="70"/>
      <c r="AD717" s="64"/>
      <c r="AE717" s="70"/>
      <c r="AF717" s="70"/>
      <c r="AG717" s="70"/>
      <c r="AH717" s="70"/>
    </row>
    <row r="718" spans="4:34" x14ac:dyDescent="0.2">
      <c r="D718" s="53"/>
      <c r="E718" s="70"/>
      <c r="F718" s="70"/>
      <c r="G718" s="70"/>
      <c r="H718" s="70"/>
      <c r="I718" s="70"/>
      <c r="J718" s="70"/>
      <c r="K718" s="70"/>
      <c r="L718" s="70"/>
      <c r="M718" s="70"/>
      <c r="N718" s="70"/>
      <c r="O718" s="70"/>
      <c r="P718" s="70"/>
      <c r="Q718" s="70"/>
      <c r="R718" s="70"/>
      <c r="S718" s="70"/>
      <c r="T718" s="70"/>
      <c r="U718" s="64"/>
      <c r="V718" s="64"/>
      <c r="W718" s="70"/>
      <c r="X718" s="64"/>
      <c r="Y718" s="70"/>
      <c r="Z718" s="70"/>
      <c r="AA718" s="71"/>
      <c r="AB718" s="70"/>
      <c r="AC718" s="70"/>
      <c r="AD718" s="64"/>
      <c r="AE718" s="70"/>
      <c r="AF718" s="70"/>
      <c r="AG718" s="70"/>
      <c r="AH718" s="70"/>
    </row>
    <row r="719" spans="4:34" x14ac:dyDescent="0.2">
      <c r="D719" s="53"/>
      <c r="E719" s="70"/>
      <c r="F719" s="70"/>
      <c r="G719" s="70"/>
      <c r="H719" s="70"/>
      <c r="I719" s="70"/>
      <c r="J719" s="70"/>
      <c r="K719" s="70"/>
      <c r="L719" s="70"/>
      <c r="M719" s="70"/>
      <c r="N719" s="70"/>
      <c r="O719" s="70"/>
      <c r="P719" s="70"/>
      <c r="Q719" s="70"/>
      <c r="R719" s="70"/>
      <c r="S719" s="70"/>
      <c r="T719" s="70"/>
      <c r="U719" s="64"/>
      <c r="V719" s="64"/>
      <c r="W719" s="70"/>
      <c r="X719" s="64"/>
      <c r="Y719" s="70"/>
      <c r="Z719" s="70"/>
      <c r="AA719" s="71"/>
      <c r="AB719" s="70"/>
      <c r="AC719" s="70"/>
      <c r="AD719" s="64"/>
      <c r="AE719" s="70"/>
      <c r="AF719" s="70"/>
      <c r="AG719" s="70"/>
      <c r="AH719" s="70"/>
    </row>
    <row r="720" spans="4:34" x14ac:dyDescent="0.2">
      <c r="D720" s="53"/>
      <c r="E720" s="70"/>
      <c r="F720" s="70"/>
      <c r="G720" s="70"/>
      <c r="H720" s="70"/>
      <c r="I720" s="70"/>
      <c r="J720" s="70"/>
      <c r="K720" s="70"/>
      <c r="L720" s="70"/>
      <c r="M720" s="70"/>
      <c r="N720" s="70"/>
      <c r="O720" s="70"/>
      <c r="P720" s="70"/>
      <c r="Q720" s="70"/>
      <c r="R720" s="70"/>
      <c r="S720" s="70"/>
      <c r="T720" s="70"/>
      <c r="U720" s="64"/>
      <c r="V720" s="64"/>
      <c r="W720" s="70"/>
      <c r="X720" s="64"/>
      <c r="Y720" s="70"/>
      <c r="Z720" s="70"/>
      <c r="AA720" s="71"/>
      <c r="AB720" s="70"/>
      <c r="AC720" s="70"/>
      <c r="AD720" s="64"/>
      <c r="AE720" s="70"/>
      <c r="AF720" s="70"/>
      <c r="AG720" s="70"/>
      <c r="AH720" s="70"/>
    </row>
    <row r="721" spans="4:34" x14ac:dyDescent="0.2">
      <c r="D721" s="53"/>
      <c r="E721" s="70"/>
      <c r="F721" s="70"/>
      <c r="G721" s="70"/>
      <c r="H721" s="70"/>
      <c r="I721" s="70"/>
      <c r="J721" s="70"/>
      <c r="K721" s="70"/>
      <c r="L721" s="70"/>
      <c r="M721" s="70"/>
      <c r="N721" s="70"/>
      <c r="O721" s="70"/>
      <c r="P721" s="70"/>
      <c r="Q721" s="70"/>
      <c r="R721" s="70"/>
      <c r="S721" s="70"/>
      <c r="T721" s="70"/>
      <c r="U721" s="64"/>
      <c r="V721" s="64"/>
      <c r="W721" s="70"/>
      <c r="X721" s="64"/>
      <c r="Y721" s="70"/>
      <c r="Z721" s="70"/>
      <c r="AA721" s="71"/>
      <c r="AB721" s="70"/>
      <c r="AC721" s="70"/>
      <c r="AD721" s="64"/>
      <c r="AE721" s="70"/>
      <c r="AF721" s="70"/>
      <c r="AG721" s="70"/>
      <c r="AH721" s="70"/>
    </row>
    <row r="722" spans="4:34" x14ac:dyDescent="0.2">
      <c r="D722" s="53"/>
      <c r="E722" s="70"/>
      <c r="F722" s="70"/>
      <c r="G722" s="70"/>
      <c r="H722" s="70"/>
      <c r="I722" s="70"/>
      <c r="J722" s="70"/>
      <c r="K722" s="70"/>
      <c r="L722" s="70"/>
      <c r="M722" s="70"/>
      <c r="N722" s="70"/>
      <c r="O722" s="70"/>
      <c r="P722" s="70"/>
      <c r="Q722" s="70"/>
      <c r="R722" s="70"/>
      <c r="S722" s="70"/>
      <c r="T722" s="70"/>
      <c r="U722" s="64"/>
      <c r="V722" s="64"/>
      <c r="W722" s="70"/>
      <c r="X722" s="64"/>
      <c r="Y722" s="70"/>
      <c r="Z722" s="70"/>
      <c r="AA722" s="71"/>
      <c r="AB722" s="70"/>
      <c r="AC722" s="70"/>
      <c r="AD722" s="64"/>
      <c r="AE722" s="70"/>
      <c r="AF722" s="70"/>
      <c r="AG722" s="70"/>
      <c r="AH722" s="70"/>
    </row>
    <row r="723" spans="4:34" x14ac:dyDescent="0.2">
      <c r="D723" s="53"/>
      <c r="E723" s="70"/>
      <c r="F723" s="70"/>
      <c r="G723" s="70"/>
      <c r="H723" s="70"/>
      <c r="I723" s="70"/>
      <c r="J723" s="70"/>
      <c r="K723" s="70"/>
      <c r="L723" s="70"/>
      <c r="M723" s="70"/>
      <c r="N723" s="70"/>
      <c r="O723" s="70"/>
      <c r="P723" s="70"/>
      <c r="Q723" s="70"/>
      <c r="R723" s="70"/>
      <c r="S723" s="70"/>
      <c r="T723" s="70"/>
      <c r="U723" s="64"/>
      <c r="V723" s="64"/>
      <c r="W723" s="70"/>
      <c r="X723" s="64"/>
      <c r="Y723" s="70"/>
      <c r="Z723" s="70"/>
      <c r="AA723" s="71"/>
      <c r="AB723" s="70"/>
      <c r="AC723" s="70"/>
      <c r="AD723" s="64"/>
      <c r="AE723" s="70"/>
      <c r="AF723" s="70"/>
      <c r="AG723" s="70"/>
      <c r="AH723" s="70"/>
    </row>
    <row r="724" spans="4:34" x14ac:dyDescent="0.2">
      <c r="D724" s="53"/>
      <c r="E724" s="70"/>
      <c r="F724" s="70"/>
      <c r="G724" s="70"/>
      <c r="H724" s="70"/>
      <c r="I724" s="70"/>
      <c r="J724" s="70"/>
      <c r="K724" s="70"/>
      <c r="L724" s="70"/>
      <c r="M724" s="70"/>
      <c r="N724" s="70"/>
      <c r="O724" s="70"/>
      <c r="P724" s="70"/>
      <c r="Q724" s="70"/>
      <c r="R724" s="70"/>
      <c r="S724" s="70"/>
      <c r="T724" s="70"/>
      <c r="U724" s="64"/>
      <c r="V724" s="64"/>
      <c r="W724" s="70"/>
      <c r="X724" s="64"/>
      <c r="Y724" s="70"/>
      <c r="Z724" s="70"/>
      <c r="AA724" s="71"/>
      <c r="AB724" s="70"/>
      <c r="AC724" s="70"/>
      <c r="AD724" s="64"/>
      <c r="AE724" s="70"/>
      <c r="AF724" s="70"/>
      <c r="AG724" s="70"/>
      <c r="AH724" s="70"/>
    </row>
    <row r="725" spans="4:34" x14ac:dyDescent="0.2">
      <c r="D725" s="53"/>
      <c r="E725" s="70"/>
      <c r="F725" s="70"/>
      <c r="G725" s="70"/>
      <c r="H725" s="70"/>
      <c r="I725" s="70"/>
      <c r="J725" s="70"/>
      <c r="K725" s="70"/>
      <c r="L725" s="70"/>
      <c r="M725" s="70"/>
      <c r="N725" s="70"/>
      <c r="O725" s="70"/>
      <c r="P725" s="70"/>
      <c r="Q725" s="70"/>
      <c r="R725" s="70"/>
      <c r="S725" s="70"/>
      <c r="T725" s="70"/>
      <c r="U725" s="64"/>
      <c r="V725" s="64"/>
      <c r="W725" s="70"/>
      <c r="X725" s="64"/>
      <c r="Y725" s="70"/>
      <c r="Z725" s="70"/>
      <c r="AA725" s="71"/>
      <c r="AB725" s="70"/>
      <c r="AC725" s="70"/>
      <c r="AD725" s="64"/>
      <c r="AE725" s="70"/>
      <c r="AF725" s="70"/>
      <c r="AG725" s="70"/>
      <c r="AH725" s="70"/>
    </row>
    <row r="726" spans="4:34" x14ac:dyDescent="0.2">
      <c r="D726" s="53"/>
      <c r="E726" s="70"/>
      <c r="F726" s="70"/>
      <c r="G726" s="70"/>
      <c r="H726" s="70"/>
      <c r="I726" s="70"/>
      <c r="J726" s="70"/>
      <c r="K726" s="70"/>
      <c r="L726" s="70"/>
      <c r="M726" s="70"/>
      <c r="N726" s="70"/>
      <c r="O726" s="70"/>
      <c r="P726" s="70"/>
      <c r="Q726" s="70"/>
      <c r="R726" s="70"/>
      <c r="S726" s="70"/>
      <c r="T726" s="70"/>
      <c r="U726" s="64"/>
      <c r="V726" s="64"/>
      <c r="W726" s="70"/>
      <c r="X726" s="64"/>
      <c r="Y726" s="70"/>
      <c r="Z726" s="70"/>
      <c r="AA726" s="71"/>
      <c r="AB726" s="70"/>
      <c r="AC726" s="70"/>
      <c r="AD726" s="64"/>
      <c r="AE726" s="70"/>
      <c r="AF726" s="70"/>
      <c r="AG726" s="70"/>
      <c r="AH726" s="70"/>
    </row>
    <row r="727" spans="4:34" x14ac:dyDescent="0.2">
      <c r="D727" s="53"/>
      <c r="E727" s="70"/>
      <c r="F727" s="70"/>
      <c r="G727" s="70"/>
      <c r="H727" s="70"/>
      <c r="I727" s="70"/>
      <c r="J727" s="70"/>
      <c r="K727" s="70"/>
      <c r="L727" s="70"/>
      <c r="M727" s="70"/>
      <c r="N727" s="70"/>
      <c r="O727" s="70"/>
      <c r="P727" s="70"/>
      <c r="Q727" s="70"/>
      <c r="R727" s="70"/>
      <c r="S727" s="70"/>
      <c r="T727" s="70"/>
      <c r="U727" s="64"/>
      <c r="V727" s="64"/>
      <c r="W727" s="70"/>
      <c r="X727" s="64"/>
      <c r="Y727" s="70"/>
      <c r="Z727" s="70"/>
      <c r="AA727" s="71"/>
      <c r="AB727" s="70"/>
      <c r="AC727" s="70"/>
      <c r="AD727" s="64"/>
      <c r="AE727" s="70"/>
      <c r="AF727" s="70"/>
      <c r="AG727" s="70"/>
      <c r="AH727" s="70"/>
    </row>
    <row r="728" spans="4:34" x14ac:dyDescent="0.2">
      <c r="D728" s="53"/>
      <c r="E728" s="70"/>
      <c r="F728" s="70"/>
      <c r="G728" s="70"/>
      <c r="H728" s="70"/>
      <c r="I728" s="70"/>
      <c r="J728" s="70"/>
      <c r="K728" s="70"/>
      <c r="L728" s="70"/>
      <c r="M728" s="70"/>
      <c r="N728" s="70"/>
      <c r="O728" s="70"/>
      <c r="P728" s="70"/>
      <c r="Q728" s="70"/>
      <c r="R728" s="70"/>
      <c r="S728" s="70"/>
      <c r="T728" s="70"/>
      <c r="U728" s="64"/>
      <c r="V728" s="64"/>
      <c r="W728" s="70"/>
      <c r="X728" s="64"/>
      <c r="Y728" s="70"/>
      <c r="Z728" s="70"/>
      <c r="AA728" s="71"/>
      <c r="AB728" s="70"/>
      <c r="AC728" s="70"/>
      <c r="AD728" s="64"/>
      <c r="AE728" s="70"/>
      <c r="AF728" s="70"/>
      <c r="AG728" s="70"/>
      <c r="AH728" s="70"/>
    </row>
    <row r="729" spans="4:34" x14ac:dyDescent="0.2">
      <c r="D729" s="53"/>
      <c r="E729" s="70"/>
      <c r="F729" s="70"/>
      <c r="G729" s="70"/>
      <c r="H729" s="70"/>
      <c r="I729" s="70"/>
      <c r="J729" s="70"/>
      <c r="K729" s="70"/>
      <c r="L729" s="70"/>
      <c r="M729" s="70"/>
      <c r="N729" s="70"/>
      <c r="O729" s="70"/>
      <c r="P729" s="70"/>
      <c r="Q729" s="70"/>
      <c r="R729" s="70"/>
      <c r="S729" s="70"/>
      <c r="T729" s="70"/>
      <c r="U729" s="64"/>
      <c r="V729" s="64"/>
      <c r="W729" s="70"/>
      <c r="X729" s="64"/>
      <c r="Y729" s="70"/>
      <c r="Z729" s="70"/>
      <c r="AA729" s="71"/>
      <c r="AB729" s="70"/>
      <c r="AC729" s="70"/>
      <c r="AD729" s="64"/>
      <c r="AE729" s="70"/>
      <c r="AF729" s="70"/>
      <c r="AG729" s="70"/>
      <c r="AH729" s="70"/>
    </row>
    <row r="730" spans="4:34" x14ac:dyDescent="0.2">
      <c r="D730" s="53"/>
      <c r="E730" s="70"/>
      <c r="F730" s="70"/>
      <c r="G730" s="70"/>
      <c r="H730" s="70"/>
      <c r="I730" s="70"/>
      <c r="J730" s="70"/>
      <c r="K730" s="70"/>
      <c r="L730" s="70"/>
      <c r="M730" s="70"/>
      <c r="N730" s="70"/>
      <c r="O730" s="70"/>
      <c r="P730" s="70"/>
      <c r="Q730" s="70"/>
      <c r="R730" s="70"/>
      <c r="S730" s="70"/>
      <c r="T730" s="70"/>
      <c r="U730" s="64"/>
      <c r="V730" s="64"/>
      <c r="W730" s="70"/>
      <c r="X730" s="64"/>
      <c r="Y730" s="70"/>
      <c r="Z730" s="70"/>
      <c r="AA730" s="71"/>
      <c r="AB730" s="70"/>
      <c r="AC730" s="70"/>
      <c r="AD730" s="64"/>
      <c r="AE730" s="70"/>
      <c r="AF730" s="70"/>
      <c r="AG730" s="70"/>
      <c r="AH730" s="70"/>
    </row>
    <row r="731" spans="4:34" x14ac:dyDescent="0.2">
      <c r="D731" s="53"/>
      <c r="E731" s="70"/>
      <c r="F731" s="70"/>
      <c r="G731" s="70"/>
      <c r="H731" s="70"/>
      <c r="I731" s="70"/>
      <c r="J731" s="70"/>
      <c r="K731" s="70"/>
      <c r="L731" s="70"/>
      <c r="M731" s="70"/>
      <c r="N731" s="70"/>
      <c r="O731" s="70"/>
      <c r="P731" s="70"/>
      <c r="Q731" s="70"/>
      <c r="R731" s="70"/>
      <c r="S731" s="70"/>
      <c r="T731" s="70"/>
      <c r="U731" s="64"/>
      <c r="V731" s="64"/>
      <c r="W731" s="70"/>
      <c r="X731" s="64"/>
      <c r="Y731" s="70"/>
      <c r="Z731" s="70"/>
      <c r="AA731" s="71"/>
      <c r="AB731" s="70"/>
      <c r="AC731" s="70"/>
      <c r="AD731" s="64"/>
      <c r="AE731" s="70"/>
      <c r="AF731" s="70"/>
      <c r="AG731" s="70"/>
      <c r="AH731" s="70"/>
    </row>
    <row r="732" spans="4:34" x14ac:dyDescent="0.2">
      <c r="D732" s="53"/>
      <c r="E732" s="70"/>
      <c r="F732" s="70"/>
      <c r="G732" s="70"/>
      <c r="H732" s="70"/>
      <c r="I732" s="70"/>
      <c r="J732" s="70"/>
      <c r="K732" s="70"/>
      <c r="L732" s="70"/>
      <c r="M732" s="70"/>
      <c r="N732" s="70"/>
      <c r="O732" s="70"/>
      <c r="P732" s="70"/>
      <c r="Q732" s="70"/>
      <c r="R732" s="70"/>
      <c r="S732" s="70"/>
      <c r="T732" s="70"/>
      <c r="U732" s="64"/>
      <c r="V732" s="64"/>
      <c r="W732" s="70"/>
      <c r="X732" s="64"/>
      <c r="Y732" s="70"/>
      <c r="Z732" s="70"/>
      <c r="AA732" s="71"/>
      <c r="AB732" s="70"/>
      <c r="AC732" s="70"/>
      <c r="AD732" s="64"/>
      <c r="AE732" s="70"/>
      <c r="AF732" s="70"/>
      <c r="AG732" s="70"/>
      <c r="AH732" s="70"/>
    </row>
    <row r="733" spans="4:34" x14ac:dyDescent="0.2">
      <c r="D733" s="53"/>
      <c r="E733" s="70"/>
      <c r="F733" s="70"/>
      <c r="G733" s="70"/>
      <c r="H733" s="70"/>
      <c r="I733" s="70"/>
      <c r="J733" s="70"/>
      <c r="K733" s="70"/>
      <c r="L733" s="70"/>
      <c r="M733" s="70"/>
      <c r="N733" s="70"/>
      <c r="O733" s="70"/>
      <c r="P733" s="70"/>
      <c r="Q733" s="70"/>
      <c r="R733" s="70"/>
      <c r="S733" s="70"/>
      <c r="T733" s="70"/>
      <c r="U733" s="64"/>
      <c r="V733" s="64"/>
      <c r="W733" s="70"/>
      <c r="X733" s="64"/>
      <c r="Y733" s="70"/>
      <c r="Z733" s="70"/>
      <c r="AA733" s="71"/>
      <c r="AB733" s="70"/>
      <c r="AC733" s="70"/>
      <c r="AD733" s="64"/>
      <c r="AE733" s="70"/>
      <c r="AF733" s="70"/>
      <c r="AG733" s="70"/>
      <c r="AH733" s="70"/>
    </row>
    <row r="734" spans="4:34" x14ac:dyDescent="0.2">
      <c r="D734" s="53"/>
      <c r="E734" s="70"/>
      <c r="F734" s="70"/>
      <c r="G734" s="70"/>
      <c r="H734" s="70"/>
      <c r="I734" s="70"/>
      <c r="J734" s="70"/>
      <c r="K734" s="70"/>
      <c r="L734" s="70"/>
      <c r="M734" s="70"/>
      <c r="N734" s="70"/>
      <c r="O734" s="70"/>
      <c r="P734" s="70"/>
      <c r="Q734" s="70"/>
      <c r="R734" s="70"/>
      <c r="S734" s="70"/>
      <c r="T734" s="70"/>
      <c r="U734" s="64"/>
      <c r="V734" s="64"/>
      <c r="W734" s="70"/>
      <c r="X734" s="64"/>
      <c r="Y734" s="70"/>
      <c r="Z734" s="70"/>
      <c r="AA734" s="71"/>
      <c r="AB734" s="70"/>
      <c r="AC734" s="70"/>
      <c r="AD734" s="64"/>
      <c r="AE734" s="70"/>
      <c r="AF734" s="70"/>
      <c r="AG734" s="70"/>
      <c r="AH734" s="70"/>
    </row>
    <row r="735" spans="4:34" x14ac:dyDescent="0.2">
      <c r="D735" s="53"/>
      <c r="E735" s="70"/>
      <c r="F735" s="70"/>
      <c r="G735" s="70"/>
      <c r="H735" s="70"/>
      <c r="I735" s="70"/>
      <c r="J735" s="70"/>
      <c r="K735" s="70"/>
      <c r="L735" s="70"/>
      <c r="M735" s="70"/>
      <c r="N735" s="70"/>
      <c r="O735" s="70"/>
      <c r="P735" s="70"/>
      <c r="Q735" s="70"/>
      <c r="R735" s="70"/>
      <c r="S735" s="70"/>
      <c r="T735" s="70"/>
      <c r="U735" s="64"/>
      <c r="V735" s="64"/>
      <c r="W735" s="70"/>
      <c r="X735" s="64"/>
      <c r="Y735" s="70"/>
      <c r="Z735" s="70"/>
      <c r="AA735" s="71"/>
      <c r="AB735" s="70"/>
      <c r="AC735" s="70"/>
      <c r="AD735" s="64"/>
      <c r="AE735" s="70"/>
      <c r="AF735" s="70"/>
      <c r="AG735" s="70"/>
      <c r="AH735" s="70"/>
    </row>
    <row r="736" spans="4:34" x14ac:dyDescent="0.2">
      <c r="D736" s="53"/>
      <c r="E736" s="70"/>
      <c r="F736" s="70"/>
      <c r="G736" s="70"/>
      <c r="H736" s="70"/>
      <c r="I736" s="70"/>
      <c r="J736" s="70"/>
      <c r="K736" s="70"/>
      <c r="L736" s="70"/>
      <c r="M736" s="70"/>
      <c r="N736" s="70"/>
      <c r="O736" s="70"/>
      <c r="P736" s="70"/>
      <c r="Q736" s="70"/>
      <c r="R736" s="70"/>
      <c r="S736" s="70"/>
      <c r="T736" s="70"/>
      <c r="U736" s="64"/>
      <c r="V736" s="64"/>
      <c r="W736" s="70"/>
      <c r="X736" s="64"/>
      <c r="Y736" s="70"/>
      <c r="Z736" s="70"/>
      <c r="AA736" s="71"/>
      <c r="AB736" s="70"/>
      <c r="AC736" s="70"/>
      <c r="AD736" s="64"/>
      <c r="AE736" s="70"/>
      <c r="AF736" s="70"/>
      <c r="AG736" s="70"/>
      <c r="AH736" s="70"/>
    </row>
    <row r="737" spans="4:34" x14ac:dyDescent="0.2">
      <c r="D737" s="53"/>
      <c r="E737" s="70"/>
      <c r="F737" s="70"/>
      <c r="G737" s="70"/>
      <c r="H737" s="70"/>
      <c r="I737" s="70"/>
      <c r="J737" s="70"/>
      <c r="K737" s="70"/>
      <c r="L737" s="70"/>
      <c r="M737" s="70"/>
      <c r="N737" s="70"/>
      <c r="O737" s="70"/>
      <c r="P737" s="70"/>
      <c r="Q737" s="70"/>
      <c r="R737" s="70"/>
      <c r="S737" s="70"/>
      <c r="T737" s="70"/>
      <c r="U737" s="64"/>
      <c r="V737" s="64"/>
      <c r="W737" s="70"/>
      <c r="X737" s="64"/>
      <c r="Y737" s="70"/>
      <c r="Z737" s="70"/>
      <c r="AA737" s="71"/>
      <c r="AB737" s="70"/>
      <c r="AC737" s="70"/>
      <c r="AD737" s="64"/>
      <c r="AE737" s="70"/>
      <c r="AF737" s="70"/>
      <c r="AG737" s="70"/>
      <c r="AH737" s="70"/>
    </row>
    <row r="738" spans="4:34" x14ac:dyDescent="0.2">
      <c r="D738" s="53"/>
      <c r="E738" s="70"/>
      <c r="F738" s="70"/>
      <c r="G738" s="70"/>
      <c r="H738" s="70"/>
      <c r="I738" s="70"/>
      <c r="J738" s="70"/>
      <c r="K738" s="70"/>
      <c r="L738" s="70"/>
      <c r="M738" s="70"/>
      <c r="N738" s="70"/>
      <c r="O738" s="70"/>
      <c r="P738" s="70"/>
      <c r="Q738" s="70"/>
      <c r="R738" s="70"/>
      <c r="S738" s="70"/>
      <c r="T738" s="70"/>
      <c r="U738" s="64"/>
      <c r="V738" s="64"/>
      <c r="W738" s="70"/>
      <c r="X738" s="64"/>
      <c r="Y738" s="70"/>
      <c r="Z738" s="70"/>
      <c r="AA738" s="71"/>
      <c r="AB738" s="70"/>
      <c r="AC738" s="70"/>
      <c r="AD738" s="64"/>
      <c r="AE738" s="70"/>
      <c r="AF738" s="70"/>
      <c r="AG738" s="70"/>
      <c r="AH738" s="70"/>
    </row>
    <row r="739" spans="4:34" x14ac:dyDescent="0.2">
      <c r="D739" s="53"/>
      <c r="E739" s="70"/>
      <c r="F739" s="70"/>
      <c r="G739" s="70"/>
      <c r="H739" s="70"/>
      <c r="I739" s="70"/>
      <c r="J739" s="70"/>
      <c r="K739" s="70"/>
      <c r="L739" s="70"/>
      <c r="M739" s="70"/>
      <c r="N739" s="70"/>
      <c r="O739" s="70"/>
      <c r="P739" s="70"/>
      <c r="Q739" s="70"/>
      <c r="R739" s="70"/>
      <c r="S739" s="70"/>
      <c r="T739" s="70"/>
      <c r="U739" s="64"/>
      <c r="V739" s="64"/>
      <c r="W739" s="70"/>
      <c r="X739" s="64"/>
      <c r="Y739" s="70"/>
      <c r="Z739" s="70"/>
      <c r="AA739" s="71"/>
      <c r="AB739" s="70"/>
      <c r="AC739" s="70"/>
      <c r="AD739" s="64"/>
      <c r="AE739" s="70"/>
      <c r="AF739" s="70"/>
      <c r="AG739" s="70"/>
      <c r="AH739" s="70"/>
    </row>
    <row r="740" spans="4:34" x14ac:dyDescent="0.2">
      <c r="D740" s="53"/>
      <c r="E740" s="70"/>
      <c r="F740" s="70"/>
      <c r="G740" s="70"/>
      <c r="H740" s="70"/>
      <c r="I740" s="70"/>
      <c r="J740" s="70"/>
      <c r="K740" s="70"/>
      <c r="L740" s="70"/>
      <c r="M740" s="70"/>
      <c r="N740" s="70"/>
      <c r="O740" s="70"/>
      <c r="P740" s="70"/>
      <c r="Q740" s="70"/>
      <c r="R740" s="70"/>
      <c r="S740" s="70"/>
      <c r="T740" s="70"/>
      <c r="U740" s="64"/>
      <c r="V740" s="64"/>
      <c r="W740" s="70"/>
      <c r="X740" s="64"/>
      <c r="Y740" s="70"/>
      <c r="Z740" s="70"/>
      <c r="AA740" s="71"/>
      <c r="AB740" s="70"/>
      <c r="AC740" s="70"/>
      <c r="AD740" s="64"/>
      <c r="AE740" s="70"/>
      <c r="AF740" s="70"/>
      <c r="AG740" s="70"/>
      <c r="AH740" s="70"/>
    </row>
    <row r="741" spans="4:34" x14ac:dyDescent="0.2">
      <c r="D741" s="53"/>
      <c r="E741" s="70"/>
      <c r="F741" s="70"/>
      <c r="G741" s="70"/>
      <c r="H741" s="70"/>
      <c r="I741" s="70"/>
      <c r="J741" s="70"/>
      <c r="K741" s="70"/>
      <c r="L741" s="70"/>
      <c r="M741" s="70"/>
      <c r="N741" s="70"/>
      <c r="O741" s="70"/>
      <c r="P741" s="70"/>
      <c r="Q741" s="70"/>
      <c r="R741" s="70"/>
      <c r="S741" s="70"/>
      <c r="T741" s="70"/>
      <c r="U741" s="64"/>
      <c r="V741" s="64"/>
      <c r="W741" s="70"/>
      <c r="X741" s="64"/>
      <c r="Y741" s="70"/>
      <c r="Z741" s="70"/>
      <c r="AA741" s="71"/>
      <c r="AB741" s="70"/>
      <c r="AC741" s="70"/>
      <c r="AD741" s="64"/>
      <c r="AE741" s="70"/>
      <c r="AF741" s="70"/>
      <c r="AG741" s="70"/>
      <c r="AH741" s="70"/>
    </row>
    <row r="742" spans="4:34" x14ac:dyDescent="0.2">
      <c r="D742" s="53"/>
      <c r="E742" s="70"/>
      <c r="F742" s="70"/>
      <c r="G742" s="70"/>
      <c r="H742" s="70"/>
      <c r="I742" s="70"/>
      <c r="J742" s="70"/>
      <c r="K742" s="70"/>
      <c r="L742" s="70"/>
      <c r="M742" s="70"/>
      <c r="N742" s="70"/>
      <c r="O742" s="70"/>
      <c r="P742" s="70"/>
      <c r="Q742" s="70"/>
      <c r="R742" s="70"/>
      <c r="S742" s="70"/>
      <c r="T742" s="70"/>
      <c r="U742" s="64"/>
      <c r="V742" s="64"/>
      <c r="W742" s="70"/>
      <c r="X742" s="64"/>
      <c r="Y742" s="70"/>
      <c r="Z742" s="70"/>
      <c r="AA742" s="71"/>
      <c r="AB742" s="70"/>
      <c r="AC742" s="70"/>
      <c r="AD742" s="64"/>
      <c r="AE742" s="70"/>
      <c r="AF742" s="70"/>
      <c r="AG742" s="70"/>
      <c r="AH742" s="70"/>
    </row>
    <row r="743" spans="4:34" x14ac:dyDescent="0.2">
      <c r="D743" s="53"/>
      <c r="E743" s="70"/>
      <c r="F743" s="70"/>
      <c r="G743" s="70"/>
      <c r="H743" s="70"/>
      <c r="I743" s="70"/>
      <c r="J743" s="70"/>
      <c r="K743" s="70"/>
      <c r="L743" s="70"/>
      <c r="M743" s="70"/>
      <c r="N743" s="70"/>
      <c r="O743" s="70"/>
      <c r="P743" s="70"/>
      <c r="Q743" s="70"/>
      <c r="R743" s="70"/>
      <c r="S743" s="70"/>
      <c r="T743" s="70"/>
      <c r="U743" s="64"/>
      <c r="V743" s="64"/>
      <c r="W743" s="70"/>
      <c r="X743" s="64"/>
      <c r="Y743" s="70"/>
      <c r="Z743" s="70"/>
      <c r="AA743" s="71"/>
      <c r="AB743" s="70"/>
      <c r="AC743" s="70"/>
      <c r="AD743" s="64"/>
      <c r="AE743" s="70"/>
      <c r="AF743" s="70"/>
      <c r="AG743" s="70"/>
      <c r="AH743" s="70"/>
    </row>
    <row r="744" spans="4:34" x14ac:dyDescent="0.2">
      <c r="D744" s="53"/>
      <c r="E744" s="70"/>
      <c r="F744" s="70"/>
      <c r="G744" s="70"/>
      <c r="H744" s="70"/>
      <c r="I744" s="70"/>
      <c r="J744" s="70"/>
      <c r="K744" s="70"/>
      <c r="L744" s="70"/>
      <c r="M744" s="70"/>
      <c r="N744" s="70"/>
      <c r="O744" s="70"/>
      <c r="P744" s="70"/>
      <c r="Q744" s="70"/>
      <c r="R744" s="70"/>
      <c r="S744" s="70"/>
      <c r="T744" s="70"/>
      <c r="U744" s="64"/>
      <c r="V744" s="64"/>
      <c r="W744" s="70"/>
      <c r="X744" s="64"/>
      <c r="Y744" s="70"/>
      <c r="Z744" s="70"/>
      <c r="AA744" s="71"/>
      <c r="AB744" s="70"/>
      <c r="AC744" s="70"/>
      <c r="AD744" s="64"/>
      <c r="AE744" s="70"/>
      <c r="AF744" s="70"/>
      <c r="AG744" s="70"/>
      <c r="AH744" s="70"/>
    </row>
    <row r="745" spans="4:34" x14ac:dyDescent="0.2">
      <c r="D745" s="53"/>
      <c r="E745" s="70"/>
      <c r="F745" s="70"/>
      <c r="G745" s="70"/>
      <c r="H745" s="70"/>
      <c r="I745" s="70"/>
      <c r="J745" s="70"/>
      <c r="K745" s="70"/>
      <c r="L745" s="70"/>
      <c r="M745" s="70"/>
      <c r="N745" s="70"/>
      <c r="O745" s="70"/>
      <c r="P745" s="70"/>
      <c r="Q745" s="70"/>
      <c r="R745" s="70"/>
      <c r="S745" s="70"/>
      <c r="T745" s="70"/>
      <c r="U745" s="64"/>
      <c r="V745" s="64"/>
      <c r="W745" s="70"/>
      <c r="X745" s="64"/>
      <c r="Y745" s="70"/>
      <c r="Z745" s="70"/>
      <c r="AA745" s="71"/>
      <c r="AB745" s="70"/>
      <c r="AC745" s="70"/>
      <c r="AD745" s="64"/>
      <c r="AE745" s="70"/>
      <c r="AF745" s="70"/>
      <c r="AG745" s="70"/>
      <c r="AH745" s="70"/>
    </row>
    <row r="746" spans="4:34" x14ac:dyDescent="0.2">
      <c r="D746" s="53"/>
      <c r="E746" s="70"/>
      <c r="F746" s="70"/>
      <c r="G746" s="70"/>
      <c r="H746" s="70"/>
      <c r="I746" s="70"/>
      <c r="J746" s="70"/>
      <c r="K746" s="70"/>
      <c r="L746" s="70"/>
      <c r="M746" s="70"/>
      <c r="N746" s="70"/>
      <c r="O746" s="70"/>
      <c r="P746" s="70"/>
      <c r="Q746" s="70"/>
      <c r="R746" s="70"/>
      <c r="S746" s="70"/>
      <c r="T746" s="70"/>
      <c r="U746" s="64"/>
      <c r="V746" s="64"/>
      <c r="W746" s="70"/>
      <c r="X746" s="64"/>
      <c r="Y746" s="70"/>
      <c r="Z746" s="70"/>
      <c r="AA746" s="71"/>
      <c r="AB746" s="70"/>
      <c r="AC746" s="70"/>
      <c r="AD746" s="64"/>
      <c r="AE746" s="70"/>
      <c r="AF746" s="70"/>
      <c r="AG746" s="70"/>
      <c r="AH746" s="70"/>
    </row>
    <row r="747" spans="4:34" x14ac:dyDescent="0.2">
      <c r="D747" s="53"/>
      <c r="E747" s="70"/>
      <c r="F747" s="70"/>
      <c r="G747" s="70"/>
      <c r="H747" s="70"/>
      <c r="I747" s="70"/>
      <c r="J747" s="70"/>
      <c r="K747" s="70"/>
      <c r="L747" s="70"/>
      <c r="M747" s="70"/>
      <c r="N747" s="70"/>
      <c r="O747" s="70"/>
      <c r="P747" s="70"/>
      <c r="Q747" s="70"/>
      <c r="R747" s="70"/>
      <c r="S747" s="70"/>
      <c r="T747" s="70"/>
      <c r="U747" s="64"/>
      <c r="V747" s="64"/>
      <c r="W747" s="70"/>
      <c r="X747" s="64"/>
      <c r="Y747" s="70"/>
      <c r="Z747" s="70"/>
      <c r="AA747" s="71"/>
      <c r="AB747" s="70"/>
      <c r="AC747" s="70"/>
      <c r="AD747" s="64"/>
      <c r="AE747" s="70"/>
      <c r="AF747" s="70"/>
      <c r="AG747" s="70"/>
      <c r="AH747" s="70"/>
    </row>
    <row r="748" spans="4:34" x14ac:dyDescent="0.2">
      <c r="D748" s="53"/>
      <c r="E748" s="70"/>
      <c r="F748" s="70"/>
      <c r="G748" s="70"/>
      <c r="H748" s="70"/>
      <c r="I748" s="70"/>
      <c r="J748" s="70"/>
      <c r="K748" s="70"/>
      <c r="L748" s="70"/>
      <c r="M748" s="70"/>
      <c r="N748" s="70"/>
      <c r="O748" s="70"/>
      <c r="P748" s="70"/>
      <c r="Q748" s="70"/>
      <c r="R748" s="70"/>
      <c r="S748" s="70"/>
      <c r="T748" s="70"/>
      <c r="U748" s="64"/>
      <c r="V748" s="64"/>
      <c r="W748" s="70"/>
      <c r="X748" s="64"/>
      <c r="Y748" s="70"/>
      <c r="Z748" s="70"/>
      <c r="AA748" s="71"/>
      <c r="AB748" s="70"/>
      <c r="AC748" s="70"/>
      <c r="AD748" s="64"/>
      <c r="AE748" s="70"/>
      <c r="AF748" s="70"/>
      <c r="AG748" s="70"/>
      <c r="AH748" s="70"/>
    </row>
    <row r="749" spans="4:34" x14ac:dyDescent="0.2">
      <c r="D749" s="53"/>
      <c r="E749" s="70"/>
      <c r="F749" s="70"/>
      <c r="G749" s="70"/>
      <c r="H749" s="70"/>
      <c r="I749" s="70"/>
      <c r="J749" s="70"/>
      <c r="K749" s="70"/>
      <c r="L749" s="70"/>
      <c r="M749" s="70"/>
      <c r="N749" s="70"/>
      <c r="O749" s="70"/>
      <c r="P749" s="70"/>
      <c r="Q749" s="70"/>
      <c r="R749" s="70"/>
      <c r="S749" s="70"/>
      <c r="T749" s="70"/>
      <c r="U749" s="64"/>
      <c r="V749" s="64"/>
      <c r="W749" s="70"/>
      <c r="X749" s="64"/>
      <c r="Y749" s="70"/>
      <c r="Z749" s="70"/>
      <c r="AA749" s="71"/>
      <c r="AB749" s="70"/>
      <c r="AC749" s="70"/>
      <c r="AD749" s="64"/>
      <c r="AE749" s="70"/>
      <c r="AF749" s="70"/>
      <c r="AG749" s="70"/>
      <c r="AH749" s="70"/>
    </row>
    <row r="750" spans="4:34" x14ac:dyDescent="0.2">
      <c r="D750" s="53"/>
      <c r="E750" s="70"/>
      <c r="F750" s="70"/>
      <c r="G750" s="70"/>
      <c r="H750" s="70"/>
      <c r="I750" s="70"/>
      <c r="J750" s="70"/>
      <c r="K750" s="70"/>
      <c r="L750" s="70"/>
      <c r="M750" s="70"/>
      <c r="N750" s="70"/>
      <c r="O750" s="70"/>
      <c r="P750" s="70"/>
      <c r="Q750" s="70"/>
      <c r="R750" s="70"/>
      <c r="S750" s="70"/>
      <c r="T750" s="70"/>
      <c r="U750" s="64"/>
      <c r="V750" s="64"/>
      <c r="W750" s="70"/>
      <c r="X750" s="64"/>
      <c r="Y750" s="70"/>
      <c r="Z750" s="70"/>
      <c r="AA750" s="71"/>
      <c r="AB750" s="70"/>
      <c r="AC750" s="70"/>
      <c r="AD750" s="64"/>
      <c r="AE750" s="70"/>
      <c r="AF750" s="70"/>
      <c r="AG750" s="70"/>
      <c r="AH750" s="70"/>
    </row>
    <row r="751" spans="4:34" x14ac:dyDescent="0.2">
      <c r="D751" s="53"/>
      <c r="E751" s="70"/>
      <c r="F751" s="70"/>
      <c r="G751" s="70"/>
      <c r="H751" s="70"/>
      <c r="I751" s="70"/>
      <c r="J751" s="70"/>
      <c r="K751" s="70"/>
      <c r="L751" s="70"/>
      <c r="M751" s="70"/>
      <c r="N751" s="70"/>
      <c r="O751" s="70"/>
      <c r="P751" s="70"/>
      <c r="Q751" s="70"/>
      <c r="R751" s="70"/>
      <c r="S751" s="70"/>
      <c r="T751" s="70"/>
      <c r="U751" s="64"/>
      <c r="V751" s="64"/>
      <c r="W751" s="70"/>
      <c r="X751" s="64"/>
      <c r="Y751" s="70"/>
      <c r="Z751" s="70"/>
      <c r="AA751" s="71"/>
      <c r="AB751" s="70"/>
      <c r="AC751" s="70"/>
      <c r="AD751" s="64"/>
      <c r="AE751" s="70"/>
      <c r="AF751" s="70"/>
      <c r="AG751" s="70"/>
      <c r="AH751" s="70"/>
    </row>
    <row r="752" spans="4:34" x14ac:dyDescent="0.2">
      <c r="D752" s="53"/>
      <c r="E752" s="70"/>
      <c r="F752" s="70"/>
      <c r="G752" s="70"/>
      <c r="H752" s="70"/>
      <c r="I752" s="70"/>
      <c r="J752" s="70"/>
      <c r="K752" s="70"/>
      <c r="L752" s="70"/>
      <c r="M752" s="70"/>
      <c r="N752" s="70"/>
      <c r="O752" s="70"/>
      <c r="P752" s="70"/>
      <c r="Q752" s="70"/>
      <c r="R752" s="70"/>
      <c r="S752" s="70"/>
      <c r="T752" s="70"/>
      <c r="U752" s="64"/>
      <c r="V752" s="64"/>
      <c r="W752" s="70"/>
      <c r="X752" s="64"/>
      <c r="Y752" s="70"/>
      <c r="Z752" s="70"/>
      <c r="AA752" s="71"/>
      <c r="AB752" s="70"/>
      <c r="AC752" s="70"/>
      <c r="AD752" s="64"/>
      <c r="AE752" s="70"/>
      <c r="AF752" s="70"/>
      <c r="AG752" s="70"/>
      <c r="AH752" s="70"/>
    </row>
    <row r="753" spans="4:34" x14ac:dyDescent="0.2">
      <c r="D753" s="53"/>
      <c r="E753" s="70"/>
      <c r="F753" s="70"/>
      <c r="G753" s="70"/>
      <c r="H753" s="70"/>
      <c r="I753" s="70"/>
      <c r="J753" s="70"/>
      <c r="K753" s="70"/>
      <c r="L753" s="70"/>
      <c r="M753" s="70"/>
      <c r="N753" s="70"/>
      <c r="O753" s="70"/>
      <c r="P753" s="70"/>
      <c r="Q753" s="70"/>
      <c r="R753" s="70"/>
      <c r="S753" s="70"/>
      <c r="T753" s="70"/>
      <c r="U753" s="64"/>
      <c r="V753" s="64"/>
      <c r="W753" s="70"/>
      <c r="X753" s="64"/>
      <c r="Y753" s="70"/>
      <c r="Z753" s="70"/>
      <c r="AA753" s="71"/>
      <c r="AB753" s="70"/>
      <c r="AC753" s="70"/>
      <c r="AD753" s="64"/>
      <c r="AE753" s="70"/>
      <c r="AF753" s="70"/>
      <c r="AG753" s="70"/>
      <c r="AH753" s="70"/>
    </row>
    <row r="754" spans="4:34" x14ac:dyDescent="0.2">
      <c r="D754" s="53"/>
      <c r="E754" s="70"/>
      <c r="F754" s="70"/>
      <c r="G754" s="70"/>
      <c r="H754" s="70"/>
      <c r="I754" s="70"/>
      <c r="J754" s="70"/>
      <c r="K754" s="70"/>
      <c r="L754" s="70"/>
      <c r="M754" s="70"/>
      <c r="N754" s="70"/>
      <c r="O754" s="70"/>
      <c r="P754" s="70"/>
      <c r="Q754" s="70"/>
      <c r="R754" s="70"/>
      <c r="S754" s="70"/>
      <c r="T754" s="70"/>
      <c r="U754" s="64"/>
      <c r="V754" s="64"/>
      <c r="W754" s="70"/>
      <c r="X754" s="64"/>
      <c r="Y754" s="70"/>
      <c r="Z754" s="70"/>
      <c r="AA754" s="71"/>
      <c r="AB754" s="70"/>
      <c r="AC754" s="70"/>
      <c r="AD754" s="64"/>
      <c r="AE754" s="70"/>
      <c r="AF754" s="70"/>
      <c r="AG754" s="70"/>
      <c r="AH754" s="70"/>
    </row>
    <row r="755" spans="4:34" x14ac:dyDescent="0.2">
      <c r="D755" s="53"/>
      <c r="E755" s="70"/>
      <c r="F755" s="70"/>
      <c r="G755" s="70"/>
      <c r="H755" s="70"/>
      <c r="I755" s="70"/>
      <c r="J755" s="70"/>
      <c r="K755" s="70"/>
      <c r="L755" s="70"/>
      <c r="M755" s="70"/>
      <c r="N755" s="70"/>
      <c r="O755" s="70"/>
      <c r="P755" s="70"/>
      <c r="Q755" s="70"/>
      <c r="R755" s="70"/>
      <c r="S755" s="70"/>
      <c r="T755" s="70"/>
      <c r="U755" s="64"/>
      <c r="V755" s="64"/>
      <c r="W755" s="70"/>
      <c r="X755" s="64"/>
      <c r="Y755" s="70"/>
      <c r="Z755" s="70"/>
      <c r="AA755" s="71"/>
      <c r="AB755" s="70"/>
      <c r="AC755" s="70"/>
      <c r="AD755" s="64"/>
      <c r="AE755" s="70"/>
      <c r="AF755" s="70"/>
      <c r="AG755" s="70"/>
      <c r="AH755" s="70"/>
    </row>
    <row r="756" spans="4:34" x14ac:dyDescent="0.2">
      <c r="D756" s="53"/>
      <c r="E756" s="70"/>
      <c r="F756" s="70"/>
      <c r="G756" s="70"/>
      <c r="H756" s="70"/>
      <c r="I756" s="70"/>
      <c r="J756" s="70"/>
      <c r="K756" s="70"/>
      <c r="L756" s="70"/>
      <c r="M756" s="70"/>
      <c r="N756" s="70"/>
      <c r="O756" s="70"/>
      <c r="P756" s="70"/>
      <c r="Q756" s="70"/>
      <c r="R756" s="70"/>
      <c r="S756" s="70"/>
      <c r="T756" s="70"/>
      <c r="U756" s="64"/>
      <c r="V756" s="64"/>
      <c r="W756" s="70"/>
      <c r="X756" s="64"/>
      <c r="Y756" s="70"/>
      <c r="Z756" s="70"/>
      <c r="AA756" s="71"/>
      <c r="AB756" s="70"/>
      <c r="AC756" s="70"/>
      <c r="AD756" s="64"/>
      <c r="AE756" s="70"/>
      <c r="AF756" s="70"/>
      <c r="AG756" s="70"/>
      <c r="AH756" s="70"/>
    </row>
    <row r="757" spans="4:34" x14ac:dyDescent="0.2">
      <c r="D757" s="53"/>
      <c r="E757" s="70"/>
      <c r="F757" s="70"/>
      <c r="G757" s="70"/>
      <c r="H757" s="70"/>
      <c r="I757" s="70"/>
      <c r="J757" s="70"/>
      <c r="K757" s="70"/>
      <c r="L757" s="70"/>
      <c r="M757" s="70"/>
      <c r="N757" s="70"/>
      <c r="O757" s="70"/>
      <c r="P757" s="70"/>
      <c r="Q757" s="70"/>
      <c r="R757" s="70"/>
      <c r="S757" s="70"/>
      <c r="T757" s="70"/>
      <c r="U757" s="64"/>
      <c r="V757" s="64"/>
      <c r="W757" s="70"/>
      <c r="X757" s="64"/>
      <c r="Y757" s="70"/>
      <c r="Z757" s="70"/>
      <c r="AA757" s="71"/>
      <c r="AB757" s="70"/>
      <c r="AC757" s="70"/>
      <c r="AD757" s="64"/>
      <c r="AE757" s="70"/>
      <c r="AF757" s="70"/>
      <c r="AG757" s="70"/>
      <c r="AH757" s="70"/>
    </row>
    <row r="758" spans="4:34" x14ac:dyDescent="0.2">
      <c r="D758" s="53"/>
      <c r="E758" s="70"/>
      <c r="F758" s="70"/>
      <c r="G758" s="70"/>
      <c r="H758" s="70"/>
      <c r="I758" s="70"/>
      <c r="J758" s="70"/>
      <c r="K758" s="70"/>
      <c r="L758" s="70"/>
      <c r="M758" s="70"/>
      <c r="N758" s="70"/>
      <c r="O758" s="70"/>
      <c r="P758" s="70"/>
      <c r="Q758" s="70"/>
      <c r="R758" s="70"/>
      <c r="S758" s="70"/>
      <c r="T758" s="70"/>
      <c r="U758" s="64"/>
      <c r="V758" s="64"/>
      <c r="W758" s="70"/>
      <c r="X758" s="64"/>
      <c r="Y758" s="70"/>
      <c r="Z758" s="70"/>
      <c r="AA758" s="71"/>
      <c r="AB758" s="70"/>
      <c r="AC758" s="70"/>
      <c r="AD758" s="64"/>
      <c r="AE758" s="70"/>
      <c r="AF758" s="70"/>
      <c r="AG758" s="70"/>
      <c r="AH758" s="70"/>
    </row>
    <row r="759" spans="4:34" x14ac:dyDescent="0.2">
      <c r="D759" s="53"/>
      <c r="E759" s="70"/>
      <c r="F759" s="70"/>
      <c r="G759" s="70"/>
      <c r="H759" s="70"/>
      <c r="I759" s="70"/>
      <c r="J759" s="70"/>
      <c r="K759" s="70"/>
      <c r="L759" s="70"/>
      <c r="M759" s="70"/>
      <c r="N759" s="70"/>
      <c r="O759" s="70"/>
      <c r="P759" s="70"/>
      <c r="Q759" s="70"/>
      <c r="R759" s="70"/>
      <c r="S759" s="70"/>
      <c r="T759" s="70"/>
      <c r="U759" s="64"/>
      <c r="V759" s="64"/>
      <c r="W759" s="70"/>
      <c r="X759" s="64"/>
      <c r="Y759" s="70"/>
      <c r="Z759" s="70"/>
      <c r="AA759" s="71"/>
      <c r="AB759" s="70"/>
      <c r="AC759" s="70"/>
      <c r="AD759" s="64"/>
      <c r="AE759" s="70"/>
      <c r="AF759" s="70"/>
      <c r="AG759" s="70"/>
      <c r="AH759" s="70"/>
    </row>
    <row r="760" spans="4:34" x14ac:dyDescent="0.2">
      <c r="D760" s="53"/>
      <c r="E760" s="70"/>
      <c r="F760" s="70"/>
      <c r="G760" s="70"/>
      <c r="H760" s="70"/>
      <c r="I760" s="70"/>
      <c r="J760" s="70"/>
      <c r="K760" s="70"/>
      <c r="L760" s="70"/>
      <c r="M760" s="70"/>
      <c r="N760" s="70"/>
      <c r="O760" s="70"/>
      <c r="P760" s="70"/>
      <c r="Q760" s="70"/>
      <c r="R760" s="70"/>
      <c r="S760" s="70"/>
      <c r="T760" s="70"/>
      <c r="U760" s="64"/>
      <c r="V760" s="64"/>
      <c r="W760" s="70"/>
      <c r="X760" s="64"/>
      <c r="Y760" s="70"/>
      <c r="Z760" s="70"/>
      <c r="AA760" s="71"/>
      <c r="AB760" s="70"/>
      <c r="AC760" s="70"/>
      <c r="AD760" s="64"/>
      <c r="AE760" s="70"/>
      <c r="AF760" s="70"/>
      <c r="AG760" s="70"/>
      <c r="AH760" s="70"/>
    </row>
    <row r="761" spans="4:34" x14ac:dyDescent="0.2">
      <c r="D761" s="53"/>
      <c r="E761" s="70"/>
      <c r="F761" s="70"/>
      <c r="G761" s="70"/>
      <c r="H761" s="70"/>
      <c r="I761" s="70"/>
      <c r="J761" s="70"/>
      <c r="K761" s="70"/>
      <c r="L761" s="70"/>
      <c r="M761" s="70"/>
      <c r="N761" s="70"/>
      <c r="O761" s="70"/>
      <c r="P761" s="70"/>
      <c r="Q761" s="70"/>
      <c r="R761" s="70"/>
      <c r="S761" s="70"/>
      <c r="T761" s="70"/>
      <c r="U761" s="64"/>
      <c r="V761" s="64"/>
      <c r="W761" s="70"/>
      <c r="X761" s="64"/>
      <c r="Y761" s="70"/>
      <c r="Z761" s="70"/>
      <c r="AA761" s="71"/>
      <c r="AB761" s="70"/>
      <c r="AC761" s="70"/>
      <c r="AD761" s="64"/>
      <c r="AE761" s="70"/>
      <c r="AF761" s="70"/>
      <c r="AG761" s="70"/>
      <c r="AH761" s="70"/>
    </row>
    <row r="762" spans="4:34" x14ac:dyDescent="0.2">
      <c r="D762" s="53"/>
      <c r="E762" s="70"/>
      <c r="F762" s="70"/>
      <c r="G762" s="70"/>
      <c r="H762" s="70"/>
      <c r="I762" s="70"/>
      <c r="J762" s="70"/>
      <c r="K762" s="70"/>
      <c r="L762" s="70"/>
      <c r="M762" s="70"/>
      <c r="N762" s="70"/>
      <c r="O762" s="70"/>
      <c r="P762" s="70"/>
      <c r="Q762" s="70"/>
      <c r="R762" s="70"/>
      <c r="S762" s="70"/>
      <c r="T762" s="70"/>
      <c r="U762" s="64"/>
      <c r="V762" s="64"/>
      <c r="W762" s="70"/>
      <c r="X762" s="64"/>
      <c r="Y762" s="70"/>
      <c r="Z762" s="70"/>
      <c r="AA762" s="71"/>
      <c r="AB762" s="70"/>
      <c r="AC762" s="70"/>
      <c r="AD762" s="64"/>
      <c r="AE762" s="70"/>
      <c r="AF762" s="70"/>
      <c r="AG762" s="70"/>
      <c r="AH762" s="70"/>
    </row>
    <row r="763" spans="4:34" x14ac:dyDescent="0.2">
      <c r="D763" s="53"/>
      <c r="E763" s="70"/>
      <c r="F763" s="70"/>
      <c r="G763" s="70"/>
      <c r="H763" s="70"/>
      <c r="I763" s="70"/>
      <c r="J763" s="70"/>
      <c r="K763" s="70"/>
      <c r="L763" s="70"/>
      <c r="M763" s="70"/>
      <c r="N763" s="70"/>
      <c r="O763" s="70"/>
      <c r="P763" s="70"/>
      <c r="Q763" s="70"/>
      <c r="R763" s="70"/>
      <c r="S763" s="70"/>
      <c r="T763" s="70"/>
      <c r="U763" s="64"/>
      <c r="V763" s="64"/>
      <c r="W763" s="70"/>
      <c r="X763" s="64"/>
      <c r="Y763" s="70"/>
      <c r="Z763" s="70"/>
      <c r="AA763" s="71"/>
      <c r="AB763" s="70"/>
      <c r="AC763" s="70"/>
      <c r="AD763" s="64"/>
      <c r="AE763" s="70"/>
      <c r="AF763" s="70"/>
      <c r="AG763" s="70"/>
      <c r="AH763" s="70"/>
    </row>
    <row r="764" spans="4:34" x14ac:dyDescent="0.2">
      <c r="D764" s="53"/>
      <c r="E764" s="70"/>
      <c r="F764" s="70"/>
      <c r="G764" s="70"/>
      <c r="H764" s="70"/>
      <c r="I764" s="70"/>
      <c r="J764" s="70"/>
      <c r="K764" s="70"/>
      <c r="L764" s="70"/>
      <c r="M764" s="70"/>
      <c r="N764" s="70"/>
      <c r="O764" s="70"/>
      <c r="P764" s="70"/>
      <c r="Q764" s="70"/>
      <c r="R764" s="70"/>
      <c r="S764" s="70"/>
      <c r="T764" s="70"/>
      <c r="U764" s="64"/>
      <c r="V764" s="64"/>
      <c r="W764" s="70"/>
      <c r="X764" s="64"/>
      <c r="Y764" s="70"/>
      <c r="Z764" s="70"/>
      <c r="AA764" s="71"/>
      <c r="AB764" s="70"/>
      <c r="AC764" s="70"/>
      <c r="AD764" s="64"/>
      <c r="AE764" s="70"/>
      <c r="AF764" s="70"/>
      <c r="AG764" s="70"/>
      <c r="AH764" s="70"/>
    </row>
    <row r="765" spans="4:34" x14ac:dyDescent="0.2">
      <c r="D765" s="53"/>
      <c r="E765" s="70"/>
      <c r="F765" s="70"/>
      <c r="G765" s="70"/>
      <c r="H765" s="70"/>
      <c r="I765" s="70"/>
      <c r="J765" s="70"/>
      <c r="K765" s="70"/>
      <c r="L765" s="70"/>
      <c r="M765" s="70"/>
      <c r="N765" s="70"/>
      <c r="O765" s="70"/>
      <c r="P765" s="70"/>
      <c r="Q765" s="70"/>
      <c r="R765" s="70"/>
      <c r="S765" s="70"/>
      <c r="T765" s="70"/>
      <c r="U765" s="64"/>
      <c r="V765" s="64"/>
      <c r="W765" s="70"/>
      <c r="X765" s="64"/>
      <c r="Y765" s="70"/>
      <c r="Z765" s="70"/>
      <c r="AA765" s="71"/>
      <c r="AB765" s="70"/>
      <c r="AC765" s="70"/>
      <c r="AD765" s="64"/>
      <c r="AE765" s="70"/>
      <c r="AF765" s="70"/>
      <c r="AG765" s="70"/>
      <c r="AH765" s="70"/>
    </row>
    <row r="766" spans="4:34" x14ac:dyDescent="0.2">
      <c r="D766" s="53"/>
      <c r="E766" s="70"/>
      <c r="F766" s="70"/>
      <c r="G766" s="70"/>
      <c r="H766" s="70"/>
      <c r="I766" s="70"/>
      <c r="J766" s="70"/>
      <c r="K766" s="70"/>
      <c r="L766" s="70"/>
      <c r="M766" s="70"/>
      <c r="N766" s="70"/>
      <c r="O766" s="70"/>
      <c r="P766" s="70"/>
      <c r="Q766" s="70"/>
      <c r="R766" s="70"/>
      <c r="S766" s="70"/>
      <c r="T766" s="70"/>
      <c r="U766" s="64"/>
      <c r="V766" s="64"/>
      <c r="W766" s="70"/>
      <c r="X766" s="64"/>
      <c r="Y766" s="70"/>
      <c r="Z766" s="70"/>
      <c r="AA766" s="71"/>
      <c r="AB766" s="70"/>
      <c r="AC766" s="70"/>
      <c r="AD766" s="64"/>
      <c r="AE766" s="70"/>
      <c r="AF766" s="70"/>
      <c r="AG766" s="70"/>
      <c r="AH766" s="70"/>
    </row>
    <row r="767" spans="4:34" x14ac:dyDescent="0.2">
      <c r="D767" s="53"/>
      <c r="E767" s="70"/>
      <c r="F767" s="70"/>
      <c r="G767" s="70"/>
      <c r="H767" s="70"/>
      <c r="I767" s="70"/>
      <c r="J767" s="70"/>
      <c r="K767" s="70"/>
      <c r="L767" s="70"/>
      <c r="M767" s="70"/>
      <c r="N767" s="70"/>
      <c r="O767" s="70"/>
      <c r="P767" s="70"/>
      <c r="Q767" s="70"/>
      <c r="R767" s="70"/>
      <c r="S767" s="70"/>
      <c r="T767" s="70"/>
      <c r="U767" s="64"/>
      <c r="V767" s="64"/>
      <c r="W767" s="70"/>
      <c r="X767" s="64"/>
      <c r="Y767" s="70"/>
      <c r="Z767" s="70"/>
      <c r="AA767" s="71"/>
      <c r="AB767" s="70"/>
      <c r="AC767" s="70"/>
      <c r="AD767" s="64"/>
      <c r="AE767" s="70"/>
      <c r="AF767" s="70"/>
      <c r="AG767" s="70"/>
      <c r="AH767" s="70"/>
    </row>
    <row r="768" spans="4:34" x14ac:dyDescent="0.2">
      <c r="D768" s="53"/>
      <c r="E768" s="70"/>
      <c r="F768" s="70"/>
      <c r="G768" s="70"/>
      <c r="H768" s="70"/>
      <c r="I768" s="70"/>
      <c r="J768" s="70"/>
      <c r="K768" s="70"/>
      <c r="L768" s="70"/>
      <c r="M768" s="70"/>
      <c r="N768" s="70"/>
      <c r="O768" s="70"/>
      <c r="P768" s="70"/>
      <c r="Q768" s="70"/>
      <c r="R768" s="70"/>
      <c r="S768" s="70"/>
      <c r="T768" s="70"/>
      <c r="U768" s="64"/>
      <c r="V768" s="64"/>
      <c r="W768" s="70"/>
      <c r="X768" s="64"/>
      <c r="Y768" s="70"/>
      <c r="Z768" s="70"/>
      <c r="AA768" s="71"/>
      <c r="AB768" s="70"/>
      <c r="AC768" s="70"/>
      <c r="AD768" s="64"/>
      <c r="AE768" s="70"/>
      <c r="AF768" s="70"/>
      <c r="AG768" s="70"/>
      <c r="AH768" s="70"/>
    </row>
    <row r="769" spans="4:34" x14ac:dyDescent="0.2">
      <c r="D769" s="53"/>
      <c r="E769" s="70"/>
      <c r="F769" s="70"/>
      <c r="G769" s="70"/>
      <c r="H769" s="70"/>
      <c r="I769" s="70"/>
      <c r="J769" s="70"/>
      <c r="K769" s="70"/>
      <c r="L769" s="70"/>
      <c r="M769" s="70"/>
      <c r="N769" s="70"/>
      <c r="O769" s="70"/>
      <c r="P769" s="70"/>
      <c r="Q769" s="70"/>
      <c r="R769" s="70"/>
      <c r="S769" s="70"/>
      <c r="T769" s="70"/>
      <c r="U769" s="64"/>
      <c r="V769" s="64"/>
      <c r="W769" s="70"/>
      <c r="X769" s="64"/>
      <c r="Y769" s="70"/>
      <c r="Z769" s="70"/>
      <c r="AA769" s="71"/>
      <c r="AB769" s="70"/>
      <c r="AC769" s="70"/>
      <c r="AD769" s="64"/>
      <c r="AE769" s="70"/>
      <c r="AF769" s="70"/>
      <c r="AG769" s="70"/>
      <c r="AH769" s="70"/>
    </row>
    <row r="770" spans="4:34" x14ac:dyDescent="0.2">
      <c r="D770" s="53"/>
      <c r="E770" s="70"/>
      <c r="F770" s="70"/>
      <c r="G770" s="70"/>
      <c r="H770" s="70"/>
      <c r="I770" s="70"/>
      <c r="J770" s="70"/>
      <c r="K770" s="70"/>
      <c r="L770" s="70"/>
      <c r="M770" s="70"/>
      <c r="N770" s="70"/>
      <c r="O770" s="70"/>
      <c r="P770" s="70"/>
      <c r="Q770" s="70"/>
      <c r="R770" s="70"/>
      <c r="S770" s="70"/>
      <c r="T770" s="70"/>
      <c r="U770" s="64"/>
      <c r="V770" s="64"/>
      <c r="W770" s="70"/>
      <c r="X770" s="64"/>
      <c r="Y770" s="70"/>
      <c r="Z770" s="70"/>
      <c r="AA770" s="71"/>
      <c r="AB770" s="70"/>
      <c r="AC770" s="70"/>
      <c r="AD770" s="64"/>
      <c r="AE770" s="70"/>
      <c r="AF770" s="70"/>
      <c r="AG770" s="70"/>
      <c r="AH770" s="70"/>
    </row>
    <row r="771" spans="4:34" x14ac:dyDescent="0.2">
      <c r="D771" s="53"/>
      <c r="E771" s="70"/>
      <c r="F771" s="70"/>
      <c r="G771" s="70"/>
      <c r="H771" s="70"/>
      <c r="I771" s="70"/>
      <c r="J771" s="70"/>
      <c r="K771" s="70"/>
      <c r="L771" s="70"/>
      <c r="M771" s="70"/>
      <c r="N771" s="70"/>
      <c r="O771" s="70"/>
      <c r="P771" s="70"/>
      <c r="Q771" s="70"/>
      <c r="R771" s="70"/>
      <c r="S771" s="70"/>
      <c r="T771" s="70"/>
      <c r="U771" s="64"/>
      <c r="V771" s="64"/>
      <c r="W771" s="70"/>
      <c r="X771" s="64"/>
      <c r="Y771" s="70"/>
      <c r="Z771" s="70"/>
      <c r="AA771" s="71"/>
      <c r="AB771" s="70"/>
      <c r="AC771" s="70"/>
      <c r="AD771" s="64"/>
      <c r="AE771" s="70"/>
      <c r="AF771" s="70"/>
      <c r="AG771" s="70"/>
      <c r="AH771" s="70"/>
    </row>
    <row r="772" spans="4:34" x14ac:dyDescent="0.2">
      <c r="D772" s="53"/>
      <c r="E772" s="70"/>
      <c r="F772" s="70"/>
      <c r="G772" s="70"/>
      <c r="H772" s="70"/>
      <c r="I772" s="70"/>
      <c r="J772" s="70"/>
      <c r="K772" s="70"/>
      <c r="L772" s="70"/>
      <c r="M772" s="70"/>
      <c r="N772" s="70"/>
      <c r="O772" s="70"/>
      <c r="P772" s="70"/>
      <c r="Q772" s="70"/>
      <c r="R772" s="70"/>
      <c r="S772" s="70"/>
      <c r="T772" s="70"/>
      <c r="U772" s="64"/>
      <c r="V772" s="64"/>
      <c r="W772" s="70"/>
      <c r="X772" s="64"/>
      <c r="Y772" s="70"/>
      <c r="Z772" s="70"/>
      <c r="AA772" s="71"/>
      <c r="AB772" s="70"/>
      <c r="AC772" s="70"/>
      <c r="AD772" s="64"/>
      <c r="AE772" s="70"/>
      <c r="AF772" s="70"/>
      <c r="AG772" s="70"/>
      <c r="AH772" s="70"/>
    </row>
    <row r="773" spans="4:34" x14ac:dyDescent="0.2">
      <c r="D773" s="53"/>
      <c r="E773" s="70"/>
      <c r="F773" s="70"/>
      <c r="G773" s="70"/>
      <c r="H773" s="70"/>
      <c r="I773" s="70"/>
      <c r="J773" s="70"/>
      <c r="K773" s="70"/>
      <c r="L773" s="70"/>
      <c r="M773" s="70"/>
      <c r="N773" s="70"/>
      <c r="O773" s="70"/>
      <c r="P773" s="70"/>
      <c r="Q773" s="70"/>
      <c r="R773" s="70"/>
      <c r="S773" s="70"/>
      <c r="T773" s="70"/>
      <c r="U773" s="64"/>
      <c r="V773" s="64"/>
      <c r="W773" s="70"/>
      <c r="X773" s="64"/>
      <c r="Y773" s="70"/>
      <c r="Z773" s="70"/>
      <c r="AA773" s="71"/>
      <c r="AB773" s="70"/>
      <c r="AC773" s="70"/>
      <c r="AD773" s="64"/>
      <c r="AE773" s="70"/>
      <c r="AF773" s="70"/>
      <c r="AG773" s="70"/>
      <c r="AH773" s="70"/>
    </row>
    <row r="774" spans="4:34" x14ac:dyDescent="0.2">
      <c r="D774" s="53"/>
      <c r="E774" s="70"/>
      <c r="F774" s="70"/>
      <c r="G774" s="70"/>
      <c r="H774" s="70"/>
      <c r="I774" s="70"/>
      <c r="J774" s="70"/>
      <c r="K774" s="70"/>
      <c r="L774" s="70"/>
      <c r="M774" s="70"/>
      <c r="N774" s="70"/>
      <c r="O774" s="70"/>
      <c r="P774" s="70"/>
      <c r="Q774" s="70"/>
      <c r="R774" s="70"/>
      <c r="S774" s="70"/>
      <c r="T774" s="70"/>
      <c r="U774" s="64"/>
      <c r="V774" s="64"/>
      <c r="W774" s="70"/>
      <c r="X774" s="64"/>
      <c r="Y774" s="70"/>
      <c r="Z774" s="70"/>
      <c r="AA774" s="71"/>
      <c r="AB774" s="70"/>
      <c r="AC774" s="70"/>
      <c r="AD774" s="64"/>
      <c r="AE774" s="70"/>
      <c r="AF774" s="70"/>
      <c r="AG774" s="70"/>
      <c r="AH774" s="70"/>
    </row>
    <row r="775" spans="4:34" x14ac:dyDescent="0.2">
      <c r="D775" s="53"/>
      <c r="E775" s="70"/>
      <c r="F775" s="70"/>
      <c r="G775" s="70"/>
      <c r="H775" s="70"/>
      <c r="I775" s="70"/>
      <c r="J775" s="70"/>
      <c r="K775" s="70"/>
      <c r="L775" s="70"/>
      <c r="M775" s="70"/>
      <c r="N775" s="70"/>
      <c r="O775" s="70"/>
      <c r="P775" s="70"/>
      <c r="Q775" s="70"/>
      <c r="R775" s="70"/>
      <c r="S775" s="70"/>
      <c r="T775" s="70"/>
      <c r="U775" s="64"/>
      <c r="V775" s="64"/>
      <c r="W775" s="70"/>
      <c r="X775" s="64"/>
      <c r="Y775" s="70"/>
      <c r="Z775" s="70"/>
      <c r="AA775" s="71"/>
      <c r="AB775" s="70"/>
      <c r="AC775" s="70"/>
      <c r="AD775" s="64"/>
      <c r="AE775" s="70"/>
      <c r="AF775" s="70"/>
      <c r="AG775" s="70"/>
      <c r="AH775" s="70"/>
    </row>
    <row r="776" spans="4:34" x14ac:dyDescent="0.2">
      <c r="D776" s="53"/>
      <c r="E776" s="70"/>
      <c r="F776" s="70"/>
      <c r="G776" s="70"/>
      <c r="H776" s="70"/>
      <c r="I776" s="70"/>
      <c r="J776" s="70"/>
      <c r="K776" s="70"/>
      <c r="L776" s="70"/>
      <c r="M776" s="70"/>
      <c r="N776" s="70"/>
      <c r="O776" s="70"/>
      <c r="P776" s="70"/>
      <c r="Q776" s="70"/>
      <c r="R776" s="70"/>
      <c r="S776" s="70"/>
      <c r="T776" s="70"/>
      <c r="U776" s="64"/>
      <c r="V776" s="64"/>
      <c r="W776" s="70"/>
      <c r="X776" s="64"/>
      <c r="Y776" s="70"/>
      <c r="Z776" s="70"/>
      <c r="AA776" s="71"/>
      <c r="AB776" s="70"/>
      <c r="AC776" s="70"/>
      <c r="AD776" s="64"/>
      <c r="AE776" s="70"/>
      <c r="AF776" s="70"/>
      <c r="AG776" s="70"/>
      <c r="AH776" s="70"/>
    </row>
    <row r="777" spans="4:34" x14ac:dyDescent="0.2">
      <c r="D777" s="53"/>
      <c r="E777" s="70"/>
      <c r="F777" s="70"/>
      <c r="G777" s="70"/>
      <c r="H777" s="70"/>
      <c r="I777" s="70"/>
      <c r="J777" s="70"/>
      <c r="K777" s="70"/>
      <c r="L777" s="70"/>
      <c r="M777" s="70"/>
      <c r="N777" s="70"/>
      <c r="O777" s="70"/>
      <c r="P777" s="70"/>
      <c r="Q777" s="70"/>
      <c r="R777" s="70"/>
      <c r="S777" s="70"/>
      <c r="T777" s="70"/>
      <c r="U777" s="64"/>
      <c r="V777" s="64"/>
      <c r="W777" s="70"/>
      <c r="X777" s="64"/>
      <c r="Y777" s="70"/>
      <c r="Z777" s="70"/>
      <c r="AA777" s="71"/>
      <c r="AB777" s="70"/>
      <c r="AC777" s="70"/>
      <c r="AD777" s="64"/>
      <c r="AE777" s="70"/>
      <c r="AF777" s="70"/>
      <c r="AG777" s="70"/>
      <c r="AH777" s="70"/>
    </row>
    <row r="778" spans="4:34" x14ac:dyDescent="0.2">
      <c r="D778" s="53"/>
      <c r="E778" s="70"/>
      <c r="F778" s="70"/>
      <c r="G778" s="70"/>
      <c r="H778" s="70"/>
      <c r="I778" s="70"/>
      <c r="J778" s="70"/>
      <c r="K778" s="70"/>
      <c r="L778" s="70"/>
      <c r="M778" s="70"/>
      <c r="N778" s="70"/>
      <c r="O778" s="70"/>
      <c r="P778" s="70"/>
      <c r="Q778" s="70"/>
      <c r="R778" s="70"/>
      <c r="S778" s="70"/>
      <c r="T778" s="70"/>
      <c r="U778" s="64"/>
      <c r="V778" s="64"/>
      <c r="W778" s="70"/>
      <c r="X778" s="64"/>
      <c r="Y778" s="70"/>
      <c r="Z778" s="70"/>
      <c r="AA778" s="71"/>
      <c r="AB778" s="70"/>
      <c r="AC778" s="70"/>
      <c r="AD778" s="64"/>
      <c r="AE778" s="70"/>
      <c r="AF778" s="70"/>
      <c r="AG778" s="70"/>
      <c r="AH778" s="70"/>
    </row>
    <row r="779" spans="4:34" x14ac:dyDescent="0.2">
      <c r="D779" s="53"/>
      <c r="E779" s="70"/>
      <c r="F779" s="70"/>
      <c r="G779" s="70"/>
      <c r="H779" s="70"/>
      <c r="I779" s="70"/>
      <c r="J779" s="70"/>
      <c r="K779" s="70"/>
      <c r="L779" s="70"/>
      <c r="M779" s="70"/>
      <c r="N779" s="70"/>
      <c r="O779" s="70"/>
      <c r="P779" s="70"/>
      <c r="Q779" s="70"/>
      <c r="R779" s="70"/>
      <c r="S779" s="70"/>
      <c r="T779" s="70"/>
      <c r="U779" s="64"/>
      <c r="V779" s="64"/>
      <c r="W779" s="70"/>
      <c r="X779" s="64"/>
      <c r="Y779" s="70"/>
      <c r="Z779" s="70"/>
      <c r="AA779" s="71"/>
      <c r="AB779" s="70"/>
      <c r="AC779" s="70"/>
      <c r="AD779" s="64"/>
      <c r="AE779" s="70"/>
      <c r="AF779" s="70"/>
      <c r="AG779" s="70"/>
      <c r="AH779" s="70"/>
    </row>
    <row r="780" spans="4:34" x14ac:dyDescent="0.2">
      <c r="D780" s="53"/>
      <c r="E780" s="70"/>
      <c r="F780" s="70"/>
      <c r="G780" s="70"/>
      <c r="H780" s="70"/>
      <c r="I780" s="70"/>
      <c r="J780" s="70"/>
      <c r="K780" s="70"/>
      <c r="L780" s="70"/>
      <c r="M780" s="70"/>
      <c r="N780" s="70"/>
      <c r="O780" s="70"/>
      <c r="P780" s="70"/>
      <c r="Q780" s="70"/>
      <c r="R780" s="70"/>
      <c r="S780" s="70"/>
      <c r="T780" s="70"/>
      <c r="U780" s="64"/>
      <c r="V780" s="64"/>
      <c r="W780" s="70"/>
      <c r="X780" s="64"/>
      <c r="Y780" s="70"/>
      <c r="Z780" s="70"/>
      <c r="AA780" s="71"/>
      <c r="AB780" s="70"/>
      <c r="AC780" s="70"/>
      <c r="AD780" s="64"/>
      <c r="AE780" s="70"/>
      <c r="AF780" s="70"/>
      <c r="AG780" s="70"/>
      <c r="AH780" s="70"/>
    </row>
    <row r="781" spans="4:34" x14ac:dyDescent="0.2">
      <c r="D781" s="53"/>
      <c r="E781" s="70"/>
      <c r="F781" s="70"/>
      <c r="G781" s="70"/>
      <c r="H781" s="70"/>
      <c r="I781" s="70"/>
      <c r="J781" s="70"/>
      <c r="K781" s="70"/>
      <c r="L781" s="70"/>
      <c r="M781" s="70"/>
      <c r="N781" s="70"/>
      <c r="O781" s="70"/>
      <c r="P781" s="70"/>
      <c r="Q781" s="70"/>
      <c r="R781" s="70"/>
      <c r="S781" s="70"/>
      <c r="T781" s="70"/>
      <c r="U781" s="64"/>
      <c r="V781" s="64"/>
      <c r="W781" s="70"/>
      <c r="X781" s="64"/>
      <c r="Y781" s="70"/>
      <c r="Z781" s="70"/>
      <c r="AA781" s="71"/>
      <c r="AB781" s="70"/>
      <c r="AC781" s="70"/>
      <c r="AD781" s="64"/>
      <c r="AE781" s="70"/>
      <c r="AF781" s="70"/>
      <c r="AG781" s="70"/>
      <c r="AH781" s="70"/>
    </row>
    <row r="782" spans="4:34" x14ac:dyDescent="0.2">
      <c r="D782" s="53"/>
      <c r="E782" s="70"/>
      <c r="F782" s="70"/>
      <c r="G782" s="70"/>
      <c r="H782" s="70"/>
      <c r="I782" s="70"/>
      <c r="J782" s="70"/>
      <c r="K782" s="70"/>
      <c r="L782" s="70"/>
      <c r="M782" s="70"/>
      <c r="N782" s="70"/>
      <c r="O782" s="70"/>
      <c r="P782" s="70"/>
      <c r="Q782" s="70"/>
      <c r="R782" s="70"/>
      <c r="S782" s="70"/>
      <c r="T782" s="70"/>
      <c r="U782" s="64"/>
      <c r="V782" s="64"/>
      <c r="W782" s="70"/>
      <c r="X782" s="64"/>
      <c r="Y782" s="70"/>
      <c r="Z782" s="70"/>
      <c r="AA782" s="71"/>
      <c r="AB782" s="70"/>
      <c r="AC782" s="70"/>
      <c r="AD782" s="64"/>
      <c r="AE782" s="70"/>
      <c r="AF782" s="70"/>
      <c r="AG782" s="70"/>
      <c r="AH782" s="70"/>
    </row>
    <row r="783" spans="4:34" x14ac:dyDescent="0.2">
      <c r="D783" s="53"/>
      <c r="E783" s="70"/>
      <c r="F783" s="70"/>
      <c r="G783" s="70"/>
      <c r="H783" s="70"/>
      <c r="I783" s="70"/>
      <c r="J783" s="70"/>
      <c r="K783" s="70"/>
      <c r="L783" s="70"/>
      <c r="M783" s="70"/>
      <c r="N783" s="70"/>
      <c r="O783" s="70"/>
      <c r="P783" s="70"/>
      <c r="Q783" s="70"/>
      <c r="R783" s="70"/>
      <c r="S783" s="70"/>
      <c r="T783" s="70"/>
      <c r="U783" s="64"/>
      <c r="V783" s="64"/>
      <c r="W783" s="70"/>
      <c r="X783" s="64"/>
      <c r="Y783" s="70"/>
      <c r="Z783" s="70"/>
      <c r="AA783" s="71"/>
      <c r="AB783" s="70"/>
      <c r="AC783" s="70"/>
      <c r="AD783" s="64"/>
      <c r="AE783" s="70"/>
      <c r="AF783" s="70"/>
      <c r="AG783" s="70"/>
      <c r="AH783" s="70"/>
    </row>
    <row r="784" spans="4:34" x14ac:dyDescent="0.2">
      <c r="D784" s="53"/>
      <c r="E784" s="70"/>
      <c r="F784" s="70"/>
      <c r="G784" s="70"/>
      <c r="H784" s="70"/>
      <c r="I784" s="70"/>
      <c r="J784" s="70"/>
      <c r="K784" s="70"/>
      <c r="L784" s="70"/>
      <c r="M784" s="70"/>
      <c r="N784" s="70"/>
      <c r="O784" s="70"/>
      <c r="P784" s="70"/>
      <c r="Q784" s="70"/>
      <c r="R784" s="70"/>
      <c r="S784" s="70"/>
      <c r="T784" s="70"/>
      <c r="U784" s="64"/>
      <c r="V784" s="64"/>
      <c r="W784" s="70"/>
      <c r="X784" s="64"/>
      <c r="Y784" s="70"/>
      <c r="Z784" s="70"/>
      <c r="AA784" s="71"/>
      <c r="AB784" s="70"/>
      <c r="AC784" s="70"/>
      <c r="AD784" s="64"/>
      <c r="AE784" s="70"/>
      <c r="AF784" s="70"/>
      <c r="AG784" s="70"/>
      <c r="AH784" s="70"/>
    </row>
    <row r="785" spans="4:34" x14ac:dyDescent="0.2">
      <c r="D785" s="53"/>
      <c r="E785" s="70"/>
      <c r="F785" s="70"/>
      <c r="G785" s="70"/>
      <c r="H785" s="70"/>
      <c r="I785" s="70"/>
      <c r="J785" s="70"/>
      <c r="K785" s="70"/>
      <c r="L785" s="70"/>
      <c r="M785" s="70"/>
      <c r="N785" s="70"/>
      <c r="O785" s="70"/>
      <c r="P785" s="70"/>
      <c r="Q785" s="70"/>
      <c r="R785" s="70"/>
      <c r="S785" s="70"/>
      <c r="T785" s="70"/>
      <c r="U785" s="64"/>
      <c r="V785" s="64"/>
      <c r="W785" s="70"/>
      <c r="X785" s="64"/>
      <c r="Y785" s="70"/>
      <c r="Z785" s="70"/>
      <c r="AA785" s="71"/>
      <c r="AB785" s="70"/>
      <c r="AC785" s="70"/>
      <c r="AD785" s="64"/>
      <c r="AE785" s="70"/>
      <c r="AF785" s="70"/>
      <c r="AG785" s="70"/>
      <c r="AH785" s="70"/>
    </row>
    <row r="786" spans="4:34" x14ac:dyDescent="0.2">
      <c r="D786" s="53"/>
      <c r="E786" s="70"/>
      <c r="F786" s="70"/>
      <c r="G786" s="70"/>
      <c r="H786" s="70"/>
      <c r="I786" s="70"/>
      <c r="J786" s="70"/>
      <c r="K786" s="70"/>
      <c r="L786" s="70"/>
      <c r="M786" s="70"/>
      <c r="N786" s="70"/>
      <c r="O786" s="70"/>
      <c r="P786" s="70"/>
      <c r="Q786" s="70"/>
      <c r="R786" s="70"/>
      <c r="S786" s="70"/>
      <c r="T786" s="70"/>
      <c r="U786" s="64"/>
      <c r="V786" s="64"/>
      <c r="W786" s="70"/>
      <c r="X786" s="64"/>
      <c r="Y786" s="70"/>
      <c r="Z786" s="70"/>
      <c r="AA786" s="71"/>
      <c r="AB786" s="70"/>
      <c r="AC786" s="70"/>
      <c r="AD786" s="64"/>
      <c r="AE786" s="70"/>
      <c r="AF786" s="70"/>
      <c r="AG786" s="70"/>
      <c r="AH786" s="70"/>
    </row>
    <row r="787" spans="4:34" x14ac:dyDescent="0.2">
      <c r="D787" s="53"/>
      <c r="E787" s="70"/>
      <c r="F787" s="70"/>
      <c r="G787" s="70"/>
      <c r="H787" s="70"/>
      <c r="I787" s="70"/>
      <c r="J787" s="70"/>
      <c r="K787" s="70"/>
      <c r="L787" s="70"/>
      <c r="M787" s="70"/>
      <c r="N787" s="70"/>
      <c r="O787" s="70"/>
      <c r="P787" s="70"/>
      <c r="Q787" s="70"/>
      <c r="R787" s="70"/>
      <c r="S787" s="70"/>
      <c r="T787" s="70"/>
      <c r="U787" s="64"/>
      <c r="V787" s="64"/>
      <c r="W787" s="70"/>
      <c r="X787" s="64"/>
      <c r="Y787" s="70"/>
      <c r="Z787" s="70"/>
      <c r="AA787" s="71"/>
      <c r="AB787" s="70"/>
      <c r="AC787" s="70"/>
      <c r="AD787" s="64"/>
      <c r="AE787" s="70"/>
      <c r="AF787" s="70"/>
      <c r="AG787" s="70"/>
      <c r="AH787" s="70"/>
    </row>
    <row r="788" spans="4:34" x14ac:dyDescent="0.2">
      <c r="D788" s="53"/>
      <c r="E788" s="70"/>
      <c r="F788" s="70"/>
      <c r="G788" s="70"/>
      <c r="H788" s="70"/>
      <c r="I788" s="70"/>
      <c r="J788" s="70"/>
      <c r="K788" s="70"/>
      <c r="L788" s="70"/>
      <c r="M788" s="70"/>
      <c r="N788" s="70"/>
      <c r="O788" s="70"/>
      <c r="P788" s="70"/>
      <c r="Q788" s="70"/>
      <c r="R788" s="70"/>
      <c r="S788" s="70"/>
      <c r="T788" s="70"/>
      <c r="U788" s="64"/>
      <c r="V788" s="64"/>
      <c r="W788" s="70"/>
      <c r="X788" s="64"/>
      <c r="Y788" s="70"/>
      <c r="Z788" s="70"/>
      <c r="AA788" s="71"/>
      <c r="AB788" s="70"/>
      <c r="AC788" s="70"/>
      <c r="AD788" s="64"/>
      <c r="AE788" s="70"/>
      <c r="AF788" s="70"/>
      <c r="AG788" s="70"/>
      <c r="AH788" s="70"/>
    </row>
    <row r="789" spans="4:34" x14ac:dyDescent="0.2">
      <c r="D789" s="53"/>
      <c r="E789" s="70"/>
      <c r="F789" s="70"/>
      <c r="G789" s="70"/>
      <c r="H789" s="70"/>
      <c r="I789" s="70"/>
      <c r="J789" s="70"/>
      <c r="K789" s="70"/>
      <c r="L789" s="70"/>
      <c r="M789" s="70"/>
      <c r="N789" s="70"/>
      <c r="O789" s="70"/>
      <c r="P789" s="70"/>
      <c r="Q789" s="70"/>
      <c r="R789" s="70"/>
      <c r="S789" s="70"/>
      <c r="T789" s="70"/>
      <c r="U789" s="64"/>
      <c r="V789" s="64"/>
      <c r="W789" s="70"/>
      <c r="X789" s="64"/>
      <c r="Y789" s="70"/>
      <c r="Z789" s="70"/>
      <c r="AA789" s="71"/>
      <c r="AB789" s="70"/>
      <c r="AC789" s="70"/>
      <c r="AD789" s="64"/>
      <c r="AE789" s="70"/>
      <c r="AF789" s="70"/>
      <c r="AG789" s="70"/>
      <c r="AH789" s="70"/>
    </row>
    <row r="790" spans="4:34" x14ac:dyDescent="0.2">
      <c r="D790" s="53"/>
      <c r="E790" s="70"/>
      <c r="F790" s="70"/>
      <c r="G790" s="70"/>
      <c r="H790" s="70"/>
      <c r="I790" s="70"/>
      <c r="J790" s="70"/>
      <c r="K790" s="70"/>
      <c r="L790" s="70"/>
      <c r="M790" s="70"/>
      <c r="N790" s="70"/>
      <c r="O790" s="70"/>
      <c r="P790" s="70"/>
      <c r="Q790" s="70"/>
      <c r="R790" s="70"/>
      <c r="S790" s="70"/>
      <c r="T790" s="70"/>
      <c r="U790" s="64"/>
      <c r="V790" s="64"/>
      <c r="W790" s="70"/>
      <c r="X790" s="64"/>
      <c r="Y790" s="70"/>
      <c r="Z790" s="70"/>
      <c r="AA790" s="71"/>
      <c r="AB790" s="70"/>
      <c r="AC790" s="70"/>
      <c r="AD790" s="64"/>
      <c r="AE790" s="70"/>
      <c r="AF790" s="70"/>
      <c r="AG790" s="70"/>
      <c r="AH790" s="70"/>
    </row>
    <row r="791" spans="4:34" x14ac:dyDescent="0.2">
      <c r="D791" s="53"/>
      <c r="E791" s="70"/>
      <c r="F791" s="70"/>
      <c r="G791" s="70"/>
      <c r="H791" s="70"/>
      <c r="I791" s="70"/>
      <c r="J791" s="70"/>
      <c r="K791" s="70"/>
      <c r="L791" s="70"/>
      <c r="M791" s="70"/>
      <c r="N791" s="70"/>
      <c r="O791" s="70"/>
      <c r="P791" s="70"/>
      <c r="Q791" s="70"/>
      <c r="R791" s="70"/>
      <c r="S791" s="70"/>
      <c r="T791" s="70"/>
      <c r="U791" s="64"/>
      <c r="V791" s="64"/>
      <c r="W791" s="70"/>
      <c r="X791" s="64"/>
      <c r="Y791" s="70"/>
      <c r="Z791" s="70"/>
      <c r="AA791" s="71"/>
      <c r="AB791" s="70"/>
      <c r="AC791" s="70"/>
      <c r="AD791" s="64"/>
      <c r="AE791" s="70"/>
      <c r="AF791" s="70"/>
      <c r="AG791" s="70"/>
      <c r="AH791" s="70"/>
    </row>
    <row r="792" spans="4:34" x14ac:dyDescent="0.2">
      <c r="D792" s="53"/>
      <c r="E792" s="70"/>
      <c r="F792" s="70"/>
      <c r="G792" s="70"/>
      <c r="H792" s="70"/>
      <c r="I792" s="70"/>
      <c r="J792" s="70"/>
      <c r="K792" s="70"/>
      <c r="L792" s="70"/>
      <c r="M792" s="70"/>
      <c r="N792" s="70"/>
      <c r="O792" s="70"/>
      <c r="P792" s="70"/>
      <c r="Q792" s="70"/>
      <c r="R792" s="70"/>
      <c r="S792" s="70"/>
      <c r="T792" s="70"/>
      <c r="U792" s="64"/>
      <c r="V792" s="64"/>
      <c r="W792" s="70"/>
      <c r="X792" s="64"/>
      <c r="Y792" s="70"/>
      <c r="Z792" s="70"/>
      <c r="AA792" s="71"/>
      <c r="AB792" s="70"/>
      <c r="AC792" s="70"/>
      <c r="AD792" s="64"/>
      <c r="AE792" s="70"/>
      <c r="AF792" s="70"/>
      <c r="AG792" s="70"/>
      <c r="AH792" s="70"/>
    </row>
    <row r="793" spans="4:34" x14ac:dyDescent="0.2">
      <c r="D793" s="53"/>
      <c r="E793" s="70"/>
      <c r="F793" s="70"/>
      <c r="G793" s="70"/>
      <c r="H793" s="70"/>
      <c r="I793" s="70"/>
      <c r="J793" s="70"/>
      <c r="K793" s="70"/>
      <c r="L793" s="70"/>
      <c r="M793" s="70"/>
      <c r="N793" s="70"/>
      <c r="O793" s="70"/>
      <c r="P793" s="70"/>
      <c r="Q793" s="70"/>
      <c r="R793" s="70"/>
      <c r="S793" s="70"/>
      <c r="T793" s="70"/>
      <c r="U793" s="64"/>
      <c r="V793" s="64"/>
      <c r="W793" s="70"/>
      <c r="X793" s="64"/>
      <c r="Y793" s="70"/>
      <c r="Z793" s="70"/>
      <c r="AA793" s="71"/>
      <c r="AB793" s="70"/>
      <c r="AC793" s="70"/>
      <c r="AD793" s="64"/>
      <c r="AE793" s="70"/>
      <c r="AF793" s="70"/>
      <c r="AG793" s="70"/>
      <c r="AH793" s="70"/>
    </row>
    <row r="794" spans="4:34" x14ac:dyDescent="0.2">
      <c r="D794" s="53"/>
      <c r="E794" s="70"/>
      <c r="F794" s="70"/>
      <c r="G794" s="70"/>
      <c r="H794" s="70"/>
      <c r="I794" s="70"/>
      <c r="J794" s="70"/>
      <c r="K794" s="70"/>
      <c r="L794" s="70"/>
      <c r="M794" s="70"/>
      <c r="N794" s="70"/>
      <c r="O794" s="70"/>
      <c r="P794" s="70"/>
      <c r="Q794" s="70"/>
      <c r="R794" s="70"/>
      <c r="S794" s="70"/>
      <c r="T794" s="70"/>
      <c r="U794" s="64"/>
      <c r="V794" s="64"/>
      <c r="W794" s="70"/>
      <c r="X794" s="64"/>
      <c r="Y794" s="70"/>
      <c r="Z794" s="70"/>
      <c r="AA794" s="71"/>
      <c r="AB794" s="70"/>
      <c r="AC794" s="70"/>
      <c r="AD794" s="64"/>
      <c r="AE794" s="70"/>
      <c r="AF794" s="70"/>
      <c r="AG794" s="70"/>
      <c r="AH794" s="70"/>
    </row>
    <row r="795" spans="4:34" x14ac:dyDescent="0.2">
      <c r="D795" s="53"/>
      <c r="E795" s="70"/>
      <c r="F795" s="70"/>
      <c r="G795" s="70"/>
      <c r="H795" s="70"/>
      <c r="I795" s="70"/>
      <c r="J795" s="70"/>
      <c r="K795" s="70"/>
      <c r="L795" s="70"/>
      <c r="M795" s="70"/>
      <c r="N795" s="70"/>
      <c r="O795" s="70"/>
      <c r="P795" s="70"/>
      <c r="Q795" s="70"/>
      <c r="R795" s="70"/>
      <c r="S795" s="70"/>
      <c r="T795" s="70"/>
      <c r="U795" s="64"/>
      <c r="V795" s="64"/>
      <c r="W795" s="70"/>
      <c r="X795" s="64"/>
      <c r="Y795" s="70"/>
      <c r="Z795" s="70"/>
      <c r="AA795" s="71"/>
      <c r="AB795" s="70"/>
      <c r="AC795" s="70"/>
      <c r="AD795" s="64"/>
      <c r="AE795" s="70"/>
      <c r="AF795" s="70"/>
      <c r="AG795" s="70"/>
      <c r="AH795" s="70"/>
    </row>
    <row r="796" spans="4:34" x14ac:dyDescent="0.2">
      <c r="D796" s="53"/>
      <c r="E796" s="70"/>
      <c r="F796" s="70"/>
      <c r="G796" s="70"/>
      <c r="H796" s="70"/>
      <c r="I796" s="70"/>
      <c r="J796" s="70"/>
      <c r="K796" s="70"/>
      <c r="L796" s="70"/>
      <c r="M796" s="70"/>
      <c r="N796" s="70"/>
      <c r="O796" s="70"/>
      <c r="P796" s="70"/>
      <c r="Q796" s="70"/>
      <c r="R796" s="70"/>
      <c r="S796" s="70"/>
      <c r="T796" s="70"/>
      <c r="U796" s="64"/>
      <c r="V796" s="64"/>
      <c r="W796" s="70"/>
      <c r="X796" s="64"/>
      <c r="Y796" s="70"/>
      <c r="Z796" s="70"/>
      <c r="AA796" s="71"/>
      <c r="AB796" s="70"/>
      <c r="AC796" s="70"/>
      <c r="AD796" s="64"/>
      <c r="AE796" s="70"/>
      <c r="AF796" s="70"/>
      <c r="AG796" s="70"/>
      <c r="AH796" s="70"/>
    </row>
    <row r="797" spans="4:34" x14ac:dyDescent="0.2">
      <c r="D797" s="53"/>
      <c r="E797" s="70"/>
      <c r="F797" s="70"/>
      <c r="G797" s="70"/>
      <c r="H797" s="70"/>
      <c r="I797" s="70"/>
      <c r="J797" s="70"/>
      <c r="K797" s="70"/>
      <c r="L797" s="70"/>
      <c r="M797" s="70"/>
      <c r="N797" s="70"/>
      <c r="O797" s="70"/>
      <c r="P797" s="70"/>
      <c r="Q797" s="70"/>
      <c r="R797" s="70"/>
      <c r="S797" s="70"/>
      <c r="T797" s="70"/>
      <c r="U797" s="64"/>
      <c r="V797" s="64"/>
      <c r="W797" s="70"/>
      <c r="X797" s="64"/>
      <c r="Y797" s="70"/>
      <c r="Z797" s="70"/>
      <c r="AA797" s="71"/>
      <c r="AB797" s="70"/>
      <c r="AC797" s="70"/>
      <c r="AD797" s="64"/>
      <c r="AE797" s="70"/>
      <c r="AF797" s="70"/>
      <c r="AG797" s="70"/>
      <c r="AH797" s="70"/>
    </row>
    <row r="798" spans="4:34" x14ac:dyDescent="0.2">
      <c r="D798" s="53"/>
      <c r="E798" s="70"/>
      <c r="F798" s="70"/>
      <c r="G798" s="70"/>
      <c r="H798" s="70"/>
      <c r="I798" s="70"/>
      <c r="J798" s="70"/>
      <c r="K798" s="70"/>
      <c r="L798" s="70"/>
      <c r="M798" s="70"/>
      <c r="N798" s="70"/>
      <c r="O798" s="70"/>
      <c r="P798" s="70"/>
      <c r="Q798" s="70"/>
      <c r="R798" s="70"/>
      <c r="S798" s="70"/>
      <c r="T798" s="70"/>
      <c r="U798" s="64"/>
      <c r="V798" s="64"/>
      <c r="W798" s="70"/>
      <c r="X798" s="64"/>
      <c r="Y798" s="70"/>
      <c r="Z798" s="70"/>
      <c r="AA798" s="71"/>
      <c r="AB798" s="70"/>
      <c r="AC798" s="70"/>
      <c r="AD798" s="64"/>
      <c r="AE798" s="70"/>
      <c r="AF798" s="70"/>
      <c r="AG798" s="70"/>
      <c r="AH798" s="70"/>
    </row>
    <row r="799" spans="4:34" x14ac:dyDescent="0.2">
      <c r="D799" s="53"/>
      <c r="E799" s="70"/>
      <c r="F799" s="70"/>
      <c r="G799" s="70"/>
      <c r="H799" s="70"/>
      <c r="I799" s="70"/>
      <c r="J799" s="70"/>
      <c r="K799" s="70"/>
      <c r="L799" s="70"/>
      <c r="M799" s="70"/>
      <c r="N799" s="70"/>
      <c r="O799" s="70"/>
      <c r="P799" s="70"/>
      <c r="Q799" s="70"/>
      <c r="R799" s="70"/>
      <c r="S799" s="70"/>
      <c r="T799" s="70"/>
      <c r="U799" s="64"/>
      <c r="V799" s="64"/>
      <c r="W799" s="70"/>
      <c r="X799" s="64"/>
      <c r="Y799" s="70"/>
      <c r="Z799" s="70"/>
      <c r="AA799" s="71"/>
      <c r="AB799" s="70"/>
      <c r="AC799" s="70"/>
      <c r="AD799" s="64"/>
      <c r="AE799" s="70"/>
      <c r="AF799" s="70"/>
      <c r="AG799" s="70"/>
      <c r="AH799" s="70"/>
    </row>
    <row r="800" spans="4:34" x14ac:dyDescent="0.2">
      <c r="D800" s="53"/>
      <c r="E800" s="70"/>
      <c r="F800" s="70"/>
      <c r="G800" s="70"/>
      <c r="H800" s="70"/>
      <c r="I800" s="70"/>
      <c r="J800" s="70"/>
      <c r="K800" s="70"/>
      <c r="L800" s="70"/>
      <c r="M800" s="70"/>
      <c r="N800" s="70"/>
      <c r="O800" s="70"/>
      <c r="P800" s="70"/>
      <c r="Q800" s="70"/>
      <c r="R800" s="70"/>
      <c r="S800" s="70"/>
      <c r="T800" s="70"/>
      <c r="U800" s="64"/>
      <c r="V800" s="64"/>
      <c r="W800" s="70"/>
      <c r="X800" s="64"/>
      <c r="Y800" s="70"/>
      <c r="Z800" s="70"/>
      <c r="AA800" s="71"/>
      <c r="AB800" s="70"/>
      <c r="AC800" s="70"/>
      <c r="AD800" s="64"/>
      <c r="AE800" s="70"/>
      <c r="AF800" s="70"/>
      <c r="AG800" s="70"/>
      <c r="AH800" s="70"/>
    </row>
    <row r="801" spans="4:34" x14ac:dyDescent="0.2">
      <c r="D801" s="53"/>
      <c r="E801" s="70"/>
      <c r="F801" s="70"/>
      <c r="G801" s="70"/>
      <c r="H801" s="70"/>
      <c r="I801" s="70"/>
      <c r="J801" s="70"/>
      <c r="K801" s="70"/>
      <c r="L801" s="70"/>
      <c r="M801" s="70"/>
      <c r="N801" s="70"/>
      <c r="O801" s="70"/>
      <c r="P801" s="70"/>
      <c r="Q801" s="70"/>
      <c r="R801" s="70"/>
      <c r="S801" s="70"/>
      <c r="T801" s="70"/>
      <c r="U801" s="64"/>
      <c r="V801" s="64"/>
      <c r="W801" s="70"/>
      <c r="X801" s="64"/>
      <c r="Y801" s="70"/>
      <c r="Z801" s="70"/>
      <c r="AA801" s="71"/>
      <c r="AB801" s="70"/>
      <c r="AC801" s="70"/>
      <c r="AD801" s="64"/>
      <c r="AE801" s="70"/>
      <c r="AF801" s="70"/>
      <c r="AG801" s="70"/>
      <c r="AH801" s="70"/>
    </row>
    <row r="802" spans="4:34" x14ac:dyDescent="0.2">
      <c r="D802" s="53"/>
      <c r="E802" s="70"/>
      <c r="F802" s="70"/>
      <c r="G802" s="70"/>
      <c r="H802" s="70"/>
      <c r="I802" s="70"/>
      <c r="J802" s="70"/>
      <c r="K802" s="70"/>
      <c r="L802" s="70"/>
      <c r="M802" s="70"/>
      <c r="N802" s="70"/>
      <c r="O802" s="70"/>
      <c r="P802" s="70"/>
      <c r="Q802" s="70"/>
      <c r="R802" s="70"/>
      <c r="S802" s="70"/>
      <c r="T802" s="70"/>
      <c r="U802" s="64"/>
      <c r="V802" s="64"/>
      <c r="W802" s="70"/>
      <c r="X802" s="64"/>
      <c r="Y802" s="70"/>
      <c r="Z802" s="70"/>
      <c r="AA802" s="71"/>
      <c r="AB802" s="70"/>
      <c r="AC802" s="70"/>
      <c r="AD802" s="64"/>
      <c r="AE802" s="70"/>
      <c r="AF802" s="70"/>
      <c r="AG802" s="70"/>
      <c r="AH802" s="70"/>
    </row>
    <row r="803" spans="4:34" x14ac:dyDescent="0.2">
      <c r="D803" s="53"/>
      <c r="E803" s="70"/>
      <c r="F803" s="70"/>
      <c r="G803" s="70"/>
      <c r="H803" s="70"/>
      <c r="I803" s="70"/>
      <c r="J803" s="70"/>
      <c r="K803" s="70"/>
      <c r="L803" s="70"/>
      <c r="M803" s="70"/>
      <c r="N803" s="70"/>
      <c r="O803" s="70"/>
      <c r="P803" s="70"/>
      <c r="Q803" s="70"/>
      <c r="R803" s="70"/>
      <c r="S803" s="70"/>
      <c r="T803" s="70"/>
      <c r="U803" s="64"/>
      <c r="V803" s="64"/>
      <c r="W803" s="70"/>
      <c r="X803" s="64"/>
      <c r="Y803" s="70"/>
      <c r="Z803" s="70"/>
      <c r="AA803" s="71"/>
      <c r="AB803" s="70"/>
      <c r="AC803" s="70"/>
      <c r="AD803" s="64"/>
      <c r="AE803" s="70"/>
      <c r="AF803" s="70"/>
      <c r="AG803" s="70"/>
      <c r="AH803" s="70"/>
    </row>
    <row r="804" spans="4:34" x14ac:dyDescent="0.2">
      <c r="D804" s="53"/>
      <c r="E804" s="70"/>
      <c r="F804" s="70"/>
      <c r="G804" s="70"/>
      <c r="H804" s="70"/>
      <c r="I804" s="70"/>
      <c r="J804" s="70"/>
      <c r="K804" s="70"/>
      <c r="L804" s="70"/>
      <c r="M804" s="70"/>
      <c r="N804" s="70"/>
      <c r="O804" s="70"/>
      <c r="P804" s="70"/>
      <c r="Q804" s="70"/>
      <c r="R804" s="70"/>
      <c r="S804" s="70"/>
      <c r="T804" s="70"/>
      <c r="U804" s="64"/>
      <c r="V804" s="64"/>
      <c r="W804" s="70"/>
      <c r="X804" s="64"/>
      <c r="Y804" s="70"/>
      <c r="Z804" s="70"/>
      <c r="AA804" s="71"/>
      <c r="AB804" s="70"/>
      <c r="AC804" s="70"/>
      <c r="AD804" s="64"/>
      <c r="AE804" s="70"/>
      <c r="AF804" s="70"/>
      <c r="AG804" s="70"/>
      <c r="AH804" s="70"/>
    </row>
    <row r="805" spans="4:34" x14ac:dyDescent="0.2">
      <c r="D805" s="53"/>
      <c r="E805" s="70"/>
      <c r="F805" s="70"/>
      <c r="G805" s="70"/>
      <c r="H805" s="70"/>
      <c r="I805" s="70"/>
      <c r="J805" s="70"/>
      <c r="K805" s="70"/>
      <c r="L805" s="70"/>
      <c r="M805" s="70"/>
      <c r="N805" s="70"/>
      <c r="O805" s="70"/>
      <c r="P805" s="70"/>
      <c r="Q805" s="70"/>
      <c r="R805" s="70"/>
      <c r="S805" s="70"/>
      <c r="T805" s="70"/>
      <c r="U805" s="64"/>
      <c r="V805" s="64"/>
      <c r="W805" s="70"/>
      <c r="X805" s="64"/>
      <c r="Y805" s="70"/>
      <c r="Z805" s="70"/>
      <c r="AA805" s="71"/>
      <c r="AB805" s="70"/>
      <c r="AC805" s="70"/>
      <c r="AD805" s="64"/>
      <c r="AE805" s="70"/>
      <c r="AF805" s="70"/>
      <c r="AG805" s="70"/>
      <c r="AH805" s="70"/>
    </row>
    <row r="806" spans="4:34" x14ac:dyDescent="0.2">
      <c r="D806" s="53"/>
      <c r="E806" s="70"/>
      <c r="F806" s="70"/>
      <c r="G806" s="70"/>
      <c r="H806" s="70"/>
      <c r="I806" s="70"/>
      <c r="J806" s="70"/>
      <c r="K806" s="70"/>
      <c r="L806" s="70"/>
      <c r="M806" s="70"/>
      <c r="N806" s="70"/>
      <c r="O806" s="70"/>
      <c r="P806" s="70"/>
      <c r="Q806" s="70"/>
      <c r="R806" s="70"/>
      <c r="S806" s="70"/>
      <c r="T806" s="70"/>
      <c r="U806" s="64"/>
      <c r="V806" s="64"/>
      <c r="W806" s="70"/>
      <c r="X806" s="64"/>
      <c r="Y806" s="70"/>
      <c r="Z806" s="70"/>
      <c r="AA806" s="71"/>
      <c r="AB806" s="70"/>
      <c r="AC806" s="70"/>
      <c r="AD806" s="64"/>
      <c r="AE806" s="70"/>
      <c r="AF806" s="70"/>
      <c r="AG806" s="70"/>
      <c r="AH806" s="70"/>
    </row>
    <row r="807" spans="4:34" x14ac:dyDescent="0.2">
      <c r="D807" s="53"/>
      <c r="E807" s="70"/>
      <c r="F807" s="70"/>
      <c r="G807" s="70"/>
      <c r="H807" s="70"/>
      <c r="I807" s="70"/>
      <c r="J807" s="70"/>
      <c r="K807" s="70"/>
      <c r="L807" s="70"/>
      <c r="M807" s="70"/>
      <c r="N807" s="70"/>
      <c r="O807" s="70"/>
      <c r="P807" s="70"/>
      <c r="Q807" s="70"/>
      <c r="R807" s="70"/>
      <c r="S807" s="70"/>
      <c r="T807" s="70"/>
      <c r="U807" s="64"/>
      <c r="V807" s="64"/>
      <c r="W807" s="70"/>
      <c r="X807" s="64"/>
      <c r="Y807" s="70"/>
      <c r="Z807" s="70"/>
      <c r="AA807" s="71"/>
      <c r="AB807" s="70"/>
      <c r="AC807" s="70"/>
      <c r="AD807" s="64"/>
      <c r="AE807" s="70"/>
      <c r="AF807" s="70"/>
      <c r="AG807" s="70"/>
      <c r="AH807" s="70"/>
    </row>
    <row r="808" spans="4:34" x14ac:dyDescent="0.2">
      <c r="D808" s="53"/>
      <c r="E808" s="70"/>
      <c r="F808" s="70"/>
      <c r="G808" s="70"/>
      <c r="H808" s="70"/>
      <c r="I808" s="70"/>
      <c r="J808" s="70"/>
      <c r="K808" s="70"/>
      <c r="L808" s="70"/>
      <c r="M808" s="70"/>
      <c r="N808" s="70"/>
      <c r="O808" s="70"/>
      <c r="P808" s="70"/>
      <c r="Q808" s="70"/>
      <c r="R808" s="70"/>
      <c r="S808" s="70"/>
      <c r="T808" s="70"/>
      <c r="U808" s="64"/>
      <c r="V808" s="64"/>
      <c r="W808" s="70"/>
      <c r="X808" s="64"/>
      <c r="Y808" s="70"/>
      <c r="Z808" s="70"/>
      <c r="AA808" s="71"/>
      <c r="AB808" s="70"/>
      <c r="AC808" s="70"/>
      <c r="AD808" s="64"/>
      <c r="AE808" s="70"/>
      <c r="AF808" s="70"/>
      <c r="AG808" s="70"/>
      <c r="AH808" s="70"/>
    </row>
    <row r="809" spans="4:34" x14ac:dyDescent="0.2">
      <c r="D809" s="53"/>
      <c r="E809" s="70"/>
      <c r="F809" s="70"/>
      <c r="G809" s="70"/>
      <c r="H809" s="70"/>
      <c r="I809" s="70"/>
      <c r="J809" s="70"/>
      <c r="K809" s="70"/>
      <c r="L809" s="70"/>
      <c r="M809" s="70"/>
      <c r="N809" s="70"/>
      <c r="O809" s="70"/>
      <c r="P809" s="70"/>
      <c r="Q809" s="70"/>
      <c r="R809" s="70"/>
      <c r="S809" s="70"/>
      <c r="T809" s="70"/>
      <c r="U809" s="64"/>
      <c r="V809" s="64"/>
      <c r="W809" s="70"/>
      <c r="X809" s="64"/>
      <c r="Y809" s="70"/>
      <c r="Z809" s="70"/>
      <c r="AA809" s="71"/>
      <c r="AB809" s="70"/>
      <c r="AC809" s="70"/>
      <c r="AD809" s="64"/>
      <c r="AE809" s="70"/>
      <c r="AF809" s="70"/>
      <c r="AG809" s="70"/>
      <c r="AH809" s="70"/>
    </row>
    <row r="810" spans="4:34" x14ac:dyDescent="0.2">
      <c r="D810" s="53"/>
      <c r="E810" s="70"/>
      <c r="F810" s="70"/>
      <c r="G810" s="70"/>
      <c r="H810" s="70"/>
      <c r="I810" s="70"/>
      <c r="J810" s="70"/>
      <c r="K810" s="70"/>
      <c r="L810" s="70"/>
      <c r="M810" s="70"/>
      <c r="N810" s="70"/>
      <c r="O810" s="70"/>
      <c r="P810" s="70"/>
      <c r="Q810" s="70"/>
      <c r="R810" s="70"/>
      <c r="S810" s="70"/>
      <c r="T810" s="70"/>
      <c r="U810" s="64"/>
      <c r="V810" s="64"/>
      <c r="W810" s="70"/>
      <c r="X810" s="64"/>
      <c r="Y810" s="70"/>
      <c r="Z810" s="70"/>
      <c r="AA810" s="71"/>
      <c r="AB810" s="70"/>
      <c r="AC810" s="70"/>
      <c r="AD810" s="64"/>
      <c r="AE810" s="70"/>
      <c r="AF810" s="70"/>
      <c r="AG810" s="70"/>
      <c r="AH810" s="70"/>
    </row>
    <row r="811" spans="4:34" x14ac:dyDescent="0.2">
      <c r="D811" s="53"/>
      <c r="E811" s="70"/>
      <c r="F811" s="70"/>
      <c r="G811" s="70"/>
      <c r="H811" s="70"/>
      <c r="I811" s="70"/>
      <c r="J811" s="70"/>
      <c r="K811" s="70"/>
      <c r="L811" s="70"/>
      <c r="M811" s="70"/>
      <c r="N811" s="70"/>
      <c r="O811" s="70"/>
      <c r="P811" s="70"/>
      <c r="Q811" s="70"/>
      <c r="R811" s="70"/>
      <c r="S811" s="70"/>
      <c r="T811" s="70"/>
      <c r="U811" s="64"/>
      <c r="V811" s="64"/>
      <c r="W811" s="70"/>
      <c r="X811" s="64"/>
      <c r="Y811" s="70"/>
      <c r="Z811" s="70"/>
      <c r="AA811" s="71"/>
      <c r="AB811" s="70"/>
      <c r="AC811" s="70"/>
      <c r="AD811" s="64"/>
      <c r="AE811" s="70"/>
      <c r="AF811" s="70"/>
      <c r="AG811" s="70"/>
      <c r="AH811" s="70"/>
    </row>
    <row r="812" spans="4:34" x14ac:dyDescent="0.2">
      <c r="D812" s="53"/>
      <c r="E812" s="70"/>
      <c r="F812" s="70"/>
      <c r="G812" s="70"/>
      <c r="H812" s="70"/>
      <c r="I812" s="70"/>
      <c r="J812" s="70"/>
      <c r="K812" s="70"/>
      <c r="L812" s="70"/>
      <c r="M812" s="70"/>
      <c r="N812" s="70"/>
      <c r="O812" s="70"/>
      <c r="P812" s="70"/>
      <c r="Q812" s="70"/>
      <c r="R812" s="70"/>
      <c r="S812" s="70"/>
      <c r="T812" s="70"/>
      <c r="U812" s="64"/>
      <c r="V812" s="64"/>
      <c r="W812" s="70"/>
      <c r="X812" s="64"/>
      <c r="Y812" s="70"/>
      <c r="Z812" s="70"/>
      <c r="AA812" s="71"/>
      <c r="AB812" s="70"/>
      <c r="AC812" s="70"/>
      <c r="AD812" s="64"/>
      <c r="AE812" s="70"/>
      <c r="AF812" s="70"/>
      <c r="AG812" s="70"/>
      <c r="AH812" s="70"/>
    </row>
    <row r="813" spans="4:34" x14ac:dyDescent="0.2">
      <c r="D813" s="53"/>
      <c r="E813" s="70"/>
      <c r="F813" s="70"/>
      <c r="G813" s="70"/>
      <c r="H813" s="70"/>
      <c r="I813" s="70"/>
      <c r="J813" s="70"/>
      <c r="K813" s="70"/>
      <c r="L813" s="70"/>
      <c r="M813" s="70"/>
      <c r="N813" s="70"/>
      <c r="O813" s="70"/>
      <c r="P813" s="70"/>
      <c r="Q813" s="70"/>
      <c r="R813" s="70"/>
      <c r="S813" s="70"/>
      <c r="T813" s="70"/>
      <c r="U813" s="64"/>
      <c r="V813" s="64"/>
      <c r="W813" s="70"/>
      <c r="X813" s="64"/>
      <c r="Y813" s="70"/>
      <c r="Z813" s="70"/>
      <c r="AA813" s="71"/>
      <c r="AB813" s="70"/>
      <c r="AC813" s="70"/>
      <c r="AD813" s="64"/>
      <c r="AE813" s="70"/>
      <c r="AF813" s="70"/>
      <c r="AG813" s="70"/>
      <c r="AH813" s="70"/>
    </row>
    <row r="814" spans="4:34" x14ac:dyDescent="0.2">
      <c r="D814" s="53"/>
      <c r="E814" s="70"/>
      <c r="F814" s="70"/>
      <c r="G814" s="70"/>
      <c r="H814" s="70"/>
      <c r="I814" s="70"/>
      <c r="J814" s="70"/>
      <c r="K814" s="70"/>
      <c r="L814" s="70"/>
      <c r="M814" s="70"/>
      <c r="N814" s="70"/>
      <c r="O814" s="70"/>
      <c r="P814" s="70"/>
      <c r="Q814" s="70"/>
      <c r="R814" s="70"/>
      <c r="S814" s="70"/>
      <c r="T814" s="70"/>
      <c r="U814" s="64"/>
      <c r="V814" s="64"/>
      <c r="W814" s="70"/>
      <c r="X814" s="64"/>
      <c r="Y814" s="70"/>
      <c r="Z814" s="70"/>
      <c r="AA814" s="71"/>
      <c r="AB814" s="70"/>
      <c r="AC814" s="70"/>
      <c r="AD814" s="64"/>
      <c r="AE814" s="70"/>
      <c r="AF814" s="70"/>
      <c r="AG814" s="70"/>
      <c r="AH814" s="70"/>
    </row>
    <row r="815" spans="4:34" x14ac:dyDescent="0.2">
      <c r="D815" s="53"/>
      <c r="E815" s="70"/>
      <c r="F815" s="70"/>
      <c r="G815" s="70"/>
      <c r="H815" s="70"/>
      <c r="I815" s="70"/>
      <c r="J815" s="70"/>
      <c r="K815" s="70"/>
      <c r="L815" s="70"/>
      <c r="M815" s="70"/>
      <c r="N815" s="70"/>
      <c r="O815" s="70"/>
      <c r="P815" s="70"/>
      <c r="Q815" s="70"/>
      <c r="R815" s="70"/>
      <c r="S815" s="70"/>
      <c r="T815" s="70"/>
      <c r="U815" s="64"/>
      <c r="V815" s="64"/>
      <c r="W815" s="70"/>
      <c r="X815" s="64"/>
      <c r="Y815" s="70"/>
      <c r="Z815" s="70"/>
      <c r="AA815" s="71"/>
      <c r="AB815" s="70"/>
      <c r="AC815" s="70"/>
      <c r="AD815" s="64"/>
      <c r="AE815" s="70"/>
      <c r="AF815" s="70"/>
      <c r="AG815" s="70"/>
      <c r="AH815" s="70"/>
    </row>
    <row r="816" spans="4:34" x14ac:dyDescent="0.2">
      <c r="D816" s="53"/>
      <c r="E816" s="70"/>
      <c r="F816" s="70"/>
      <c r="G816" s="70"/>
      <c r="H816" s="70"/>
      <c r="I816" s="70"/>
      <c r="J816" s="70"/>
      <c r="K816" s="70"/>
      <c r="L816" s="70"/>
      <c r="M816" s="70"/>
      <c r="N816" s="70"/>
      <c r="O816" s="70"/>
      <c r="P816" s="70"/>
      <c r="Q816" s="70"/>
      <c r="R816" s="70"/>
      <c r="S816" s="70"/>
      <c r="T816" s="70"/>
      <c r="U816" s="64"/>
      <c r="V816" s="64"/>
      <c r="W816" s="70"/>
      <c r="X816" s="64"/>
      <c r="Y816" s="70"/>
      <c r="Z816" s="70"/>
      <c r="AA816" s="71"/>
      <c r="AB816" s="70"/>
      <c r="AC816" s="70"/>
      <c r="AD816" s="64"/>
      <c r="AE816" s="70"/>
      <c r="AF816" s="70"/>
      <c r="AG816" s="70"/>
      <c r="AH816" s="70"/>
    </row>
    <row r="817" spans="4:34" x14ac:dyDescent="0.2">
      <c r="D817" s="53"/>
      <c r="E817" s="70"/>
      <c r="F817" s="70"/>
      <c r="G817" s="70"/>
      <c r="H817" s="70"/>
      <c r="I817" s="70"/>
      <c r="J817" s="70"/>
      <c r="K817" s="70"/>
      <c r="L817" s="70"/>
      <c r="M817" s="70"/>
      <c r="N817" s="70"/>
      <c r="O817" s="70"/>
      <c r="P817" s="70"/>
      <c r="Q817" s="70"/>
      <c r="R817" s="70"/>
      <c r="S817" s="70"/>
      <c r="T817" s="70"/>
      <c r="U817" s="64"/>
      <c r="V817" s="64"/>
      <c r="W817" s="70"/>
      <c r="X817" s="64"/>
      <c r="Y817" s="70"/>
      <c r="Z817" s="70"/>
      <c r="AA817" s="71"/>
      <c r="AB817" s="70"/>
      <c r="AC817" s="70"/>
      <c r="AD817" s="64"/>
      <c r="AE817" s="70"/>
      <c r="AF817" s="70"/>
      <c r="AG817" s="70"/>
      <c r="AH817" s="70"/>
    </row>
    <row r="818" spans="4:34" x14ac:dyDescent="0.2">
      <c r="D818" s="53"/>
      <c r="E818" s="70"/>
      <c r="F818" s="70"/>
      <c r="G818" s="70"/>
      <c r="H818" s="70"/>
      <c r="I818" s="70"/>
      <c r="J818" s="70"/>
      <c r="K818" s="70"/>
      <c r="L818" s="70"/>
      <c r="M818" s="70"/>
      <c r="N818" s="70"/>
      <c r="O818" s="70"/>
      <c r="P818" s="70"/>
      <c r="Q818" s="70"/>
      <c r="R818" s="70"/>
      <c r="S818" s="70"/>
      <c r="T818" s="70"/>
      <c r="U818" s="64"/>
      <c r="V818" s="64"/>
      <c r="W818" s="70"/>
      <c r="X818" s="64"/>
      <c r="Y818" s="70"/>
      <c r="Z818" s="70"/>
      <c r="AA818" s="71"/>
      <c r="AB818" s="70"/>
      <c r="AC818" s="70"/>
      <c r="AD818" s="64"/>
      <c r="AE818" s="70"/>
      <c r="AF818" s="70"/>
      <c r="AG818" s="70"/>
      <c r="AH818" s="70"/>
    </row>
    <row r="819" spans="4:34" x14ac:dyDescent="0.2">
      <c r="D819" s="53"/>
      <c r="E819" s="70"/>
      <c r="F819" s="70"/>
      <c r="G819" s="70"/>
      <c r="H819" s="70"/>
      <c r="I819" s="70"/>
      <c r="J819" s="70"/>
      <c r="K819" s="70"/>
      <c r="L819" s="70"/>
      <c r="M819" s="70"/>
      <c r="N819" s="70"/>
      <c r="O819" s="70"/>
      <c r="P819" s="70"/>
      <c r="Q819" s="70"/>
      <c r="R819" s="70"/>
      <c r="S819" s="70"/>
      <c r="T819" s="70"/>
      <c r="U819" s="64"/>
      <c r="V819" s="64"/>
      <c r="W819" s="70"/>
      <c r="X819" s="64"/>
      <c r="Y819" s="70"/>
      <c r="Z819" s="70"/>
      <c r="AA819" s="71"/>
      <c r="AB819" s="70"/>
      <c r="AC819" s="70"/>
      <c r="AD819" s="64"/>
      <c r="AE819" s="70"/>
      <c r="AF819" s="70"/>
      <c r="AG819" s="70"/>
      <c r="AH819" s="70"/>
    </row>
    <row r="820" spans="4:34" x14ac:dyDescent="0.2">
      <c r="D820" s="53"/>
      <c r="E820" s="70"/>
      <c r="F820" s="70"/>
      <c r="G820" s="70"/>
      <c r="H820" s="70"/>
      <c r="I820" s="70"/>
      <c r="J820" s="70"/>
      <c r="K820" s="70"/>
      <c r="L820" s="70"/>
      <c r="M820" s="70"/>
      <c r="N820" s="70"/>
      <c r="O820" s="70"/>
      <c r="P820" s="70"/>
      <c r="Q820" s="70"/>
      <c r="R820" s="70"/>
      <c r="S820" s="70"/>
      <c r="T820" s="70"/>
      <c r="U820" s="64"/>
      <c r="V820" s="64"/>
      <c r="W820" s="70"/>
      <c r="X820" s="64"/>
      <c r="Y820" s="70"/>
      <c r="Z820" s="70"/>
      <c r="AA820" s="71"/>
      <c r="AB820" s="70"/>
      <c r="AC820" s="70"/>
      <c r="AD820" s="64"/>
      <c r="AE820" s="70"/>
      <c r="AF820" s="70"/>
      <c r="AG820" s="70"/>
      <c r="AH820" s="70"/>
    </row>
    <row r="821" spans="4:34" x14ac:dyDescent="0.2">
      <c r="D821" s="53"/>
      <c r="E821" s="70"/>
      <c r="F821" s="70"/>
      <c r="G821" s="70"/>
      <c r="H821" s="70"/>
      <c r="I821" s="70"/>
      <c r="J821" s="70"/>
      <c r="K821" s="70"/>
      <c r="L821" s="70"/>
      <c r="M821" s="70"/>
      <c r="N821" s="70"/>
      <c r="O821" s="70"/>
      <c r="P821" s="70"/>
      <c r="Q821" s="70"/>
      <c r="R821" s="70"/>
      <c r="S821" s="70"/>
      <c r="T821" s="70"/>
      <c r="U821" s="64"/>
      <c r="V821" s="64"/>
      <c r="W821" s="70"/>
      <c r="X821" s="64"/>
      <c r="Y821" s="70"/>
      <c r="Z821" s="70"/>
      <c r="AA821" s="71"/>
      <c r="AB821" s="70"/>
      <c r="AC821" s="70"/>
      <c r="AD821" s="64"/>
      <c r="AE821" s="70"/>
      <c r="AF821" s="70"/>
      <c r="AG821" s="70"/>
      <c r="AH821" s="70"/>
    </row>
    <row r="822" spans="4:34" x14ac:dyDescent="0.2">
      <c r="D822" s="53"/>
      <c r="E822" s="70"/>
      <c r="F822" s="70"/>
      <c r="G822" s="70"/>
      <c r="H822" s="70"/>
      <c r="I822" s="70"/>
      <c r="J822" s="70"/>
      <c r="K822" s="70"/>
      <c r="L822" s="70"/>
      <c r="M822" s="70"/>
      <c r="N822" s="70"/>
      <c r="O822" s="70"/>
      <c r="P822" s="70"/>
      <c r="Q822" s="70"/>
      <c r="R822" s="70"/>
      <c r="S822" s="70"/>
      <c r="T822" s="70"/>
      <c r="U822" s="64"/>
      <c r="V822" s="64"/>
      <c r="W822" s="70"/>
      <c r="X822" s="64"/>
      <c r="Y822" s="70"/>
      <c r="Z822" s="70"/>
      <c r="AA822" s="71"/>
      <c r="AB822" s="70"/>
      <c r="AC822" s="70"/>
      <c r="AD822" s="64"/>
      <c r="AE822" s="70"/>
      <c r="AF822" s="70"/>
      <c r="AG822" s="70"/>
      <c r="AH822" s="70"/>
    </row>
    <row r="823" spans="4:34" x14ac:dyDescent="0.2">
      <c r="D823" s="53"/>
      <c r="E823" s="70"/>
      <c r="F823" s="70"/>
      <c r="G823" s="70"/>
      <c r="H823" s="70"/>
      <c r="I823" s="70"/>
      <c r="J823" s="70"/>
      <c r="K823" s="70"/>
      <c r="L823" s="70"/>
      <c r="M823" s="70"/>
      <c r="N823" s="70"/>
      <c r="O823" s="70"/>
      <c r="P823" s="70"/>
      <c r="Q823" s="70"/>
      <c r="R823" s="70"/>
      <c r="S823" s="70"/>
      <c r="T823" s="70"/>
      <c r="U823" s="64"/>
      <c r="V823" s="64"/>
      <c r="W823" s="70"/>
      <c r="X823" s="64"/>
      <c r="Y823" s="70"/>
      <c r="Z823" s="70"/>
      <c r="AA823" s="71"/>
      <c r="AB823" s="70"/>
      <c r="AC823" s="70"/>
      <c r="AD823" s="64"/>
      <c r="AE823" s="70"/>
      <c r="AF823" s="70"/>
      <c r="AG823" s="70"/>
      <c r="AH823" s="70"/>
    </row>
    <row r="824" spans="4:34" x14ac:dyDescent="0.2">
      <c r="D824" s="53"/>
      <c r="E824" s="70"/>
      <c r="F824" s="70"/>
      <c r="G824" s="70"/>
      <c r="H824" s="70"/>
      <c r="I824" s="70"/>
      <c r="J824" s="70"/>
      <c r="K824" s="70"/>
      <c r="L824" s="70"/>
      <c r="M824" s="70"/>
      <c r="N824" s="70"/>
      <c r="O824" s="70"/>
      <c r="P824" s="70"/>
      <c r="Q824" s="70"/>
      <c r="R824" s="70"/>
      <c r="S824" s="70"/>
      <c r="T824" s="70"/>
      <c r="U824" s="64"/>
      <c r="V824" s="64"/>
      <c r="W824" s="70"/>
      <c r="X824" s="64"/>
      <c r="Y824" s="70"/>
      <c r="Z824" s="70"/>
      <c r="AA824" s="71"/>
      <c r="AB824" s="70"/>
      <c r="AC824" s="70"/>
      <c r="AD824" s="64"/>
      <c r="AE824" s="70"/>
      <c r="AF824" s="70"/>
      <c r="AG824" s="70"/>
      <c r="AH824" s="70"/>
    </row>
    <row r="825" spans="4:34" x14ac:dyDescent="0.2">
      <c r="D825" s="53"/>
      <c r="E825" s="70"/>
      <c r="F825" s="70"/>
      <c r="G825" s="70"/>
      <c r="H825" s="70"/>
      <c r="I825" s="70"/>
      <c r="J825" s="70"/>
      <c r="K825" s="70"/>
      <c r="L825" s="70"/>
      <c r="M825" s="70"/>
      <c r="N825" s="70"/>
      <c r="O825" s="70"/>
      <c r="P825" s="70"/>
      <c r="Q825" s="70"/>
      <c r="R825" s="70"/>
      <c r="S825" s="70"/>
      <c r="T825" s="70"/>
      <c r="U825" s="64"/>
      <c r="V825" s="64"/>
      <c r="W825" s="70"/>
      <c r="X825" s="64"/>
      <c r="Y825" s="70"/>
      <c r="Z825" s="70"/>
      <c r="AA825" s="71"/>
      <c r="AB825" s="70"/>
      <c r="AC825" s="70"/>
      <c r="AD825" s="64"/>
      <c r="AE825" s="70"/>
      <c r="AF825" s="70"/>
      <c r="AG825" s="70"/>
      <c r="AH825" s="70"/>
    </row>
    <row r="826" spans="4:34" x14ac:dyDescent="0.2">
      <c r="D826" s="53"/>
      <c r="E826" s="70"/>
      <c r="F826" s="70"/>
      <c r="G826" s="70"/>
      <c r="H826" s="70"/>
      <c r="I826" s="70"/>
      <c r="J826" s="70"/>
      <c r="K826" s="70"/>
      <c r="L826" s="70"/>
      <c r="M826" s="70"/>
      <c r="N826" s="70"/>
      <c r="O826" s="70"/>
      <c r="P826" s="70"/>
      <c r="Q826" s="70"/>
      <c r="R826" s="70"/>
      <c r="S826" s="70"/>
      <c r="T826" s="70"/>
      <c r="U826" s="64"/>
      <c r="V826" s="64"/>
      <c r="W826" s="70"/>
      <c r="X826" s="64"/>
      <c r="Y826" s="70"/>
      <c r="Z826" s="70"/>
      <c r="AA826" s="71"/>
      <c r="AB826" s="70"/>
      <c r="AC826" s="70"/>
      <c r="AD826" s="64"/>
      <c r="AE826" s="70"/>
      <c r="AF826" s="70"/>
      <c r="AG826" s="70"/>
      <c r="AH826" s="70"/>
    </row>
    <row r="827" spans="4:34" x14ac:dyDescent="0.2">
      <c r="D827" s="53"/>
      <c r="E827" s="70"/>
      <c r="F827" s="70"/>
      <c r="G827" s="70"/>
      <c r="H827" s="70"/>
      <c r="I827" s="70"/>
      <c r="J827" s="70"/>
      <c r="K827" s="70"/>
      <c r="L827" s="70"/>
      <c r="M827" s="70"/>
      <c r="N827" s="70"/>
      <c r="O827" s="70"/>
      <c r="P827" s="70"/>
      <c r="Q827" s="70"/>
      <c r="R827" s="70"/>
      <c r="S827" s="70"/>
      <c r="T827" s="70"/>
      <c r="U827" s="64"/>
      <c r="V827" s="64"/>
      <c r="W827" s="70"/>
      <c r="X827" s="64"/>
      <c r="Y827" s="70"/>
      <c r="Z827" s="70"/>
      <c r="AA827" s="71"/>
      <c r="AB827" s="70"/>
      <c r="AC827" s="70"/>
      <c r="AD827" s="64"/>
      <c r="AE827" s="70"/>
      <c r="AF827" s="70"/>
      <c r="AG827" s="70"/>
      <c r="AH827" s="70"/>
    </row>
    <row r="828" spans="4:34" x14ac:dyDescent="0.2">
      <c r="D828" s="53"/>
      <c r="E828" s="70"/>
      <c r="F828" s="70"/>
      <c r="G828" s="70"/>
      <c r="H828" s="70"/>
      <c r="I828" s="70"/>
      <c r="J828" s="70"/>
      <c r="K828" s="70"/>
      <c r="L828" s="70"/>
      <c r="M828" s="70"/>
      <c r="N828" s="70"/>
      <c r="O828" s="70"/>
      <c r="P828" s="70"/>
      <c r="Q828" s="70"/>
      <c r="R828" s="70"/>
      <c r="S828" s="70"/>
      <c r="T828" s="70"/>
      <c r="U828" s="64"/>
      <c r="V828" s="64"/>
      <c r="W828" s="70"/>
      <c r="X828" s="64"/>
      <c r="Y828" s="70"/>
      <c r="Z828" s="70"/>
      <c r="AA828" s="71"/>
      <c r="AB828" s="70"/>
      <c r="AC828" s="70"/>
      <c r="AD828" s="64"/>
      <c r="AE828" s="70"/>
      <c r="AF828" s="70"/>
      <c r="AG828" s="70"/>
      <c r="AH828" s="70"/>
    </row>
    <row r="829" spans="4:34" x14ac:dyDescent="0.2">
      <c r="D829" s="53"/>
      <c r="E829" s="70"/>
      <c r="F829" s="70"/>
      <c r="G829" s="70"/>
      <c r="H829" s="70"/>
      <c r="I829" s="70"/>
      <c r="J829" s="70"/>
      <c r="K829" s="70"/>
      <c r="L829" s="70"/>
      <c r="M829" s="70"/>
      <c r="N829" s="70"/>
      <c r="O829" s="70"/>
      <c r="P829" s="70"/>
      <c r="Q829" s="70"/>
      <c r="R829" s="70"/>
      <c r="S829" s="70"/>
      <c r="T829" s="70"/>
      <c r="U829" s="64"/>
      <c r="V829" s="64"/>
      <c r="W829" s="70"/>
      <c r="X829" s="64"/>
      <c r="Y829" s="70"/>
      <c r="Z829" s="70"/>
      <c r="AA829" s="71"/>
      <c r="AB829" s="70"/>
      <c r="AC829" s="70"/>
      <c r="AD829" s="64"/>
      <c r="AE829" s="70"/>
      <c r="AF829" s="70"/>
      <c r="AG829" s="70"/>
      <c r="AH829" s="70"/>
    </row>
    <row r="830" spans="4:34" x14ac:dyDescent="0.2">
      <c r="D830" s="53"/>
      <c r="E830" s="70"/>
      <c r="F830" s="70"/>
      <c r="G830" s="70"/>
      <c r="H830" s="70"/>
      <c r="I830" s="70"/>
      <c r="J830" s="70"/>
      <c r="K830" s="70"/>
      <c r="L830" s="70"/>
      <c r="M830" s="70"/>
      <c r="N830" s="70"/>
      <c r="O830" s="70"/>
      <c r="P830" s="70"/>
      <c r="Q830" s="70"/>
      <c r="R830" s="70"/>
      <c r="S830" s="70"/>
      <c r="T830" s="70"/>
      <c r="U830" s="64"/>
      <c r="V830" s="64"/>
      <c r="W830" s="70"/>
      <c r="X830" s="64"/>
      <c r="Y830" s="70"/>
      <c r="Z830" s="70"/>
      <c r="AA830" s="71"/>
      <c r="AB830" s="70"/>
      <c r="AC830" s="70"/>
      <c r="AD830" s="64"/>
      <c r="AE830" s="70"/>
      <c r="AF830" s="70"/>
      <c r="AG830" s="70"/>
      <c r="AH830" s="70"/>
    </row>
    <row r="831" spans="4:34" x14ac:dyDescent="0.2">
      <c r="D831" s="53"/>
      <c r="E831" s="70"/>
      <c r="F831" s="70"/>
      <c r="G831" s="70"/>
      <c r="H831" s="70"/>
      <c r="I831" s="70"/>
      <c r="J831" s="70"/>
      <c r="K831" s="70"/>
      <c r="L831" s="70"/>
      <c r="M831" s="70"/>
      <c r="N831" s="70"/>
      <c r="O831" s="70"/>
      <c r="P831" s="70"/>
      <c r="Q831" s="70"/>
      <c r="R831" s="70"/>
      <c r="S831" s="70"/>
      <c r="T831" s="70"/>
      <c r="U831" s="64"/>
      <c r="V831" s="64"/>
      <c r="W831" s="70"/>
      <c r="X831" s="64"/>
      <c r="Y831" s="70"/>
      <c r="Z831" s="70"/>
      <c r="AA831" s="71"/>
      <c r="AB831" s="70"/>
      <c r="AC831" s="70"/>
      <c r="AD831" s="64"/>
      <c r="AE831" s="70"/>
      <c r="AF831" s="70"/>
      <c r="AG831" s="70"/>
      <c r="AH831" s="70"/>
    </row>
    <row r="832" spans="4:34" x14ac:dyDescent="0.2">
      <c r="D832" s="53"/>
      <c r="E832" s="70"/>
      <c r="F832" s="70"/>
      <c r="G832" s="70"/>
      <c r="H832" s="70"/>
      <c r="I832" s="70"/>
      <c r="J832" s="70"/>
      <c r="K832" s="70"/>
      <c r="L832" s="70"/>
      <c r="M832" s="70"/>
      <c r="N832" s="70"/>
      <c r="O832" s="70"/>
      <c r="P832" s="70"/>
      <c r="Q832" s="70"/>
      <c r="R832" s="70"/>
      <c r="S832" s="70"/>
      <c r="T832" s="70"/>
      <c r="U832" s="64"/>
      <c r="V832" s="64"/>
      <c r="W832" s="70"/>
      <c r="X832" s="64"/>
      <c r="Y832" s="70"/>
      <c r="Z832" s="70"/>
      <c r="AA832" s="71"/>
      <c r="AB832" s="70"/>
      <c r="AC832" s="70"/>
      <c r="AD832" s="64"/>
      <c r="AE832" s="70"/>
      <c r="AF832" s="70"/>
      <c r="AG832" s="70"/>
      <c r="AH832" s="70"/>
    </row>
    <row r="833" spans="4:34" x14ac:dyDescent="0.2">
      <c r="D833" s="53"/>
      <c r="E833" s="70"/>
      <c r="F833" s="70"/>
      <c r="G833" s="70"/>
      <c r="H833" s="70"/>
      <c r="I833" s="70"/>
      <c r="J833" s="70"/>
      <c r="K833" s="70"/>
      <c r="L833" s="70"/>
      <c r="M833" s="70"/>
      <c r="N833" s="70"/>
      <c r="O833" s="70"/>
      <c r="P833" s="70"/>
      <c r="Q833" s="70"/>
      <c r="R833" s="70"/>
      <c r="S833" s="70"/>
      <c r="T833" s="70"/>
      <c r="U833" s="64"/>
      <c r="V833" s="64"/>
      <c r="W833" s="70"/>
      <c r="X833" s="64"/>
      <c r="Y833" s="70"/>
      <c r="Z833" s="70"/>
      <c r="AA833" s="71"/>
      <c r="AB833" s="70"/>
      <c r="AC833" s="70"/>
      <c r="AD833" s="64"/>
      <c r="AE833" s="70"/>
      <c r="AF833" s="70"/>
      <c r="AG833" s="70"/>
      <c r="AH833" s="70"/>
    </row>
    <row r="834" spans="4:34" x14ac:dyDescent="0.2">
      <c r="D834" s="53"/>
      <c r="E834" s="70"/>
      <c r="F834" s="70"/>
      <c r="G834" s="70"/>
      <c r="H834" s="70"/>
      <c r="I834" s="70"/>
      <c r="J834" s="70"/>
      <c r="K834" s="70"/>
      <c r="L834" s="70"/>
      <c r="M834" s="70"/>
      <c r="N834" s="70"/>
      <c r="O834" s="70"/>
      <c r="P834" s="70"/>
      <c r="Q834" s="70"/>
      <c r="R834" s="70"/>
      <c r="S834" s="70"/>
      <c r="T834" s="70"/>
      <c r="U834" s="64"/>
      <c r="V834" s="64"/>
      <c r="W834" s="70"/>
      <c r="X834" s="64"/>
      <c r="Y834" s="70"/>
      <c r="Z834" s="70"/>
      <c r="AA834" s="71"/>
      <c r="AB834" s="70"/>
      <c r="AC834" s="70"/>
      <c r="AD834" s="64"/>
      <c r="AE834" s="70"/>
      <c r="AF834" s="70"/>
      <c r="AG834" s="70"/>
      <c r="AH834" s="70"/>
    </row>
    <row r="835" spans="4:34" x14ac:dyDescent="0.2">
      <c r="D835" s="53"/>
      <c r="E835" s="70"/>
      <c r="F835" s="70"/>
      <c r="G835" s="70"/>
      <c r="H835" s="70"/>
      <c r="I835" s="70"/>
      <c r="J835" s="70"/>
      <c r="K835" s="70"/>
      <c r="L835" s="70"/>
      <c r="M835" s="70"/>
      <c r="N835" s="70"/>
      <c r="O835" s="70"/>
      <c r="P835" s="70"/>
      <c r="Q835" s="70"/>
      <c r="R835" s="70"/>
      <c r="S835" s="70"/>
      <c r="T835" s="70"/>
      <c r="U835" s="64"/>
      <c r="V835" s="64"/>
      <c r="W835" s="70"/>
      <c r="X835" s="64"/>
      <c r="Y835" s="70"/>
      <c r="Z835" s="70"/>
      <c r="AA835" s="71"/>
      <c r="AB835" s="70"/>
      <c r="AC835" s="70"/>
      <c r="AD835" s="64"/>
      <c r="AE835" s="70"/>
      <c r="AF835" s="70"/>
      <c r="AG835" s="70"/>
      <c r="AH835" s="70"/>
    </row>
    <row r="836" spans="4:34" x14ac:dyDescent="0.2">
      <c r="D836" s="53"/>
      <c r="E836" s="70"/>
      <c r="F836" s="70"/>
      <c r="G836" s="70"/>
      <c r="H836" s="70"/>
      <c r="I836" s="70"/>
      <c r="J836" s="70"/>
      <c r="K836" s="70"/>
      <c r="L836" s="70"/>
      <c r="M836" s="70"/>
      <c r="N836" s="70"/>
      <c r="O836" s="70"/>
      <c r="P836" s="70"/>
      <c r="Q836" s="70"/>
      <c r="R836" s="70"/>
      <c r="S836" s="70"/>
      <c r="T836" s="70"/>
      <c r="U836" s="64"/>
      <c r="V836" s="64"/>
      <c r="W836" s="70"/>
      <c r="X836" s="64"/>
      <c r="Y836" s="70"/>
      <c r="Z836" s="70"/>
      <c r="AA836" s="71"/>
      <c r="AB836" s="70"/>
      <c r="AC836" s="70"/>
      <c r="AD836" s="64"/>
      <c r="AE836" s="70"/>
      <c r="AF836" s="70"/>
      <c r="AG836" s="70"/>
      <c r="AH836" s="70"/>
    </row>
    <row r="837" spans="4:34" x14ac:dyDescent="0.2">
      <c r="D837" s="53"/>
      <c r="E837" s="70"/>
      <c r="F837" s="70"/>
      <c r="G837" s="70"/>
      <c r="H837" s="70"/>
      <c r="I837" s="70"/>
      <c r="J837" s="70"/>
      <c r="K837" s="70"/>
      <c r="L837" s="70"/>
      <c r="M837" s="70"/>
      <c r="N837" s="70"/>
      <c r="O837" s="70"/>
      <c r="P837" s="70"/>
      <c r="Q837" s="70"/>
      <c r="R837" s="70"/>
      <c r="S837" s="70"/>
      <c r="T837" s="70"/>
      <c r="U837" s="64"/>
      <c r="V837" s="64"/>
      <c r="W837" s="70"/>
      <c r="X837" s="64"/>
      <c r="Y837" s="70"/>
      <c r="Z837" s="70"/>
      <c r="AA837" s="71"/>
      <c r="AB837" s="70"/>
      <c r="AC837" s="70"/>
      <c r="AD837" s="64"/>
      <c r="AE837" s="70"/>
      <c r="AF837" s="70"/>
      <c r="AG837" s="70"/>
      <c r="AH837" s="70"/>
    </row>
    <row r="838" spans="4:34" x14ac:dyDescent="0.2">
      <c r="D838" s="53"/>
      <c r="E838" s="70"/>
      <c r="F838" s="70"/>
      <c r="G838" s="70"/>
      <c r="H838" s="70"/>
      <c r="I838" s="70"/>
      <c r="J838" s="70"/>
      <c r="K838" s="70"/>
      <c r="L838" s="70"/>
      <c r="M838" s="70"/>
      <c r="N838" s="70"/>
      <c r="O838" s="70"/>
      <c r="P838" s="70"/>
      <c r="Q838" s="70"/>
      <c r="R838" s="70"/>
      <c r="S838" s="70"/>
      <c r="T838" s="70"/>
      <c r="U838" s="64"/>
      <c r="V838" s="64"/>
      <c r="W838" s="70"/>
      <c r="X838" s="64"/>
      <c r="Y838" s="70"/>
      <c r="Z838" s="70"/>
      <c r="AA838" s="71"/>
      <c r="AB838" s="70"/>
      <c r="AC838" s="70"/>
      <c r="AD838" s="64"/>
      <c r="AE838" s="70"/>
      <c r="AF838" s="70"/>
      <c r="AG838" s="70"/>
      <c r="AH838" s="70"/>
    </row>
    <row r="839" spans="4:34" x14ac:dyDescent="0.2">
      <c r="D839" s="53"/>
      <c r="E839" s="70"/>
      <c r="F839" s="70"/>
      <c r="G839" s="70"/>
      <c r="H839" s="70"/>
      <c r="I839" s="70"/>
      <c r="J839" s="70"/>
      <c r="K839" s="70"/>
      <c r="L839" s="70"/>
      <c r="M839" s="70"/>
      <c r="N839" s="70"/>
      <c r="O839" s="70"/>
      <c r="P839" s="70"/>
      <c r="Q839" s="70"/>
      <c r="R839" s="70"/>
      <c r="S839" s="70"/>
      <c r="T839" s="70"/>
      <c r="U839" s="64"/>
      <c r="V839" s="64"/>
      <c r="W839" s="70"/>
      <c r="X839" s="64"/>
      <c r="Y839" s="70"/>
      <c r="Z839" s="70"/>
      <c r="AA839" s="71"/>
      <c r="AB839" s="70"/>
      <c r="AC839" s="70"/>
      <c r="AD839" s="64"/>
      <c r="AE839" s="70"/>
      <c r="AF839" s="70"/>
      <c r="AG839" s="70"/>
      <c r="AH839" s="70"/>
    </row>
    <row r="840" spans="4:34" x14ac:dyDescent="0.2">
      <c r="D840" s="53"/>
      <c r="E840" s="70"/>
      <c r="F840" s="70"/>
      <c r="G840" s="70"/>
      <c r="H840" s="70"/>
      <c r="I840" s="70"/>
      <c r="J840" s="70"/>
      <c r="K840" s="70"/>
      <c r="L840" s="70"/>
      <c r="M840" s="70"/>
      <c r="N840" s="70"/>
      <c r="O840" s="70"/>
      <c r="P840" s="70"/>
      <c r="Q840" s="70"/>
      <c r="R840" s="70"/>
      <c r="S840" s="70"/>
      <c r="T840" s="70"/>
      <c r="U840" s="64"/>
      <c r="V840" s="64"/>
      <c r="W840" s="70"/>
      <c r="X840" s="64"/>
      <c r="Y840" s="70"/>
      <c r="Z840" s="70"/>
      <c r="AA840" s="71"/>
      <c r="AB840" s="70"/>
      <c r="AC840" s="70"/>
      <c r="AD840" s="64"/>
      <c r="AE840" s="70"/>
      <c r="AF840" s="70"/>
      <c r="AG840" s="70"/>
      <c r="AH840" s="70"/>
    </row>
    <row r="841" spans="4:34" x14ac:dyDescent="0.2">
      <c r="D841" s="53"/>
      <c r="E841" s="70"/>
      <c r="F841" s="70"/>
      <c r="G841" s="70"/>
      <c r="H841" s="70"/>
      <c r="I841" s="70"/>
      <c r="J841" s="70"/>
      <c r="K841" s="70"/>
      <c r="L841" s="70"/>
      <c r="M841" s="70"/>
      <c r="N841" s="70"/>
      <c r="O841" s="70"/>
      <c r="P841" s="70"/>
      <c r="Q841" s="70"/>
      <c r="R841" s="70"/>
      <c r="S841" s="70"/>
      <c r="T841" s="70"/>
      <c r="U841" s="64"/>
      <c r="V841" s="64"/>
      <c r="W841" s="70"/>
      <c r="X841" s="64"/>
      <c r="Y841" s="70"/>
      <c r="Z841" s="70"/>
      <c r="AA841" s="71"/>
      <c r="AB841" s="70"/>
      <c r="AC841" s="70"/>
      <c r="AD841" s="64"/>
      <c r="AE841" s="70"/>
      <c r="AF841" s="70"/>
      <c r="AG841" s="70"/>
      <c r="AH841" s="70"/>
    </row>
    <row r="842" spans="4:34" x14ac:dyDescent="0.2">
      <c r="D842" s="53"/>
      <c r="E842" s="70"/>
      <c r="F842" s="70"/>
      <c r="G842" s="70"/>
      <c r="H842" s="70"/>
      <c r="I842" s="70"/>
      <c r="J842" s="70"/>
      <c r="K842" s="70"/>
      <c r="L842" s="70"/>
      <c r="M842" s="70"/>
      <c r="N842" s="70"/>
      <c r="O842" s="70"/>
      <c r="P842" s="70"/>
      <c r="Q842" s="70"/>
      <c r="R842" s="70"/>
      <c r="S842" s="70"/>
      <c r="T842" s="70"/>
      <c r="U842" s="64"/>
      <c r="V842" s="64"/>
      <c r="W842" s="70"/>
      <c r="X842" s="64"/>
      <c r="Y842" s="70"/>
      <c r="Z842" s="70"/>
      <c r="AA842" s="71"/>
      <c r="AB842" s="70"/>
      <c r="AC842" s="70"/>
      <c r="AD842" s="64"/>
      <c r="AE842" s="70"/>
      <c r="AF842" s="70"/>
      <c r="AG842" s="70"/>
      <c r="AH842" s="70"/>
    </row>
    <row r="843" spans="4:34" x14ac:dyDescent="0.2">
      <c r="D843" s="53"/>
      <c r="E843" s="70"/>
      <c r="F843" s="70"/>
      <c r="G843" s="70"/>
      <c r="H843" s="70"/>
      <c r="I843" s="70"/>
      <c r="J843" s="70"/>
      <c r="K843" s="70"/>
      <c r="L843" s="70"/>
      <c r="M843" s="70"/>
      <c r="N843" s="70"/>
      <c r="O843" s="70"/>
      <c r="P843" s="70"/>
      <c r="Q843" s="70"/>
      <c r="R843" s="70"/>
      <c r="S843" s="70"/>
      <c r="T843" s="70"/>
      <c r="U843" s="64"/>
      <c r="V843" s="64"/>
      <c r="W843" s="70"/>
      <c r="X843" s="64"/>
      <c r="Y843" s="70"/>
      <c r="Z843" s="70"/>
      <c r="AA843" s="71"/>
      <c r="AB843" s="70"/>
      <c r="AC843" s="70"/>
      <c r="AD843" s="64"/>
      <c r="AE843" s="70"/>
      <c r="AF843" s="70"/>
      <c r="AG843" s="70"/>
      <c r="AH843" s="70"/>
    </row>
    <row r="844" spans="4:34" x14ac:dyDescent="0.2">
      <c r="D844" s="53"/>
      <c r="E844" s="70"/>
      <c r="F844" s="70"/>
      <c r="G844" s="70"/>
      <c r="H844" s="70"/>
      <c r="I844" s="70"/>
      <c r="J844" s="70"/>
      <c r="K844" s="70"/>
      <c r="L844" s="70"/>
      <c r="M844" s="70"/>
      <c r="N844" s="70"/>
      <c r="O844" s="70"/>
      <c r="P844" s="70"/>
      <c r="Q844" s="70"/>
      <c r="R844" s="70"/>
      <c r="S844" s="70"/>
      <c r="T844" s="70"/>
      <c r="U844" s="64"/>
      <c r="V844" s="64"/>
      <c r="W844" s="70"/>
      <c r="X844" s="64"/>
      <c r="Y844" s="70"/>
      <c r="Z844" s="70"/>
      <c r="AA844" s="71"/>
      <c r="AB844" s="70"/>
      <c r="AC844" s="70"/>
      <c r="AD844" s="64"/>
      <c r="AE844" s="70"/>
      <c r="AF844" s="70"/>
      <c r="AG844" s="70"/>
      <c r="AH844" s="70"/>
    </row>
    <row r="845" spans="4:34" x14ac:dyDescent="0.2">
      <c r="D845" s="53"/>
      <c r="E845" s="70"/>
      <c r="F845" s="70"/>
      <c r="G845" s="70"/>
      <c r="H845" s="70"/>
      <c r="I845" s="70"/>
      <c r="J845" s="70"/>
      <c r="K845" s="70"/>
      <c r="L845" s="70"/>
      <c r="M845" s="70"/>
      <c r="N845" s="70"/>
      <c r="O845" s="70"/>
      <c r="P845" s="70"/>
      <c r="Q845" s="70"/>
      <c r="R845" s="70"/>
      <c r="S845" s="70"/>
      <c r="T845" s="70"/>
      <c r="U845" s="64"/>
      <c r="V845" s="64"/>
      <c r="W845" s="70"/>
      <c r="X845" s="64"/>
      <c r="Y845" s="70"/>
      <c r="Z845" s="70"/>
      <c r="AA845" s="71"/>
      <c r="AB845" s="70"/>
      <c r="AC845" s="70"/>
      <c r="AD845" s="64"/>
      <c r="AE845" s="70"/>
      <c r="AF845" s="70"/>
      <c r="AG845" s="70"/>
      <c r="AH845" s="70"/>
    </row>
    <row r="846" spans="4:34" x14ac:dyDescent="0.2">
      <c r="D846" s="53"/>
      <c r="E846" s="70"/>
      <c r="F846" s="70"/>
      <c r="G846" s="70"/>
      <c r="H846" s="70"/>
      <c r="I846" s="70"/>
      <c r="J846" s="70"/>
      <c r="K846" s="70"/>
      <c r="L846" s="70"/>
      <c r="M846" s="70"/>
      <c r="N846" s="70"/>
      <c r="O846" s="70"/>
      <c r="P846" s="70"/>
      <c r="Q846" s="70"/>
      <c r="R846" s="70"/>
      <c r="S846" s="70"/>
      <c r="T846" s="70"/>
      <c r="U846" s="64"/>
      <c r="V846" s="64"/>
      <c r="W846" s="70"/>
      <c r="X846" s="64"/>
      <c r="Y846" s="70"/>
      <c r="Z846" s="70"/>
      <c r="AA846" s="71"/>
      <c r="AB846" s="70"/>
      <c r="AC846" s="70"/>
      <c r="AD846" s="64"/>
      <c r="AE846" s="70"/>
      <c r="AF846" s="70"/>
      <c r="AG846" s="70"/>
      <c r="AH846" s="70"/>
    </row>
    <row r="847" spans="4:34" x14ac:dyDescent="0.2">
      <c r="D847" s="53"/>
      <c r="E847" s="70"/>
      <c r="F847" s="70"/>
      <c r="G847" s="70"/>
      <c r="H847" s="70"/>
      <c r="I847" s="70"/>
      <c r="J847" s="70"/>
      <c r="K847" s="70"/>
      <c r="L847" s="70"/>
      <c r="M847" s="70"/>
      <c r="N847" s="70"/>
      <c r="O847" s="70"/>
      <c r="P847" s="70"/>
      <c r="Q847" s="70"/>
      <c r="R847" s="70"/>
      <c r="S847" s="70"/>
      <c r="T847" s="70"/>
      <c r="U847" s="64"/>
      <c r="V847" s="64"/>
      <c r="W847" s="70"/>
      <c r="X847" s="64"/>
      <c r="Y847" s="70"/>
      <c r="Z847" s="70"/>
      <c r="AA847" s="71"/>
      <c r="AB847" s="70"/>
      <c r="AC847" s="70"/>
      <c r="AD847" s="64"/>
      <c r="AE847" s="70"/>
      <c r="AF847" s="70"/>
      <c r="AG847" s="70"/>
      <c r="AH847" s="70"/>
    </row>
    <row r="848" spans="4:34" x14ac:dyDescent="0.2">
      <c r="D848" s="53"/>
      <c r="E848" s="70"/>
      <c r="F848" s="70"/>
      <c r="G848" s="70"/>
      <c r="H848" s="70"/>
      <c r="I848" s="70"/>
      <c r="J848" s="70"/>
      <c r="K848" s="70"/>
      <c r="L848" s="70"/>
      <c r="M848" s="70"/>
      <c r="N848" s="70"/>
      <c r="O848" s="70"/>
      <c r="P848" s="70"/>
      <c r="Q848" s="70"/>
      <c r="R848" s="70"/>
      <c r="S848" s="70"/>
      <c r="T848" s="70"/>
      <c r="U848" s="64"/>
      <c r="V848" s="64"/>
      <c r="W848" s="70"/>
      <c r="X848" s="64"/>
      <c r="Y848" s="70"/>
      <c r="Z848" s="70"/>
      <c r="AA848" s="71"/>
      <c r="AB848" s="70"/>
      <c r="AC848" s="70"/>
      <c r="AD848" s="64"/>
      <c r="AE848" s="70"/>
      <c r="AF848" s="70"/>
      <c r="AG848" s="70"/>
      <c r="AH848" s="70"/>
    </row>
    <row r="849" spans="4:34" x14ac:dyDescent="0.2">
      <c r="D849" s="53"/>
      <c r="E849" s="70"/>
      <c r="F849" s="70"/>
      <c r="G849" s="70"/>
      <c r="H849" s="70"/>
      <c r="I849" s="70"/>
      <c r="J849" s="70"/>
      <c r="K849" s="70"/>
      <c r="L849" s="70"/>
      <c r="M849" s="70"/>
      <c r="N849" s="70"/>
      <c r="O849" s="70"/>
      <c r="P849" s="70"/>
      <c r="Q849" s="70"/>
      <c r="R849" s="70"/>
      <c r="S849" s="70"/>
      <c r="T849" s="70"/>
      <c r="U849" s="64"/>
      <c r="V849" s="64"/>
      <c r="W849" s="70"/>
      <c r="X849" s="64"/>
      <c r="Y849" s="70"/>
      <c r="Z849" s="70"/>
      <c r="AA849" s="71"/>
      <c r="AB849" s="70"/>
      <c r="AC849" s="70"/>
      <c r="AD849" s="64"/>
      <c r="AE849" s="70"/>
      <c r="AF849" s="70"/>
      <c r="AG849" s="70"/>
      <c r="AH849" s="70"/>
    </row>
    <row r="850" spans="4:34" x14ac:dyDescent="0.2">
      <c r="D850" s="53"/>
      <c r="E850" s="70"/>
      <c r="F850" s="70"/>
      <c r="G850" s="70"/>
      <c r="H850" s="70"/>
      <c r="I850" s="70"/>
      <c r="J850" s="70"/>
      <c r="K850" s="70"/>
      <c r="L850" s="70"/>
      <c r="M850" s="70"/>
      <c r="N850" s="70"/>
      <c r="O850" s="70"/>
      <c r="P850" s="70"/>
      <c r="Q850" s="70"/>
      <c r="R850" s="70"/>
      <c r="S850" s="70"/>
      <c r="T850" s="70"/>
      <c r="U850" s="64"/>
      <c r="V850" s="64"/>
      <c r="W850" s="70"/>
      <c r="X850" s="64"/>
      <c r="Y850" s="70"/>
      <c r="Z850" s="70"/>
      <c r="AA850" s="71"/>
      <c r="AB850" s="70"/>
      <c r="AC850" s="70"/>
      <c r="AD850" s="64"/>
      <c r="AE850" s="70"/>
      <c r="AF850" s="70"/>
      <c r="AG850" s="70"/>
      <c r="AH850" s="70"/>
    </row>
    <row r="851" spans="4:34" x14ac:dyDescent="0.2">
      <c r="D851" s="53"/>
      <c r="E851" s="70"/>
      <c r="F851" s="70"/>
      <c r="G851" s="70"/>
      <c r="H851" s="70"/>
      <c r="I851" s="70"/>
      <c r="J851" s="70"/>
      <c r="K851" s="70"/>
      <c r="L851" s="70"/>
      <c r="M851" s="70"/>
      <c r="N851" s="70"/>
      <c r="O851" s="70"/>
      <c r="P851" s="70"/>
      <c r="Q851" s="70"/>
      <c r="R851" s="70"/>
      <c r="S851" s="70"/>
      <c r="T851" s="70"/>
      <c r="U851" s="64"/>
      <c r="V851" s="64"/>
      <c r="W851" s="70"/>
      <c r="X851" s="64"/>
      <c r="Y851" s="70"/>
      <c r="Z851" s="70"/>
      <c r="AA851" s="71"/>
      <c r="AB851" s="70"/>
      <c r="AC851" s="70"/>
      <c r="AD851" s="64"/>
      <c r="AE851" s="70"/>
      <c r="AF851" s="70"/>
      <c r="AG851" s="70"/>
      <c r="AH851" s="70"/>
    </row>
    <row r="852" spans="4:34" x14ac:dyDescent="0.2">
      <c r="D852" s="53"/>
      <c r="E852" s="70"/>
      <c r="F852" s="70"/>
      <c r="G852" s="70"/>
      <c r="H852" s="70"/>
      <c r="I852" s="70"/>
      <c r="J852" s="70"/>
      <c r="K852" s="70"/>
      <c r="L852" s="70"/>
      <c r="M852" s="70"/>
      <c r="N852" s="70"/>
      <c r="O852" s="70"/>
      <c r="P852" s="70"/>
      <c r="Q852" s="70"/>
      <c r="R852" s="70"/>
      <c r="S852" s="70"/>
      <c r="T852" s="70"/>
      <c r="U852" s="64"/>
      <c r="V852" s="64"/>
      <c r="W852" s="70"/>
      <c r="X852" s="64"/>
      <c r="Y852" s="70"/>
      <c r="Z852" s="70"/>
      <c r="AA852" s="71"/>
      <c r="AB852" s="70"/>
      <c r="AC852" s="70"/>
      <c r="AD852" s="64"/>
      <c r="AE852" s="70"/>
      <c r="AF852" s="70"/>
      <c r="AG852" s="70"/>
      <c r="AH852" s="70"/>
    </row>
    <row r="853" spans="4:34" x14ac:dyDescent="0.2">
      <c r="D853" s="53"/>
      <c r="E853" s="70"/>
      <c r="F853" s="70"/>
      <c r="G853" s="70"/>
      <c r="H853" s="70"/>
      <c r="I853" s="70"/>
      <c r="J853" s="70"/>
      <c r="K853" s="70"/>
      <c r="L853" s="70"/>
      <c r="M853" s="70"/>
      <c r="N853" s="70"/>
      <c r="O853" s="70"/>
      <c r="P853" s="70"/>
      <c r="Q853" s="70"/>
      <c r="R853" s="70"/>
      <c r="S853" s="70"/>
      <c r="T853" s="70"/>
      <c r="U853" s="64"/>
      <c r="V853" s="64"/>
      <c r="W853" s="70"/>
      <c r="X853" s="64"/>
      <c r="Y853" s="70"/>
      <c r="Z853" s="70"/>
      <c r="AA853" s="71"/>
      <c r="AB853" s="70"/>
      <c r="AC853" s="70"/>
      <c r="AD853" s="64"/>
      <c r="AE853" s="70"/>
      <c r="AF853" s="70"/>
      <c r="AG853" s="70"/>
      <c r="AH853" s="70"/>
    </row>
    <row r="854" spans="4:34" x14ac:dyDescent="0.2">
      <c r="D854" s="53"/>
      <c r="E854" s="70"/>
      <c r="F854" s="70"/>
      <c r="G854" s="70"/>
      <c r="H854" s="70"/>
      <c r="I854" s="70"/>
      <c r="J854" s="70"/>
      <c r="K854" s="70"/>
      <c r="L854" s="70"/>
      <c r="M854" s="70"/>
      <c r="N854" s="70"/>
      <c r="O854" s="70"/>
      <c r="P854" s="70"/>
      <c r="Q854" s="70"/>
      <c r="R854" s="70"/>
      <c r="S854" s="70"/>
      <c r="T854" s="70"/>
      <c r="U854" s="64"/>
      <c r="V854" s="64"/>
      <c r="W854" s="70"/>
      <c r="X854" s="64"/>
      <c r="Y854" s="70"/>
      <c r="Z854" s="70"/>
      <c r="AA854" s="71"/>
      <c r="AB854" s="70"/>
      <c r="AC854" s="70"/>
      <c r="AD854" s="64"/>
      <c r="AE854" s="70"/>
      <c r="AF854" s="70"/>
      <c r="AG854" s="70"/>
      <c r="AH854" s="70"/>
    </row>
    <row r="855" spans="4:34" x14ac:dyDescent="0.2">
      <c r="D855" s="53"/>
      <c r="E855" s="70"/>
      <c r="F855" s="70"/>
      <c r="G855" s="70"/>
      <c r="H855" s="70"/>
      <c r="I855" s="70"/>
      <c r="J855" s="70"/>
      <c r="K855" s="70"/>
      <c r="L855" s="70"/>
      <c r="M855" s="70"/>
      <c r="N855" s="70"/>
      <c r="O855" s="70"/>
      <c r="P855" s="70"/>
      <c r="Q855" s="70"/>
      <c r="R855" s="70"/>
      <c r="S855" s="70"/>
      <c r="T855" s="70"/>
      <c r="U855" s="64"/>
      <c r="V855" s="64"/>
      <c r="W855" s="70"/>
      <c r="X855" s="64"/>
      <c r="Y855" s="70"/>
      <c r="Z855" s="70"/>
      <c r="AA855" s="71"/>
      <c r="AB855" s="70"/>
      <c r="AC855" s="70"/>
      <c r="AD855" s="64"/>
      <c r="AE855" s="70"/>
      <c r="AF855" s="70"/>
      <c r="AG855" s="70"/>
      <c r="AH855" s="70"/>
    </row>
    <row r="856" spans="4:34" x14ac:dyDescent="0.2">
      <c r="D856" s="53"/>
      <c r="E856" s="70"/>
      <c r="F856" s="70"/>
      <c r="G856" s="70"/>
      <c r="H856" s="70"/>
      <c r="I856" s="70"/>
      <c r="J856" s="70"/>
      <c r="K856" s="70"/>
      <c r="L856" s="70"/>
      <c r="M856" s="70"/>
      <c r="N856" s="70"/>
      <c r="O856" s="70"/>
      <c r="P856" s="70"/>
      <c r="Q856" s="70"/>
      <c r="R856" s="70"/>
      <c r="S856" s="70"/>
      <c r="T856" s="70"/>
      <c r="U856" s="64"/>
      <c r="V856" s="64"/>
      <c r="W856" s="70"/>
      <c r="X856" s="64"/>
      <c r="Y856" s="70"/>
      <c r="Z856" s="70"/>
      <c r="AA856" s="71"/>
      <c r="AB856" s="70"/>
      <c r="AC856" s="70"/>
      <c r="AD856" s="64"/>
      <c r="AE856" s="70"/>
      <c r="AF856" s="70"/>
      <c r="AG856" s="70"/>
      <c r="AH856" s="70"/>
    </row>
    <row r="857" spans="4:34" x14ac:dyDescent="0.2">
      <c r="D857" s="53"/>
      <c r="E857" s="70"/>
      <c r="F857" s="70"/>
      <c r="G857" s="70"/>
      <c r="H857" s="70"/>
      <c r="I857" s="70"/>
      <c r="J857" s="70"/>
      <c r="K857" s="70"/>
      <c r="L857" s="70"/>
      <c r="M857" s="70"/>
      <c r="N857" s="70"/>
      <c r="O857" s="70"/>
      <c r="P857" s="70"/>
      <c r="Q857" s="70"/>
      <c r="R857" s="70"/>
      <c r="S857" s="70"/>
      <c r="T857" s="70"/>
      <c r="U857" s="64"/>
      <c r="V857" s="64"/>
      <c r="W857" s="70"/>
      <c r="X857" s="64"/>
      <c r="Y857" s="70"/>
      <c r="Z857" s="70"/>
      <c r="AA857" s="71"/>
      <c r="AB857" s="70"/>
      <c r="AC857" s="70"/>
      <c r="AD857" s="64"/>
      <c r="AE857" s="70"/>
      <c r="AF857" s="70"/>
      <c r="AG857" s="70"/>
      <c r="AH857" s="70"/>
    </row>
    <row r="858" spans="4:34" x14ac:dyDescent="0.2">
      <c r="D858" s="53"/>
      <c r="E858" s="70"/>
      <c r="F858" s="70"/>
      <c r="G858" s="70"/>
      <c r="H858" s="70"/>
      <c r="I858" s="70"/>
      <c r="J858" s="70"/>
      <c r="K858" s="70"/>
      <c r="L858" s="70"/>
      <c r="M858" s="70"/>
      <c r="N858" s="70"/>
      <c r="O858" s="70"/>
      <c r="P858" s="70"/>
      <c r="Q858" s="70"/>
      <c r="R858" s="70"/>
      <c r="S858" s="70"/>
      <c r="T858" s="70"/>
      <c r="U858" s="64"/>
      <c r="V858" s="64"/>
      <c r="W858" s="70"/>
      <c r="X858" s="64"/>
      <c r="Y858" s="70"/>
      <c r="Z858" s="70"/>
      <c r="AA858" s="71"/>
      <c r="AB858" s="70"/>
      <c r="AC858" s="70"/>
      <c r="AD858" s="64"/>
      <c r="AE858" s="70"/>
      <c r="AF858" s="70"/>
      <c r="AG858" s="70"/>
      <c r="AH858" s="70"/>
    </row>
    <row r="859" spans="4:34" x14ac:dyDescent="0.2">
      <c r="D859" s="53"/>
      <c r="E859" s="70"/>
      <c r="F859" s="70"/>
      <c r="G859" s="70"/>
      <c r="H859" s="70"/>
      <c r="I859" s="70"/>
      <c r="J859" s="70"/>
      <c r="K859" s="70"/>
      <c r="L859" s="70"/>
      <c r="M859" s="70"/>
      <c r="N859" s="70"/>
      <c r="O859" s="70"/>
      <c r="P859" s="70"/>
      <c r="Q859" s="70"/>
      <c r="R859" s="70"/>
      <c r="S859" s="70"/>
      <c r="T859" s="70"/>
      <c r="U859" s="64"/>
      <c r="V859" s="64"/>
      <c r="W859" s="70"/>
      <c r="X859" s="64"/>
      <c r="Y859" s="70"/>
      <c r="Z859" s="70"/>
      <c r="AA859" s="71"/>
      <c r="AB859" s="70"/>
      <c r="AC859" s="70"/>
      <c r="AD859" s="64"/>
      <c r="AE859" s="70"/>
      <c r="AF859" s="70"/>
      <c r="AG859" s="70"/>
      <c r="AH859" s="70"/>
    </row>
    <row r="860" spans="4:34" x14ac:dyDescent="0.2">
      <c r="D860" s="53"/>
      <c r="E860" s="70"/>
      <c r="F860" s="70"/>
      <c r="G860" s="70"/>
      <c r="H860" s="70"/>
      <c r="I860" s="70"/>
      <c r="J860" s="70"/>
      <c r="K860" s="70"/>
      <c r="L860" s="70"/>
      <c r="M860" s="70"/>
      <c r="N860" s="70"/>
      <c r="O860" s="70"/>
      <c r="P860" s="70"/>
      <c r="Q860" s="70"/>
      <c r="R860" s="70"/>
      <c r="S860" s="70"/>
      <c r="T860" s="70"/>
      <c r="U860" s="64"/>
      <c r="V860" s="64"/>
      <c r="W860" s="70"/>
      <c r="X860" s="64"/>
      <c r="Y860" s="70"/>
      <c r="Z860" s="70"/>
      <c r="AA860" s="71"/>
      <c r="AB860" s="70"/>
      <c r="AC860" s="70"/>
      <c r="AD860" s="64"/>
      <c r="AE860" s="70"/>
      <c r="AF860" s="70"/>
      <c r="AG860" s="70"/>
      <c r="AH860" s="70"/>
    </row>
    <row r="861" spans="4:34" x14ac:dyDescent="0.2">
      <c r="D861" s="53"/>
      <c r="E861" s="70"/>
      <c r="F861" s="70"/>
      <c r="G861" s="70"/>
      <c r="H861" s="70"/>
      <c r="I861" s="70"/>
      <c r="J861" s="70"/>
      <c r="K861" s="70"/>
      <c r="L861" s="70"/>
      <c r="M861" s="70"/>
      <c r="N861" s="70"/>
      <c r="O861" s="70"/>
      <c r="P861" s="70"/>
      <c r="Q861" s="70"/>
      <c r="R861" s="70"/>
      <c r="S861" s="70"/>
      <c r="T861" s="70"/>
      <c r="U861" s="64"/>
      <c r="V861" s="64"/>
      <c r="W861" s="70"/>
      <c r="X861" s="64"/>
      <c r="Y861" s="70"/>
      <c r="Z861" s="70"/>
      <c r="AA861" s="71"/>
      <c r="AB861" s="70"/>
      <c r="AC861" s="70"/>
      <c r="AD861" s="64"/>
      <c r="AE861" s="70"/>
      <c r="AF861" s="70"/>
      <c r="AG861" s="70"/>
      <c r="AH861" s="70"/>
    </row>
    <row r="862" spans="4:34" x14ac:dyDescent="0.2">
      <c r="D862" s="53"/>
      <c r="E862" s="70"/>
      <c r="F862" s="70"/>
      <c r="G862" s="70"/>
      <c r="H862" s="70"/>
      <c r="I862" s="70"/>
      <c r="J862" s="70"/>
      <c r="K862" s="70"/>
      <c r="L862" s="70"/>
      <c r="M862" s="70"/>
      <c r="N862" s="70"/>
      <c r="O862" s="70"/>
      <c r="P862" s="70"/>
      <c r="Q862" s="70"/>
      <c r="R862" s="70"/>
      <c r="S862" s="70"/>
      <c r="T862" s="70"/>
      <c r="U862" s="64"/>
      <c r="V862" s="64"/>
      <c r="W862" s="70"/>
      <c r="X862" s="64"/>
      <c r="Y862" s="70"/>
      <c r="Z862" s="70"/>
      <c r="AA862" s="71"/>
      <c r="AB862" s="70"/>
      <c r="AC862" s="70"/>
      <c r="AD862" s="64"/>
      <c r="AE862" s="70"/>
      <c r="AF862" s="70"/>
      <c r="AG862" s="70"/>
      <c r="AH862" s="70"/>
    </row>
    <row r="863" spans="4:34" x14ac:dyDescent="0.2">
      <c r="D863" s="53"/>
      <c r="E863" s="70"/>
      <c r="F863" s="70"/>
      <c r="G863" s="70"/>
      <c r="H863" s="70"/>
      <c r="I863" s="70"/>
      <c r="J863" s="70"/>
      <c r="K863" s="70"/>
      <c r="L863" s="70"/>
      <c r="M863" s="70"/>
      <c r="N863" s="70"/>
      <c r="O863" s="70"/>
      <c r="P863" s="70"/>
      <c r="Q863" s="70"/>
      <c r="R863" s="70"/>
      <c r="S863" s="70"/>
      <c r="T863" s="70"/>
      <c r="U863" s="64"/>
      <c r="V863" s="64"/>
      <c r="W863" s="70"/>
      <c r="X863" s="64"/>
      <c r="Y863" s="70"/>
      <c r="Z863" s="70"/>
      <c r="AA863" s="71"/>
      <c r="AB863" s="70"/>
      <c r="AC863" s="70"/>
      <c r="AD863" s="64"/>
      <c r="AE863" s="70"/>
      <c r="AF863" s="70"/>
      <c r="AG863" s="70"/>
      <c r="AH863" s="70"/>
    </row>
    <row r="864" spans="4:34" x14ac:dyDescent="0.2">
      <c r="D864" s="53"/>
      <c r="E864" s="70"/>
      <c r="F864" s="70"/>
      <c r="G864" s="70"/>
      <c r="H864" s="70"/>
      <c r="I864" s="70"/>
      <c r="J864" s="70"/>
      <c r="K864" s="70"/>
      <c r="L864" s="70"/>
      <c r="M864" s="70"/>
      <c r="N864" s="70"/>
      <c r="O864" s="70"/>
      <c r="P864" s="70"/>
      <c r="Q864" s="70"/>
      <c r="R864" s="70"/>
      <c r="S864" s="70"/>
      <c r="T864" s="70"/>
      <c r="U864" s="64"/>
      <c r="V864" s="64"/>
      <c r="W864" s="70"/>
      <c r="X864" s="64"/>
      <c r="Y864" s="70"/>
      <c r="Z864" s="70"/>
      <c r="AA864" s="71"/>
      <c r="AB864" s="70"/>
      <c r="AC864" s="70"/>
      <c r="AD864" s="64"/>
      <c r="AE864" s="70"/>
      <c r="AF864" s="70"/>
      <c r="AG864" s="70"/>
      <c r="AH864" s="70"/>
    </row>
    <row r="865" spans="4:34" x14ac:dyDescent="0.2">
      <c r="D865" s="53"/>
      <c r="E865" s="70"/>
      <c r="F865" s="70"/>
      <c r="G865" s="70"/>
      <c r="H865" s="70"/>
      <c r="I865" s="70"/>
      <c r="J865" s="70"/>
      <c r="K865" s="70"/>
      <c r="L865" s="70"/>
      <c r="M865" s="70"/>
      <c r="N865" s="70"/>
      <c r="O865" s="70"/>
      <c r="P865" s="70"/>
      <c r="Q865" s="70"/>
      <c r="R865" s="70"/>
      <c r="S865" s="70"/>
      <c r="T865" s="70"/>
      <c r="U865" s="64"/>
      <c r="V865" s="64"/>
      <c r="W865" s="70"/>
      <c r="X865" s="64"/>
      <c r="Y865" s="70"/>
      <c r="Z865" s="70"/>
      <c r="AA865" s="71"/>
      <c r="AB865" s="70"/>
      <c r="AC865" s="70"/>
      <c r="AD865" s="64"/>
      <c r="AE865" s="70"/>
      <c r="AF865" s="70"/>
      <c r="AG865" s="70"/>
      <c r="AH865" s="70"/>
    </row>
    <row r="866" spans="4:34" x14ac:dyDescent="0.2">
      <c r="D866" s="53"/>
      <c r="E866" s="70"/>
      <c r="F866" s="70"/>
      <c r="G866" s="70"/>
      <c r="H866" s="70"/>
      <c r="I866" s="70"/>
      <c r="J866" s="70"/>
      <c r="K866" s="70"/>
      <c r="L866" s="70"/>
      <c r="M866" s="70"/>
      <c r="N866" s="70"/>
      <c r="O866" s="70"/>
      <c r="P866" s="70"/>
      <c r="Q866" s="70"/>
      <c r="R866" s="70"/>
      <c r="S866" s="70"/>
      <c r="T866" s="70"/>
      <c r="U866" s="64"/>
      <c r="V866" s="64"/>
      <c r="W866" s="70"/>
      <c r="X866" s="64"/>
      <c r="Y866" s="70"/>
      <c r="Z866" s="70"/>
      <c r="AA866" s="71"/>
      <c r="AB866" s="70"/>
      <c r="AC866" s="70"/>
      <c r="AD866" s="64"/>
      <c r="AE866" s="70"/>
      <c r="AF866" s="70"/>
      <c r="AG866" s="70"/>
      <c r="AH866" s="70"/>
    </row>
    <row r="867" spans="4:34" x14ac:dyDescent="0.2">
      <c r="D867" s="53"/>
      <c r="E867" s="70"/>
      <c r="F867" s="70"/>
      <c r="G867" s="70"/>
      <c r="H867" s="70"/>
      <c r="I867" s="70"/>
      <c r="J867" s="70"/>
      <c r="K867" s="70"/>
      <c r="L867" s="70"/>
      <c r="M867" s="70"/>
      <c r="N867" s="70"/>
      <c r="O867" s="70"/>
      <c r="P867" s="70"/>
      <c r="Q867" s="70"/>
      <c r="R867" s="70"/>
      <c r="S867" s="70"/>
      <c r="T867" s="70"/>
      <c r="U867" s="64"/>
      <c r="V867" s="64"/>
      <c r="W867" s="70"/>
      <c r="X867" s="64"/>
      <c r="Y867" s="70"/>
      <c r="Z867" s="70"/>
      <c r="AA867" s="71"/>
      <c r="AB867" s="70"/>
      <c r="AC867" s="70"/>
      <c r="AD867" s="64"/>
      <c r="AE867" s="70"/>
      <c r="AF867" s="70"/>
      <c r="AG867" s="70"/>
      <c r="AH867" s="70"/>
    </row>
    <row r="868" spans="4:34" x14ac:dyDescent="0.2">
      <c r="D868" s="53"/>
      <c r="E868" s="70"/>
      <c r="F868" s="70"/>
      <c r="G868" s="70"/>
      <c r="H868" s="70"/>
      <c r="I868" s="70"/>
      <c r="J868" s="70"/>
      <c r="K868" s="70"/>
      <c r="L868" s="70"/>
      <c r="M868" s="70"/>
      <c r="N868" s="70"/>
      <c r="O868" s="70"/>
      <c r="P868" s="70"/>
      <c r="Q868" s="70"/>
      <c r="R868" s="70"/>
      <c r="S868" s="70"/>
      <c r="T868" s="70"/>
      <c r="U868" s="64"/>
      <c r="V868" s="64"/>
      <c r="W868" s="70"/>
      <c r="X868" s="64"/>
      <c r="Y868" s="70"/>
      <c r="Z868" s="70"/>
      <c r="AA868" s="71"/>
      <c r="AB868" s="70"/>
      <c r="AC868" s="70"/>
      <c r="AD868" s="64"/>
      <c r="AE868" s="70"/>
      <c r="AF868" s="70"/>
      <c r="AG868" s="70"/>
      <c r="AH868" s="70"/>
    </row>
    <row r="869" spans="4:34" x14ac:dyDescent="0.2">
      <c r="D869" s="53"/>
      <c r="E869" s="70"/>
      <c r="F869" s="70"/>
      <c r="G869" s="70"/>
      <c r="H869" s="70"/>
      <c r="I869" s="70"/>
      <c r="J869" s="70"/>
      <c r="K869" s="70"/>
      <c r="L869" s="70"/>
      <c r="M869" s="70"/>
      <c r="N869" s="70"/>
      <c r="O869" s="70"/>
      <c r="P869" s="70"/>
      <c r="Q869" s="70"/>
      <c r="R869" s="70"/>
      <c r="S869" s="70"/>
      <c r="T869" s="70"/>
      <c r="U869" s="64"/>
      <c r="V869" s="64"/>
      <c r="W869" s="70"/>
      <c r="X869" s="64"/>
      <c r="Y869" s="70"/>
      <c r="Z869" s="70"/>
      <c r="AA869" s="71"/>
      <c r="AB869" s="70"/>
      <c r="AC869" s="70"/>
      <c r="AD869" s="64"/>
      <c r="AE869" s="70"/>
      <c r="AF869" s="70"/>
      <c r="AG869" s="70"/>
      <c r="AH869" s="70"/>
    </row>
    <row r="870" spans="4:34" x14ac:dyDescent="0.2">
      <c r="D870" s="53"/>
      <c r="E870" s="70"/>
      <c r="F870" s="70"/>
      <c r="G870" s="70"/>
      <c r="H870" s="70"/>
      <c r="I870" s="70"/>
      <c r="J870" s="70"/>
      <c r="K870" s="70"/>
      <c r="L870" s="70"/>
      <c r="M870" s="70"/>
      <c r="N870" s="70"/>
      <c r="O870" s="70"/>
      <c r="P870" s="70"/>
      <c r="Q870" s="70"/>
      <c r="R870" s="70"/>
      <c r="S870" s="70"/>
      <c r="T870" s="70"/>
      <c r="U870" s="64"/>
      <c r="V870" s="64"/>
      <c r="W870" s="70"/>
      <c r="X870" s="64"/>
      <c r="Y870" s="70"/>
      <c r="Z870" s="70"/>
      <c r="AA870" s="71"/>
      <c r="AB870" s="70"/>
      <c r="AC870" s="70"/>
      <c r="AD870" s="64"/>
      <c r="AE870" s="70"/>
      <c r="AF870" s="70"/>
      <c r="AG870" s="70"/>
      <c r="AH870" s="70"/>
    </row>
    <row r="871" spans="4:34" x14ac:dyDescent="0.2">
      <c r="D871" s="53"/>
      <c r="E871" s="70"/>
      <c r="F871" s="70"/>
      <c r="G871" s="70"/>
      <c r="H871" s="70"/>
      <c r="I871" s="70"/>
      <c r="J871" s="70"/>
      <c r="K871" s="70"/>
      <c r="L871" s="70"/>
      <c r="M871" s="70"/>
      <c r="N871" s="70"/>
      <c r="O871" s="70"/>
      <c r="P871" s="70"/>
      <c r="Q871" s="70"/>
      <c r="R871" s="70"/>
      <c r="S871" s="70"/>
      <c r="T871" s="70"/>
      <c r="U871" s="64"/>
      <c r="V871" s="64"/>
      <c r="W871" s="70"/>
      <c r="X871" s="64"/>
      <c r="Y871" s="70"/>
      <c r="Z871" s="70"/>
      <c r="AA871" s="71"/>
      <c r="AB871" s="70"/>
      <c r="AC871" s="70"/>
      <c r="AD871" s="64"/>
      <c r="AE871" s="70"/>
      <c r="AF871" s="70"/>
      <c r="AG871" s="70"/>
      <c r="AH871" s="70"/>
    </row>
    <row r="872" spans="4:34" x14ac:dyDescent="0.2">
      <c r="D872" s="53"/>
      <c r="E872" s="70"/>
      <c r="F872" s="70"/>
      <c r="G872" s="70"/>
      <c r="H872" s="70"/>
      <c r="I872" s="70"/>
      <c r="J872" s="70"/>
      <c r="K872" s="70"/>
      <c r="L872" s="70"/>
      <c r="M872" s="70"/>
      <c r="N872" s="70"/>
      <c r="O872" s="70"/>
      <c r="P872" s="70"/>
      <c r="Q872" s="70"/>
      <c r="R872" s="70"/>
      <c r="S872" s="70"/>
      <c r="T872" s="70"/>
      <c r="U872" s="64"/>
      <c r="V872" s="64"/>
      <c r="W872" s="70"/>
      <c r="X872" s="64"/>
      <c r="Y872" s="70"/>
      <c r="Z872" s="70"/>
      <c r="AA872" s="71"/>
      <c r="AB872" s="70"/>
      <c r="AC872" s="70"/>
      <c r="AD872" s="64"/>
      <c r="AE872" s="70"/>
      <c r="AF872" s="70"/>
      <c r="AG872" s="70"/>
      <c r="AH872" s="70"/>
    </row>
    <row r="873" spans="4:34" x14ac:dyDescent="0.2">
      <c r="D873" s="53"/>
      <c r="E873" s="70"/>
      <c r="F873" s="70"/>
      <c r="G873" s="70"/>
      <c r="H873" s="70"/>
      <c r="I873" s="70"/>
      <c r="J873" s="70"/>
      <c r="K873" s="70"/>
      <c r="L873" s="70"/>
      <c r="M873" s="70"/>
      <c r="N873" s="70"/>
      <c r="O873" s="70"/>
      <c r="P873" s="70"/>
      <c r="Q873" s="70"/>
      <c r="R873" s="70"/>
      <c r="S873" s="70"/>
      <c r="T873" s="70"/>
      <c r="U873" s="64"/>
      <c r="V873" s="64"/>
      <c r="W873" s="70"/>
      <c r="X873" s="64"/>
      <c r="Y873" s="70"/>
      <c r="Z873" s="70"/>
      <c r="AA873" s="71"/>
      <c r="AB873" s="70"/>
      <c r="AC873" s="70"/>
      <c r="AD873" s="64"/>
      <c r="AE873" s="70"/>
      <c r="AF873" s="70"/>
      <c r="AG873" s="70"/>
      <c r="AH873" s="70"/>
    </row>
    <row r="874" spans="4:34" x14ac:dyDescent="0.2">
      <c r="D874" s="53"/>
      <c r="E874" s="70"/>
      <c r="F874" s="70"/>
      <c r="G874" s="70"/>
      <c r="H874" s="70"/>
      <c r="I874" s="70"/>
      <c r="J874" s="70"/>
      <c r="K874" s="70"/>
      <c r="L874" s="70"/>
      <c r="M874" s="70"/>
      <c r="N874" s="70"/>
      <c r="O874" s="70"/>
      <c r="P874" s="70"/>
      <c r="Q874" s="70"/>
      <c r="R874" s="70"/>
      <c r="S874" s="70"/>
      <c r="T874" s="70"/>
      <c r="U874" s="64"/>
      <c r="V874" s="64"/>
      <c r="W874" s="70"/>
      <c r="X874" s="64"/>
      <c r="Y874" s="70"/>
      <c r="Z874" s="70"/>
      <c r="AA874" s="71"/>
      <c r="AB874" s="70"/>
      <c r="AC874" s="70"/>
      <c r="AD874" s="64"/>
      <c r="AE874" s="70"/>
      <c r="AF874" s="70"/>
      <c r="AG874" s="70"/>
      <c r="AH874" s="70"/>
    </row>
    <row r="875" spans="4:34" x14ac:dyDescent="0.2">
      <c r="D875" s="53"/>
      <c r="E875" s="70"/>
      <c r="F875" s="70"/>
      <c r="G875" s="70"/>
      <c r="H875" s="70"/>
      <c r="I875" s="70"/>
      <c r="J875" s="70"/>
      <c r="K875" s="70"/>
      <c r="L875" s="70"/>
      <c r="M875" s="70"/>
      <c r="N875" s="70"/>
      <c r="O875" s="70"/>
      <c r="P875" s="70"/>
      <c r="Q875" s="70"/>
      <c r="R875" s="70"/>
      <c r="S875" s="70"/>
      <c r="T875" s="70"/>
      <c r="U875" s="64"/>
      <c r="V875" s="64"/>
      <c r="W875" s="70"/>
      <c r="X875" s="64"/>
      <c r="Y875" s="70"/>
      <c r="Z875" s="70"/>
      <c r="AA875" s="71"/>
      <c r="AB875" s="70"/>
      <c r="AC875" s="70"/>
      <c r="AD875" s="64"/>
      <c r="AE875" s="70"/>
      <c r="AF875" s="70"/>
      <c r="AG875" s="70"/>
      <c r="AH875" s="70"/>
    </row>
    <row r="876" spans="4:34" x14ac:dyDescent="0.2">
      <c r="D876" s="53"/>
      <c r="E876" s="70"/>
      <c r="F876" s="70"/>
      <c r="G876" s="70"/>
      <c r="H876" s="70"/>
      <c r="I876" s="70"/>
      <c r="J876" s="70"/>
      <c r="K876" s="70"/>
      <c r="L876" s="70"/>
      <c r="M876" s="70"/>
      <c r="N876" s="70"/>
      <c r="O876" s="70"/>
      <c r="P876" s="70"/>
      <c r="Q876" s="70"/>
      <c r="R876" s="70"/>
      <c r="S876" s="70"/>
      <c r="T876" s="70"/>
      <c r="U876" s="64"/>
      <c r="V876" s="64"/>
      <c r="W876" s="70"/>
      <c r="X876" s="64"/>
      <c r="Y876" s="70"/>
      <c r="Z876" s="70"/>
      <c r="AA876" s="71"/>
      <c r="AB876" s="70"/>
      <c r="AC876" s="70"/>
      <c r="AD876" s="64"/>
      <c r="AE876" s="70"/>
      <c r="AF876" s="70"/>
      <c r="AG876" s="70"/>
      <c r="AH876" s="70"/>
    </row>
    <row r="877" spans="4:34" x14ac:dyDescent="0.2">
      <c r="D877" s="53"/>
      <c r="E877" s="70"/>
      <c r="F877" s="70"/>
      <c r="G877" s="70"/>
      <c r="H877" s="70"/>
      <c r="I877" s="70"/>
      <c r="J877" s="70"/>
      <c r="K877" s="70"/>
      <c r="L877" s="70"/>
      <c r="M877" s="70"/>
      <c r="N877" s="70"/>
      <c r="O877" s="70"/>
      <c r="P877" s="70"/>
      <c r="Q877" s="70"/>
      <c r="R877" s="70"/>
      <c r="S877" s="70"/>
      <c r="T877" s="70"/>
      <c r="U877" s="64"/>
      <c r="V877" s="64"/>
      <c r="W877" s="70"/>
      <c r="X877" s="64"/>
      <c r="Y877" s="70"/>
      <c r="Z877" s="70"/>
      <c r="AA877" s="71"/>
      <c r="AB877" s="70"/>
      <c r="AC877" s="70"/>
      <c r="AD877" s="64"/>
      <c r="AE877" s="70"/>
      <c r="AF877" s="70"/>
      <c r="AG877" s="70"/>
      <c r="AH877" s="70"/>
    </row>
    <row r="878" spans="4:34" x14ac:dyDescent="0.2">
      <c r="D878" s="53"/>
      <c r="E878" s="70"/>
      <c r="F878" s="70"/>
      <c r="G878" s="70"/>
      <c r="H878" s="70"/>
      <c r="I878" s="70"/>
      <c r="J878" s="70"/>
      <c r="K878" s="70"/>
      <c r="L878" s="70"/>
      <c r="M878" s="70"/>
      <c r="N878" s="70"/>
      <c r="O878" s="70"/>
      <c r="P878" s="70"/>
      <c r="Q878" s="70"/>
      <c r="R878" s="70"/>
      <c r="S878" s="70"/>
      <c r="T878" s="70"/>
      <c r="U878" s="64"/>
      <c r="V878" s="64"/>
      <c r="W878" s="70"/>
      <c r="X878" s="64"/>
      <c r="Y878" s="70"/>
      <c r="Z878" s="70"/>
      <c r="AA878" s="71"/>
      <c r="AB878" s="70"/>
      <c r="AC878" s="70"/>
      <c r="AD878" s="64"/>
      <c r="AE878" s="70"/>
      <c r="AF878" s="70"/>
      <c r="AG878" s="70"/>
      <c r="AH878" s="70"/>
    </row>
    <row r="879" spans="4:34" x14ac:dyDescent="0.2">
      <c r="D879" s="53"/>
      <c r="E879" s="70"/>
      <c r="F879" s="70"/>
      <c r="G879" s="70"/>
      <c r="H879" s="70"/>
      <c r="I879" s="70"/>
      <c r="J879" s="70"/>
      <c r="K879" s="70"/>
      <c r="L879" s="70"/>
      <c r="M879" s="70"/>
      <c r="N879" s="70"/>
      <c r="O879" s="70"/>
      <c r="P879" s="70"/>
      <c r="Q879" s="70"/>
      <c r="R879" s="70"/>
      <c r="S879" s="70"/>
      <c r="T879" s="70"/>
      <c r="U879" s="64"/>
      <c r="V879" s="64"/>
      <c r="W879" s="70"/>
      <c r="X879" s="64"/>
      <c r="Y879" s="70"/>
      <c r="Z879" s="70"/>
      <c r="AA879" s="71"/>
      <c r="AB879" s="70"/>
      <c r="AC879" s="70"/>
      <c r="AD879" s="64"/>
      <c r="AE879" s="70"/>
      <c r="AF879" s="70"/>
      <c r="AG879" s="70"/>
      <c r="AH879" s="70"/>
    </row>
    <row r="880" spans="4:34" x14ac:dyDescent="0.2">
      <c r="D880" s="53"/>
      <c r="E880" s="70"/>
      <c r="F880" s="70"/>
      <c r="G880" s="70"/>
      <c r="H880" s="70"/>
      <c r="I880" s="70"/>
      <c r="J880" s="70"/>
      <c r="K880" s="70"/>
      <c r="L880" s="70"/>
      <c r="M880" s="70"/>
      <c r="N880" s="70"/>
      <c r="O880" s="70"/>
      <c r="P880" s="70"/>
      <c r="Q880" s="70"/>
      <c r="R880" s="70"/>
      <c r="S880" s="70"/>
      <c r="T880" s="70"/>
      <c r="U880" s="64"/>
      <c r="V880" s="64"/>
      <c r="W880" s="70"/>
      <c r="X880" s="64"/>
      <c r="Y880" s="70"/>
      <c r="Z880" s="70"/>
      <c r="AA880" s="71"/>
      <c r="AB880" s="70"/>
      <c r="AC880" s="70"/>
      <c r="AD880" s="64"/>
      <c r="AE880" s="70"/>
      <c r="AF880" s="70"/>
      <c r="AG880" s="70"/>
      <c r="AH880" s="70"/>
    </row>
    <row r="881" spans="4:34" x14ac:dyDescent="0.2">
      <c r="D881" s="53"/>
      <c r="E881" s="70"/>
      <c r="F881" s="70"/>
      <c r="G881" s="70"/>
      <c r="H881" s="70"/>
      <c r="I881" s="70"/>
      <c r="J881" s="70"/>
      <c r="K881" s="70"/>
      <c r="L881" s="70"/>
      <c r="M881" s="70"/>
      <c r="N881" s="70"/>
      <c r="O881" s="70"/>
      <c r="P881" s="70"/>
      <c r="Q881" s="70"/>
      <c r="R881" s="70"/>
      <c r="S881" s="70"/>
      <c r="T881" s="70"/>
      <c r="U881" s="64"/>
      <c r="V881" s="64"/>
      <c r="W881" s="70"/>
      <c r="X881" s="64"/>
      <c r="Y881" s="70"/>
      <c r="Z881" s="70"/>
      <c r="AA881" s="71"/>
      <c r="AB881" s="70"/>
      <c r="AC881" s="70"/>
      <c r="AD881" s="64"/>
      <c r="AE881" s="70"/>
      <c r="AF881" s="70"/>
      <c r="AG881" s="70"/>
      <c r="AH881" s="70"/>
    </row>
    <row r="882" spans="4:34" x14ac:dyDescent="0.2">
      <c r="D882" s="53"/>
      <c r="E882" s="70"/>
      <c r="F882" s="70"/>
      <c r="G882" s="70"/>
      <c r="H882" s="70"/>
      <c r="I882" s="70"/>
      <c r="J882" s="70"/>
      <c r="K882" s="70"/>
      <c r="L882" s="70"/>
      <c r="M882" s="70"/>
      <c r="N882" s="70"/>
      <c r="O882" s="70"/>
      <c r="P882" s="70"/>
      <c r="Q882" s="70"/>
      <c r="R882" s="70"/>
      <c r="S882" s="70"/>
      <c r="T882" s="70"/>
      <c r="U882" s="64"/>
      <c r="V882" s="64"/>
      <c r="W882" s="70"/>
      <c r="X882" s="64"/>
      <c r="Y882" s="70"/>
      <c r="Z882" s="70"/>
      <c r="AA882" s="71"/>
      <c r="AB882" s="70"/>
      <c r="AC882" s="70"/>
      <c r="AD882" s="64"/>
      <c r="AE882" s="70"/>
      <c r="AF882" s="70"/>
      <c r="AG882" s="70"/>
      <c r="AH882" s="70"/>
    </row>
    <row r="883" spans="4:34" x14ac:dyDescent="0.2">
      <c r="D883" s="53"/>
      <c r="E883" s="70"/>
      <c r="F883" s="70"/>
      <c r="G883" s="70"/>
      <c r="H883" s="70"/>
      <c r="I883" s="70"/>
      <c r="J883" s="70"/>
      <c r="K883" s="70"/>
      <c r="L883" s="70"/>
      <c r="M883" s="70"/>
      <c r="N883" s="70"/>
      <c r="O883" s="70"/>
      <c r="P883" s="70"/>
      <c r="Q883" s="70"/>
      <c r="R883" s="70"/>
      <c r="S883" s="70"/>
      <c r="T883" s="70"/>
      <c r="U883" s="64"/>
      <c r="V883" s="64"/>
      <c r="W883" s="70"/>
      <c r="X883" s="64"/>
      <c r="Y883" s="70"/>
      <c r="Z883" s="70"/>
      <c r="AA883" s="71"/>
      <c r="AB883" s="70"/>
      <c r="AC883" s="70"/>
      <c r="AD883" s="64"/>
      <c r="AE883" s="70"/>
      <c r="AF883" s="70"/>
      <c r="AG883" s="70"/>
      <c r="AH883" s="70"/>
    </row>
    <row r="884" spans="4:34" x14ac:dyDescent="0.2">
      <c r="D884" s="53"/>
      <c r="E884" s="70"/>
      <c r="F884" s="70"/>
      <c r="G884" s="70"/>
      <c r="H884" s="70"/>
      <c r="I884" s="70"/>
      <c r="J884" s="70"/>
      <c r="K884" s="70"/>
      <c r="L884" s="70"/>
      <c r="M884" s="70"/>
      <c r="N884" s="70"/>
      <c r="O884" s="70"/>
      <c r="P884" s="70"/>
      <c r="Q884" s="70"/>
      <c r="R884" s="70"/>
      <c r="S884" s="70"/>
      <c r="T884" s="70"/>
      <c r="U884" s="64"/>
      <c r="V884" s="64"/>
      <c r="W884" s="70"/>
      <c r="X884" s="64"/>
      <c r="Y884" s="70"/>
      <c r="Z884" s="70"/>
      <c r="AA884" s="71"/>
      <c r="AB884" s="70"/>
      <c r="AC884" s="70"/>
      <c r="AD884" s="64"/>
      <c r="AE884" s="70"/>
      <c r="AF884" s="70"/>
      <c r="AG884" s="70"/>
      <c r="AH884" s="70"/>
    </row>
    <row r="885" spans="4:34" x14ac:dyDescent="0.2">
      <c r="D885" s="53"/>
      <c r="E885" s="70"/>
      <c r="F885" s="70"/>
      <c r="G885" s="70"/>
      <c r="H885" s="70"/>
      <c r="I885" s="70"/>
      <c r="J885" s="70"/>
      <c r="K885" s="70"/>
      <c r="L885" s="70"/>
      <c r="M885" s="70"/>
      <c r="N885" s="70"/>
      <c r="O885" s="70"/>
      <c r="P885" s="70"/>
      <c r="Q885" s="70"/>
      <c r="R885" s="70"/>
      <c r="S885" s="70"/>
      <c r="T885" s="70"/>
      <c r="U885" s="64"/>
      <c r="V885" s="64"/>
      <c r="W885" s="70"/>
      <c r="X885" s="64"/>
      <c r="Y885" s="70"/>
      <c r="Z885" s="70"/>
      <c r="AA885" s="71"/>
      <c r="AB885" s="70"/>
      <c r="AC885" s="70"/>
      <c r="AD885" s="64"/>
      <c r="AE885" s="70"/>
      <c r="AF885" s="70"/>
      <c r="AG885" s="70"/>
      <c r="AH885" s="70"/>
    </row>
    <row r="886" spans="4:34" x14ac:dyDescent="0.2">
      <c r="D886" s="53"/>
      <c r="E886" s="70"/>
      <c r="F886" s="70"/>
      <c r="G886" s="70"/>
      <c r="H886" s="70"/>
      <c r="I886" s="70"/>
      <c r="J886" s="70"/>
      <c r="K886" s="70"/>
      <c r="L886" s="70"/>
      <c r="M886" s="70"/>
      <c r="N886" s="70"/>
      <c r="O886" s="70"/>
      <c r="P886" s="70"/>
      <c r="Q886" s="70"/>
      <c r="R886" s="70"/>
      <c r="S886" s="70"/>
      <c r="T886" s="70"/>
      <c r="U886" s="64"/>
      <c r="V886" s="64"/>
      <c r="W886" s="70"/>
      <c r="X886" s="64"/>
      <c r="Y886" s="70"/>
      <c r="Z886" s="70"/>
      <c r="AA886" s="71"/>
      <c r="AB886" s="70"/>
      <c r="AC886" s="70"/>
      <c r="AD886" s="64"/>
      <c r="AE886" s="70"/>
      <c r="AF886" s="70"/>
      <c r="AG886" s="70"/>
      <c r="AH886" s="70"/>
    </row>
    <row r="887" spans="4:34" x14ac:dyDescent="0.2">
      <c r="D887" s="53"/>
      <c r="E887" s="70"/>
      <c r="F887" s="70"/>
      <c r="G887" s="70"/>
      <c r="H887" s="70"/>
      <c r="I887" s="70"/>
      <c r="J887" s="70"/>
      <c r="K887" s="70"/>
      <c r="L887" s="70"/>
      <c r="M887" s="70"/>
      <c r="N887" s="70"/>
      <c r="O887" s="70"/>
      <c r="P887" s="70"/>
      <c r="Q887" s="70"/>
      <c r="R887" s="70"/>
      <c r="S887" s="70"/>
      <c r="T887" s="70"/>
      <c r="U887" s="64"/>
      <c r="V887" s="64"/>
      <c r="W887" s="70"/>
      <c r="X887" s="64"/>
      <c r="Y887" s="70"/>
      <c r="Z887" s="70"/>
      <c r="AA887" s="71"/>
      <c r="AB887" s="70"/>
      <c r="AC887" s="70"/>
      <c r="AD887" s="64"/>
      <c r="AE887" s="70"/>
      <c r="AF887" s="70"/>
      <c r="AG887" s="70"/>
      <c r="AH887" s="70"/>
    </row>
    <row r="888" spans="4:34" x14ac:dyDescent="0.2">
      <c r="D888" s="53"/>
      <c r="E888" s="70"/>
      <c r="F888" s="70"/>
      <c r="G888" s="70"/>
      <c r="H888" s="70"/>
      <c r="I888" s="70"/>
      <c r="J888" s="70"/>
      <c r="K888" s="70"/>
      <c r="L888" s="70"/>
      <c r="M888" s="70"/>
      <c r="N888" s="70"/>
      <c r="O888" s="70"/>
      <c r="P888" s="70"/>
      <c r="Q888" s="70"/>
      <c r="R888" s="70"/>
      <c r="S888" s="70"/>
      <c r="T888" s="70"/>
      <c r="U888" s="64"/>
      <c r="V888" s="64"/>
      <c r="W888" s="70"/>
      <c r="X888" s="64"/>
      <c r="Y888" s="70"/>
      <c r="Z888" s="70"/>
      <c r="AA888" s="71"/>
      <c r="AB888" s="70"/>
      <c r="AC888" s="70"/>
      <c r="AD888" s="64"/>
      <c r="AE888" s="70"/>
      <c r="AF888" s="70"/>
      <c r="AG888" s="70"/>
      <c r="AH888" s="70"/>
    </row>
    <row r="889" spans="4:34" x14ac:dyDescent="0.2">
      <c r="D889" s="53"/>
      <c r="E889" s="70"/>
      <c r="F889" s="70"/>
      <c r="G889" s="70"/>
      <c r="H889" s="70"/>
      <c r="I889" s="70"/>
      <c r="J889" s="70"/>
      <c r="K889" s="70"/>
      <c r="L889" s="70"/>
      <c r="M889" s="70"/>
      <c r="N889" s="70"/>
      <c r="O889" s="70"/>
      <c r="P889" s="70"/>
      <c r="Q889" s="70"/>
      <c r="R889" s="70"/>
      <c r="S889" s="70"/>
      <c r="T889" s="70"/>
      <c r="U889" s="64"/>
      <c r="V889" s="64"/>
      <c r="W889" s="70"/>
      <c r="X889" s="64"/>
      <c r="Y889" s="70"/>
      <c r="Z889" s="70"/>
      <c r="AA889" s="71"/>
      <c r="AB889" s="70"/>
      <c r="AC889" s="70"/>
      <c r="AD889" s="64"/>
      <c r="AE889" s="70"/>
      <c r="AF889" s="70"/>
      <c r="AG889" s="70"/>
      <c r="AH889" s="70"/>
    </row>
    <row r="890" spans="4:34" x14ac:dyDescent="0.2">
      <c r="D890" s="53"/>
      <c r="E890" s="70"/>
      <c r="F890" s="70"/>
      <c r="G890" s="70"/>
      <c r="H890" s="70"/>
      <c r="I890" s="70"/>
      <c r="J890" s="70"/>
      <c r="K890" s="70"/>
      <c r="L890" s="70"/>
      <c r="M890" s="70"/>
      <c r="N890" s="70"/>
      <c r="O890" s="70"/>
      <c r="P890" s="70"/>
      <c r="Q890" s="70"/>
      <c r="R890" s="70"/>
      <c r="S890" s="70"/>
      <c r="T890" s="70"/>
      <c r="U890" s="64"/>
      <c r="V890" s="64"/>
      <c r="W890" s="70"/>
      <c r="X890" s="64"/>
      <c r="Y890" s="70"/>
      <c r="Z890" s="70"/>
      <c r="AA890" s="71"/>
      <c r="AB890" s="70"/>
      <c r="AC890" s="70"/>
      <c r="AD890" s="64"/>
      <c r="AE890" s="70"/>
      <c r="AF890" s="70"/>
      <c r="AG890" s="70"/>
      <c r="AH890" s="70"/>
    </row>
    <row r="891" spans="4:34" x14ac:dyDescent="0.2">
      <c r="D891" s="53"/>
      <c r="E891" s="70"/>
      <c r="F891" s="70"/>
      <c r="G891" s="70"/>
      <c r="H891" s="70"/>
      <c r="I891" s="70"/>
      <c r="J891" s="70"/>
      <c r="K891" s="70"/>
      <c r="L891" s="70"/>
      <c r="M891" s="70"/>
      <c r="N891" s="70"/>
      <c r="O891" s="70"/>
      <c r="P891" s="70"/>
      <c r="Q891" s="70"/>
      <c r="R891" s="70"/>
      <c r="S891" s="70"/>
      <c r="T891" s="70"/>
      <c r="U891" s="64"/>
      <c r="V891" s="64"/>
      <c r="W891" s="70"/>
      <c r="X891" s="64"/>
      <c r="Y891" s="70"/>
      <c r="Z891" s="70"/>
      <c r="AA891" s="71"/>
      <c r="AB891" s="70"/>
      <c r="AC891" s="70"/>
      <c r="AD891" s="64"/>
      <c r="AE891" s="70"/>
      <c r="AF891" s="70"/>
      <c r="AG891" s="70"/>
      <c r="AH891" s="70"/>
    </row>
    <row r="892" spans="4:34" x14ac:dyDescent="0.2">
      <c r="D892" s="53"/>
      <c r="E892" s="70"/>
      <c r="F892" s="70"/>
      <c r="G892" s="70"/>
      <c r="H892" s="70"/>
      <c r="I892" s="70"/>
      <c r="J892" s="70"/>
      <c r="K892" s="70"/>
      <c r="L892" s="70"/>
      <c r="M892" s="70"/>
      <c r="N892" s="70"/>
      <c r="O892" s="70"/>
      <c r="P892" s="70"/>
      <c r="Q892" s="70"/>
      <c r="R892" s="70"/>
      <c r="S892" s="70"/>
      <c r="T892" s="70"/>
      <c r="U892" s="64"/>
      <c r="V892" s="64"/>
      <c r="W892" s="70"/>
      <c r="X892" s="64"/>
      <c r="Y892" s="70"/>
      <c r="Z892" s="70"/>
      <c r="AA892" s="71"/>
      <c r="AB892" s="70"/>
      <c r="AC892" s="70"/>
      <c r="AD892" s="64"/>
      <c r="AE892" s="70"/>
      <c r="AF892" s="70"/>
      <c r="AG892" s="70"/>
      <c r="AH892" s="70"/>
    </row>
    <row r="893" spans="4:34" x14ac:dyDescent="0.2">
      <c r="D893" s="53"/>
      <c r="E893" s="70"/>
      <c r="F893" s="70"/>
      <c r="G893" s="70"/>
      <c r="H893" s="70"/>
      <c r="I893" s="70"/>
      <c r="J893" s="70"/>
      <c r="K893" s="70"/>
      <c r="L893" s="70"/>
      <c r="M893" s="70"/>
      <c r="N893" s="70"/>
      <c r="O893" s="70"/>
      <c r="P893" s="70"/>
      <c r="Q893" s="70"/>
      <c r="R893" s="70"/>
      <c r="S893" s="70"/>
      <c r="T893" s="70"/>
      <c r="U893" s="64"/>
      <c r="V893" s="64"/>
      <c r="W893" s="70"/>
      <c r="X893" s="64"/>
      <c r="Y893" s="70"/>
      <c r="Z893" s="70"/>
      <c r="AA893" s="71"/>
      <c r="AB893" s="70"/>
      <c r="AC893" s="70"/>
      <c r="AD893" s="64"/>
      <c r="AE893" s="70"/>
      <c r="AF893" s="70"/>
      <c r="AG893" s="70"/>
      <c r="AH893" s="70"/>
    </row>
    <row r="894" spans="4:34" x14ac:dyDescent="0.2">
      <c r="D894" s="53"/>
      <c r="E894" s="70"/>
      <c r="F894" s="70"/>
      <c r="G894" s="70"/>
      <c r="H894" s="70"/>
      <c r="I894" s="70"/>
      <c r="J894" s="70"/>
      <c r="K894" s="70"/>
      <c r="L894" s="70"/>
      <c r="M894" s="70"/>
      <c r="N894" s="70"/>
      <c r="O894" s="70"/>
      <c r="P894" s="70"/>
      <c r="Q894" s="70"/>
      <c r="R894" s="70"/>
      <c r="S894" s="70"/>
      <c r="T894" s="70"/>
      <c r="U894" s="64"/>
      <c r="V894" s="64"/>
      <c r="W894" s="70"/>
      <c r="X894" s="64"/>
      <c r="Y894" s="70"/>
      <c r="Z894" s="70"/>
      <c r="AA894" s="71"/>
      <c r="AB894" s="70"/>
      <c r="AC894" s="70"/>
      <c r="AD894" s="64"/>
      <c r="AE894" s="70"/>
      <c r="AF894" s="70"/>
      <c r="AG894" s="70"/>
      <c r="AH894" s="70"/>
    </row>
    <row r="895" spans="4:34" x14ac:dyDescent="0.2">
      <c r="D895" s="53"/>
      <c r="E895" s="70"/>
      <c r="F895" s="70"/>
      <c r="G895" s="70"/>
      <c r="H895" s="70"/>
      <c r="I895" s="70"/>
      <c r="J895" s="70"/>
      <c r="K895" s="70"/>
      <c r="L895" s="70"/>
      <c r="M895" s="70"/>
      <c r="N895" s="70"/>
      <c r="O895" s="70"/>
      <c r="P895" s="70"/>
      <c r="Q895" s="70"/>
      <c r="R895" s="70"/>
      <c r="S895" s="70"/>
      <c r="T895" s="70"/>
      <c r="U895" s="64"/>
      <c r="V895" s="64"/>
      <c r="W895" s="70"/>
      <c r="X895" s="64"/>
      <c r="Y895" s="70"/>
      <c r="Z895" s="70"/>
      <c r="AA895" s="71"/>
      <c r="AB895" s="70"/>
      <c r="AC895" s="70"/>
      <c r="AD895" s="64"/>
      <c r="AE895" s="70"/>
      <c r="AF895" s="70"/>
      <c r="AG895" s="70"/>
      <c r="AH895" s="70"/>
    </row>
    <row r="896" spans="4:34" x14ac:dyDescent="0.2">
      <c r="D896" s="53"/>
      <c r="E896" s="70"/>
      <c r="F896" s="70"/>
      <c r="G896" s="70"/>
      <c r="H896" s="70"/>
      <c r="I896" s="70"/>
      <c r="J896" s="70"/>
      <c r="K896" s="70"/>
      <c r="L896" s="70"/>
      <c r="M896" s="70"/>
      <c r="N896" s="70"/>
      <c r="O896" s="70"/>
      <c r="P896" s="70"/>
      <c r="Q896" s="70"/>
      <c r="R896" s="70"/>
      <c r="S896" s="70"/>
      <c r="T896" s="70"/>
      <c r="U896" s="64"/>
      <c r="V896" s="64"/>
      <c r="W896" s="70"/>
      <c r="X896" s="64"/>
      <c r="Y896" s="70"/>
      <c r="Z896" s="70"/>
      <c r="AA896" s="71"/>
      <c r="AB896" s="70"/>
      <c r="AC896" s="70"/>
      <c r="AD896" s="64"/>
      <c r="AE896" s="70"/>
      <c r="AF896" s="70"/>
      <c r="AG896" s="70"/>
      <c r="AH896" s="70"/>
    </row>
    <row r="897" spans="4:34" x14ac:dyDescent="0.2">
      <c r="D897" s="53"/>
      <c r="E897" s="70"/>
      <c r="F897" s="70"/>
      <c r="G897" s="70"/>
      <c r="H897" s="70"/>
      <c r="I897" s="70"/>
      <c r="J897" s="70"/>
      <c r="K897" s="70"/>
      <c r="L897" s="70"/>
      <c r="M897" s="70"/>
      <c r="N897" s="70"/>
      <c r="O897" s="70"/>
      <c r="P897" s="70"/>
      <c r="Q897" s="70"/>
      <c r="R897" s="70"/>
      <c r="S897" s="70"/>
      <c r="T897" s="70"/>
      <c r="U897" s="64"/>
      <c r="V897" s="64"/>
      <c r="W897" s="70"/>
      <c r="X897" s="64"/>
      <c r="Y897" s="70"/>
      <c r="Z897" s="70"/>
      <c r="AA897" s="71"/>
      <c r="AB897" s="70"/>
      <c r="AC897" s="70"/>
      <c r="AD897" s="64"/>
      <c r="AE897" s="70"/>
      <c r="AF897" s="70"/>
      <c r="AG897" s="70"/>
      <c r="AH897" s="70"/>
    </row>
    <row r="898" spans="4:34" x14ac:dyDescent="0.2">
      <c r="D898" s="53"/>
      <c r="E898" s="70"/>
      <c r="F898" s="70"/>
      <c r="G898" s="70"/>
      <c r="H898" s="70"/>
      <c r="I898" s="70"/>
      <c r="J898" s="70"/>
      <c r="K898" s="70"/>
      <c r="L898" s="70"/>
      <c r="M898" s="70"/>
      <c r="N898" s="70"/>
      <c r="O898" s="70"/>
      <c r="P898" s="70"/>
      <c r="Q898" s="70"/>
      <c r="R898" s="70"/>
      <c r="S898" s="70"/>
      <c r="T898" s="70"/>
      <c r="U898" s="64"/>
      <c r="V898" s="64"/>
      <c r="W898" s="70"/>
      <c r="X898" s="64"/>
      <c r="Y898" s="70"/>
      <c r="Z898" s="70"/>
      <c r="AA898" s="71"/>
      <c r="AB898" s="70"/>
      <c r="AC898" s="70"/>
      <c r="AD898" s="64"/>
      <c r="AE898" s="70"/>
      <c r="AF898" s="70"/>
      <c r="AG898" s="70"/>
      <c r="AH898" s="70"/>
    </row>
    <row r="899" spans="4:34" x14ac:dyDescent="0.2">
      <c r="D899" s="53"/>
      <c r="E899" s="70"/>
      <c r="F899" s="70"/>
      <c r="G899" s="70"/>
      <c r="H899" s="70"/>
      <c r="I899" s="70"/>
      <c r="J899" s="70"/>
      <c r="K899" s="70"/>
      <c r="L899" s="70"/>
      <c r="M899" s="70"/>
      <c r="N899" s="70"/>
      <c r="O899" s="70"/>
      <c r="P899" s="70"/>
      <c r="Q899" s="70"/>
      <c r="R899" s="70"/>
      <c r="S899" s="70"/>
      <c r="T899" s="70"/>
      <c r="U899" s="64"/>
      <c r="V899" s="64"/>
      <c r="W899" s="70"/>
      <c r="X899" s="64"/>
      <c r="Y899" s="70"/>
      <c r="Z899" s="70"/>
      <c r="AA899" s="71"/>
      <c r="AB899" s="70"/>
      <c r="AC899" s="70"/>
      <c r="AD899" s="64"/>
      <c r="AE899" s="70"/>
      <c r="AF899" s="70"/>
      <c r="AG899" s="70"/>
      <c r="AH899" s="70"/>
    </row>
    <row r="900" spans="4:34" x14ac:dyDescent="0.2">
      <c r="D900" s="53"/>
      <c r="E900" s="70"/>
      <c r="F900" s="70"/>
      <c r="G900" s="70"/>
      <c r="H900" s="70"/>
      <c r="I900" s="70"/>
      <c r="J900" s="70"/>
      <c r="K900" s="70"/>
      <c r="L900" s="70"/>
      <c r="M900" s="70"/>
      <c r="N900" s="70"/>
      <c r="O900" s="70"/>
      <c r="P900" s="70"/>
      <c r="Q900" s="70"/>
      <c r="R900" s="70"/>
      <c r="S900" s="70"/>
      <c r="T900" s="70"/>
      <c r="U900" s="64"/>
      <c r="V900" s="64"/>
      <c r="W900" s="70"/>
      <c r="X900" s="64"/>
      <c r="Y900" s="70"/>
      <c r="Z900" s="70"/>
      <c r="AA900" s="71"/>
      <c r="AB900" s="70"/>
      <c r="AC900" s="70"/>
      <c r="AD900" s="64"/>
      <c r="AE900" s="70"/>
      <c r="AF900" s="70"/>
      <c r="AG900" s="70"/>
      <c r="AH900" s="70"/>
    </row>
    <row r="901" spans="4:34" x14ac:dyDescent="0.2">
      <c r="D901" s="53"/>
      <c r="E901" s="70"/>
      <c r="F901" s="70"/>
      <c r="G901" s="70"/>
      <c r="H901" s="70"/>
      <c r="I901" s="70"/>
      <c r="J901" s="70"/>
      <c r="K901" s="70"/>
      <c r="L901" s="70"/>
      <c r="M901" s="70"/>
      <c r="N901" s="70"/>
      <c r="O901" s="70"/>
      <c r="P901" s="70"/>
      <c r="Q901" s="70"/>
      <c r="R901" s="70"/>
      <c r="S901" s="70"/>
      <c r="T901" s="70"/>
      <c r="U901" s="64"/>
      <c r="V901" s="64"/>
      <c r="W901" s="70"/>
      <c r="X901" s="64"/>
      <c r="Y901" s="70"/>
      <c r="Z901" s="70"/>
      <c r="AA901" s="71"/>
      <c r="AB901" s="70"/>
      <c r="AC901" s="70"/>
      <c r="AD901" s="64"/>
      <c r="AE901" s="70"/>
      <c r="AF901" s="70"/>
      <c r="AG901" s="70"/>
      <c r="AH901" s="70"/>
    </row>
    <row r="902" spans="4:34" x14ac:dyDescent="0.2">
      <c r="D902" s="53"/>
      <c r="E902" s="70"/>
      <c r="F902" s="70"/>
      <c r="G902" s="70"/>
      <c r="H902" s="70"/>
      <c r="I902" s="70"/>
      <c r="J902" s="70"/>
      <c r="K902" s="70"/>
      <c r="L902" s="70"/>
      <c r="M902" s="70"/>
      <c r="N902" s="70"/>
      <c r="O902" s="70"/>
      <c r="P902" s="70"/>
      <c r="Q902" s="70"/>
      <c r="R902" s="70"/>
      <c r="S902" s="70"/>
      <c r="T902" s="70"/>
      <c r="U902" s="64"/>
      <c r="V902" s="64"/>
      <c r="W902" s="70"/>
      <c r="X902" s="64"/>
      <c r="Y902" s="70"/>
      <c r="Z902" s="70"/>
      <c r="AA902" s="71"/>
      <c r="AB902" s="70"/>
      <c r="AC902" s="70"/>
      <c r="AD902" s="64"/>
      <c r="AE902" s="70"/>
      <c r="AF902" s="70"/>
      <c r="AG902" s="70"/>
      <c r="AH902" s="70"/>
    </row>
    <row r="903" spans="4:34" x14ac:dyDescent="0.2">
      <c r="D903" s="53"/>
      <c r="E903" s="70"/>
      <c r="F903" s="70"/>
      <c r="G903" s="70"/>
      <c r="H903" s="70"/>
      <c r="I903" s="70"/>
      <c r="J903" s="70"/>
      <c r="K903" s="70"/>
      <c r="L903" s="70"/>
      <c r="M903" s="70"/>
      <c r="N903" s="70"/>
      <c r="O903" s="70"/>
      <c r="P903" s="70"/>
      <c r="Q903" s="70"/>
      <c r="R903" s="70"/>
      <c r="S903" s="70"/>
      <c r="T903" s="70"/>
      <c r="U903" s="64"/>
      <c r="V903" s="64"/>
      <c r="W903" s="70"/>
      <c r="X903" s="64"/>
      <c r="Y903" s="70"/>
      <c r="Z903" s="70"/>
      <c r="AA903" s="71"/>
      <c r="AB903" s="70"/>
      <c r="AC903" s="70"/>
      <c r="AD903" s="64"/>
      <c r="AE903" s="70"/>
      <c r="AF903" s="70"/>
      <c r="AG903" s="70"/>
      <c r="AH903" s="70"/>
    </row>
    <row r="904" spans="4:34" x14ac:dyDescent="0.2">
      <c r="D904" s="53"/>
      <c r="E904" s="70"/>
      <c r="F904" s="70"/>
      <c r="G904" s="70"/>
      <c r="H904" s="70"/>
      <c r="I904" s="70"/>
      <c r="J904" s="70"/>
      <c r="K904" s="70"/>
      <c r="L904" s="70"/>
      <c r="M904" s="70"/>
      <c r="N904" s="70"/>
      <c r="O904" s="70"/>
      <c r="P904" s="70"/>
      <c r="Q904" s="70"/>
      <c r="R904" s="70"/>
      <c r="S904" s="70"/>
      <c r="T904" s="70"/>
      <c r="U904" s="64"/>
      <c r="V904" s="64"/>
      <c r="W904" s="70"/>
      <c r="X904" s="64"/>
      <c r="Y904" s="70"/>
      <c r="Z904" s="70"/>
      <c r="AA904" s="71"/>
      <c r="AB904" s="70"/>
      <c r="AC904" s="70"/>
      <c r="AD904" s="64"/>
      <c r="AE904" s="70"/>
      <c r="AF904" s="70"/>
      <c r="AG904" s="70"/>
      <c r="AH904" s="70"/>
    </row>
    <row r="905" spans="4:34" x14ac:dyDescent="0.2">
      <c r="D905" s="53"/>
      <c r="E905" s="70"/>
      <c r="F905" s="70"/>
      <c r="G905" s="70"/>
      <c r="H905" s="70"/>
      <c r="I905" s="70"/>
      <c r="J905" s="70"/>
      <c r="K905" s="70"/>
      <c r="L905" s="70"/>
      <c r="M905" s="70"/>
      <c r="N905" s="70"/>
      <c r="O905" s="70"/>
      <c r="P905" s="70"/>
      <c r="Q905" s="70"/>
      <c r="R905" s="70"/>
      <c r="S905" s="70"/>
      <c r="T905" s="70"/>
      <c r="U905" s="64"/>
      <c r="V905" s="64"/>
      <c r="W905" s="70"/>
      <c r="X905" s="64"/>
      <c r="Y905" s="70"/>
      <c r="Z905" s="70"/>
      <c r="AA905" s="71"/>
      <c r="AB905" s="70"/>
      <c r="AC905" s="70"/>
      <c r="AD905" s="64"/>
      <c r="AE905" s="70"/>
      <c r="AF905" s="70"/>
      <c r="AG905" s="70"/>
      <c r="AH905" s="70"/>
    </row>
    <row r="906" spans="4:34" x14ac:dyDescent="0.2">
      <c r="D906" s="53"/>
      <c r="E906" s="70"/>
      <c r="F906" s="70"/>
      <c r="G906" s="70"/>
      <c r="H906" s="70"/>
      <c r="I906" s="70"/>
      <c r="J906" s="70"/>
      <c r="K906" s="70"/>
      <c r="L906" s="70"/>
      <c r="M906" s="70"/>
      <c r="N906" s="70"/>
      <c r="O906" s="70"/>
      <c r="P906" s="70"/>
      <c r="Q906" s="70"/>
      <c r="R906" s="70"/>
      <c r="S906" s="70"/>
      <c r="T906" s="70"/>
      <c r="U906" s="64"/>
      <c r="V906" s="64"/>
      <c r="W906" s="70"/>
      <c r="X906" s="64"/>
      <c r="Y906" s="70"/>
      <c r="Z906" s="70"/>
      <c r="AA906" s="71"/>
      <c r="AB906" s="70"/>
      <c r="AC906" s="70"/>
      <c r="AD906" s="64"/>
      <c r="AE906" s="70"/>
      <c r="AF906" s="70"/>
      <c r="AG906" s="70"/>
      <c r="AH906" s="70"/>
    </row>
    <row r="907" spans="4:34" x14ac:dyDescent="0.2">
      <c r="D907" s="53"/>
      <c r="E907" s="70"/>
      <c r="F907" s="70"/>
      <c r="G907" s="70"/>
      <c r="H907" s="70"/>
      <c r="I907" s="70"/>
      <c r="J907" s="70"/>
      <c r="K907" s="70"/>
      <c r="L907" s="70"/>
      <c r="M907" s="70"/>
      <c r="N907" s="70"/>
      <c r="O907" s="70"/>
      <c r="P907" s="70"/>
      <c r="Q907" s="70"/>
      <c r="R907" s="70"/>
      <c r="S907" s="70"/>
      <c r="T907" s="70"/>
      <c r="U907" s="64"/>
      <c r="V907" s="64"/>
      <c r="W907" s="70"/>
      <c r="X907" s="64"/>
      <c r="Y907" s="70"/>
      <c r="Z907" s="70"/>
      <c r="AA907" s="71"/>
      <c r="AB907" s="70"/>
      <c r="AC907" s="70"/>
      <c r="AD907" s="64"/>
      <c r="AE907" s="70"/>
      <c r="AF907" s="70"/>
      <c r="AG907" s="70"/>
      <c r="AH907" s="70"/>
    </row>
    <row r="908" spans="4:34" x14ac:dyDescent="0.2">
      <c r="D908" s="53"/>
      <c r="E908" s="70"/>
      <c r="F908" s="70"/>
      <c r="G908" s="70"/>
      <c r="H908" s="70"/>
      <c r="I908" s="70"/>
      <c r="J908" s="70"/>
      <c r="K908" s="70"/>
      <c r="L908" s="70"/>
      <c r="M908" s="70"/>
      <c r="N908" s="70"/>
      <c r="O908" s="70"/>
      <c r="P908" s="70"/>
      <c r="Q908" s="70"/>
      <c r="R908" s="70"/>
      <c r="S908" s="70"/>
      <c r="T908" s="70"/>
      <c r="U908" s="64"/>
      <c r="V908" s="64"/>
      <c r="W908" s="70"/>
      <c r="X908" s="64"/>
      <c r="Y908" s="70"/>
      <c r="Z908" s="70"/>
      <c r="AA908" s="71"/>
      <c r="AB908" s="70"/>
      <c r="AC908" s="70"/>
      <c r="AD908" s="64"/>
      <c r="AE908" s="70"/>
      <c r="AF908" s="70"/>
      <c r="AG908" s="70"/>
      <c r="AH908" s="70"/>
    </row>
    <row r="909" spans="4:34" x14ac:dyDescent="0.2">
      <c r="D909" s="53"/>
      <c r="E909" s="70"/>
      <c r="F909" s="70"/>
      <c r="G909" s="70"/>
      <c r="H909" s="70"/>
      <c r="I909" s="70"/>
      <c r="J909" s="70"/>
      <c r="K909" s="70"/>
      <c r="L909" s="70"/>
      <c r="M909" s="70"/>
      <c r="N909" s="70"/>
      <c r="O909" s="70"/>
      <c r="P909" s="70"/>
      <c r="Q909" s="70"/>
      <c r="R909" s="70"/>
      <c r="S909" s="70"/>
      <c r="T909" s="70"/>
      <c r="U909" s="64"/>
      <c r="V909" s="64"/>
      <c r="W909" s="70"/>
      <c r="X909" s="64"/>
      <c r="Y909" s="70"/>
      <c r="Z909" s="70"/>
      <c r="AA909" s="71"/>
      <c r="AB909" s="70"/>
      <c r="AC909" s="70"/>
      <c r="AD909" s="64"/>
      <c r="AE909" s="70"/>
      <c r="AF909" s="70"/>
      <c r="AG909" s="70"/>
      <c r="AH909" s="70"/>
    </row>
    <row r="910" spans="4:34" x14ac:dyDescent="0.2">
      <c r="D910" s="53"/>
      <c r="E910" s="70"/>
      <c r="F910" s="70"/>
      <c r="G910" s="70"/>
      <c r="H910" s="70"/>
      <c r="I910" s="70"/>
      <c r="J910" s="70"/>
      <c r="K910" s="70"/>
      <c r="L910" s="70"/>
      <c r="M910" s="70"/>
      <c r="N910" s="70"/>
      <c r="O910" s="70"/>
      <c r="P910" s="70"/>
      <c r="Q910" s="70"/>
      <c r="R910" s="70"/>
      <c r="S910" s="70"/>
      <c r="T910" s="70"/>
      <c r="U910" s="64"/>
      <c r="V910" s="64"/>
      <c r="W910" s="70"/>
      <c r="X910" s="64"/>
      <c r="Y910" s="70"/>
      <c r="Z910" s="70"/>
      <c r="AA910" s="71"/>
      <c r="AB910" s="70"/>
      <c r="AC910" s="70"/>
      <c r="AD910" s="64"/>
      <c r="AE910" s="70"/>
      <c r="AF910" s="70"/>
      <c r="AG910" s="70"/>
      <c r="AH910" s="70"/>
    </row>
    <row r="911" spans="4:34" x14ac:dyDescent="0.2">
      <c r="D911" s="53"/>
      <c r="E911" s="70"/>
      <c r="F911" s="70"/>
      <c r="G911" s="70"/>
      <c r="H911" s="70"/>
      <c r="I911" s="70"/>
      <c r="J911" s="70"/>
      <c r="K911" s="70"/>
      <c r="L911" s="70"/>
      <c r="M911" s="70"/>
      <c r="N911" s="70"/>
      <c r="O911" s="70"/>
      <c r="P911" s="70"/>
      <c r="Q911" s="70"/>
      <c r="R911" s="70"/>
      <c r="S911" s="70"/>
      <c r="T911" s="70"/>
      <c r="U911" s="64"/>
      <c r="V911" s="64"/>
      <c r="W911" s="70"/>
      <c r="X911" s="64"/>
      <c r="Y911" s="70"/>
      <c r="Z911" s="70"/>
      <c r="AA911" s="71"/>
      <c r="AB911" s="70"/>
      <c r="AC911" s="70"/>
      <c r="AD911" s="64"/>
      <c r="AE911" s="70"/>
      <c r="AF911" s="70"/>
      <c r="AG911" s="70"/>
      <c r="AH911" s="70"/>
    </row>
    <row r="912" spans="4:34" x14ac:dyDescent="0.2">
      <c r="D912" s="53"/>
      <c r="E912" s="70"/>
      <c r="F912" s="70"/>
      <c r="G912" s="70"/>
      <c r="H912" s="70"/>
      <c r="I912" s="70"/>
      <c r="J912" s="70"/>
      <c r="K912" s="70"/>
      <c r="L912" s="70"/>
      <c r="M912" s="70"/>
      <c r="N912" s="70"/>
      <c r="O912" s="70"/>
      <c r="P912" s="70"/>
      <c r="Q912" s="70"/>
      <c r="R912" s="70"/>
      <c r="S912" s="70"/>
      <c r="T912" s="70"/>
      <c r="U912" s="64"/>
      <c r="V912" s="64"/>
      <c r="W912" s="70"/>
      <c r="X912" s="64"/>
      <c r="Y912" s="70"/>
      <c r="Z912" s="70"/>
      <c r="AA912" s="71"/>
      <c r="AB912" s="70"/>
      <c r="AC912" s="70"/>
      <c r="AD912" s="64"/>
      <c r="AE912" s="70"/>
      <c r="AF912" s="70"/>
      <c r="AG912" s="70"/>
      <c r="AH912" s="70"/>
    </row>
    <row r="913" spans="4:34" x14ac:dyDescent="0.2">
      <c r="D913" s="53"/>
      <c r="E913" s="70"/>
      <c r="F913" s="70"/>
      <c r="G913" s="70"/>
      <c r="H913" s="70"/>
      <c r="I913" s="70"/>
      <c r="J913" s="70"/>
      <c r="K913" s="70"/>
      <c r="L913" s="70"/>
      <c r="M913" s="70"/>
      <c r="N913" s="70"/>
      <c r="O913" s="70"/>
      <c r="P913" s="70"/>
      <c r="Q913" s="70"/>
      <c r="R913" s="70"/>
      <c r="S913" s="70"/>
      <c r="T913" s="70"/>
      <c r="U913" s="64"/>
      <c r="V913" s="64"/>
      <c r="W913" s="70"/>
      <c r="X913" s="64"/>
      <c r="Y913" s="70"/>
      <c r="Z913" s="70"/>
      <c r="AA913" s="71"/>
      <c r="AB913" s="70"/>
      <c r="AC913" s="70"/>
      <c r="AD913" s="64"/>
      <c r="AE913" s="70"/>
      <c r="AF913" s="70"/>
      <c r="AG913" s="70"/>
      <c r="AH913" s="70"/>
    </row>
    <row r="914" spans="4:34" x14ac:dyDescent="0.2">
      <c r="D914" s="53"/>
      <c r="E914" s="70"/>
      <c r="F914" s="70"/>
      <c r="G914" s="70"/>
      <c r="H914" s="70"/>
      <c r="I914" s="70"/>
      <c r="J914" s="70"/>
      <c r="K914" s="70"/>
      <c r="L914" s="70"/>
      <c r="M914" s="70"/>
      <c r="N914" s="70"/>
      <c r="O914" s="70"/>
      <c r="P914" s="70"/>
      <c r="Q914" s="70"/>
      <c r="R914" s="70"/>
      <c r="S914" s="70"/>
      <c r="T914" s="70"/>
      <c r="U914" s="64"/>
      <c r="V914" s="64"/>
      <c r="W914" s="70"/>
      <c r="X914" s="64"/>
      <c r="Y914" s="70"/>
      <c r="Z914" s="70"/>
      <c r="AA914" s="71"/>
      <c r="AB914" s="70"/>
      <c r="AC914" s="70"/>
      <c r="AD914" s="64"/>
      <c r="AE914" s="70"/>
      <c r="AF914" s="70"/>
      <c r="AG914" s="70"/>
      <c r="AH914" s="70"/>
    </row>
    <row r="915" spans="4:34" x14ac:dyDescent="0.2">
      <c r="D915" s="53"/>
      <c r="E915" s="70"/>
      <c r="F915" s="70"/>
      <c r="G915" s="70"/>
      <c r="H915" s="70"/>
      <c r="I915" s="70"/>
      <c r="J915" s="70"/>
      <c r="K915" s="70"/>
      <c r="L915" s="70"/>
      <c r="M915" s="70"/>
      <c r="N915" s="70"/>
      <c r="O915" s="70"/>
      <c r="P915" s="70"/>
      <c r="Q915" s="70"/>
      <c r="R915" s="70"/>
      <c r="S915" s="70"/>
      <c r="T915" s="70"/>
      <c r="U915" s="64"/>
      <c r="V915" s="64"/>
      <c r="W915" s="70"/>
      <c r="X915" s="64"/>
      <c r="Y915" s="70"/>
      <c r="Z915" s="70"/>
      <c r="AA915" s="71"/>
      <c r="AB915" s="70"/>
      <c r="AC915" s="70"/>
      <c r="AD915" s="64"/>
      <c r="AE915" s="70"/>
      <c r="AF915" s="70"/>
      <c r="AG915" s="70"/>
      <c r="AH915" s="70"/>
    </row>
    <row r="916" spans="4:34" x14ac:dyDescent="0.2">
      <c r="D916" s="53"/>
      <c r="E916" s="70"/>
      <c r="F916" s="70"/>
      <c r="G916" s="70"/>
      <c r="H916" s="70"/>
      <c r="I916" s="70"/>
      <c r="J916" s="70"/>
      <c r="K916" s="70"/>
      <c r="L916" s="70"/>
      <c r="M916" s="70"/>
      <c r="N916" s="70"/>
      <c r="O916" s="70"/>
      <c r="P916" s="70"/>
      <c r="Q916" s="70"/>
      <c r="R916" s="70"/>
      <c r="S916" s="70"/>
      <c r="T916" s="70"/>
      <c r="U916" s="64"/>
      <c r="V916" s="64"/>
      <c r="W916" s="70"/>
      <c r="X916" s="64"/>
      <c r="Y916" s="70"/>
      <c r="Z916" s="70"/>
      <c r="AA916" s="71"/>
      <c r="AB916" s="70"/>
      <c r="AC916" s="70"/>
      <c r="AD916" s="64"/>
      <c r="AE916" s="70"/>
      <c r="AF916" s="70"/>
      <c r="AG916" s="70"/>
      <c r="AH916" s="70"/>
    </row>
    <row r="917" spans="4:34" x14ac:dyDescent="0.2">
      <c r="D917" s="53"/>
      <c r="E917" s="70"/>
      <c r="F917" s="70"/>
      <c r="G917" s="70"/>
      <c r="H917" s="70"/>
      <c r="I917" s="70"/>
      <c r="J917" s="70"/>
      <c r="K917" s="70"/>
      <c r="L917" s="70"/>
      <c r="M917" s="70"/>
      <c r="N917" s="70"/>
      <c r="O917" s="70"/>
      <c r="P917" s="70"/>
      <c r="Q917" s="70"/>
      <c r="R917" s="70"/>
      <c r="S917" s="70"/>
      <c r="T917" s="70"/>
      <c r="U917" s="64"/>
      <c r="V917" s="64"/>
      <c r="W917" s="70"/>
      <c r="X917" s="64"/>
      <c r="Y917" s="70"/>
      <c r="Z917" s="70"/>
      <c r="AA917" s="71"/>
      <c r="AB917" s="70"/>
      <c r="AC917" s="70"/>
      <c r="AD917" s="64"/>
      <c r="AE917" s="70"/>
      <c r="AF917" s="70"/>
      <c r="AG917" s="70"/>
      <c r="AH917" s="70"/>
    </row>
    <row r="918" spans="4:34" x14ac:dyDescent="0.2">
      <c r="D918" s="53"/>
      <c r="E918" s="70"/>
      <c r="F918" s="70"/>
      <c r="G918" s="70"/>
      <c r="H918" s="70"/>
      <c r="I918" s="70"/>
      <c r="J918" s="70"/>
      <c r="K918" s="70"/>
      <c r="L918" s="70"/>
      <c r="M918" s="70"/>
      <c r="N918" s="70"/>
      <c r="O918" s="70"/>
      <c r="P918" s="70"/>
      <c r="Q918" s="70"/>
      <c r="R918" s="70"/>
      <c r="S918" s="70"/>
      <c r="T918" s="70"/>
      <c r="U918" s="64"/>
      <c r="V918" s="64"/>
      <c r="W918" s="70"/>
      <c r="X918" s="64"/>
      <c r="Y918" s="70"/>
      <c r="Z918" s="70"/>
      <c r="AA918" s="71"/>
      <c r="AB918" s="70"/>
      <c r="AC918" s="70"/>
      <c r="AD918" s="64"/>
      <c r="AE918" s="70"/>
      <c r="AF918" s="70"/>
      <c r="AG918" s="70"/>
      <c r="AH918" s="70"/>
    </row>
    <row r="919" spans="4:34" x14ac:dyDescent="0.2">
      <c r="D919" s="53"/>
      <c r="E919" s="70"/>
      <c r="F919" s="70"/>
      <c r="G919" s="70"/>
      <c r="H919" s="70"/>
      <c r="I919" s="70"/>
      <c r="J919" s="70"/>
      <c r="K919" s="70"/>
      <c r="L919" s="70"/>
      <c r="M919" s="70"/>
      <c r="N919" s="70"/>
      <c r="O919" s="70"/>
      <c r="P919" s="70"/>
      <c r="Q919" s="70"/>
      <c r="R919" s="70"/>
      <c r="S919" s="70"/>
      <c r="T919" s="70"/>
      <c r="U919" s="64"/>
      <c r="V919" s="64"/>
      <c r="W919" s="70"/>
      <c r="X919" s="64"/>
      <c r="Y919" s="70"/>
      <c r="Z919" s="70"/>
      <c r="AA919" s="71"/>
      <c r="AB919" s="70"/>
      <c r="AC919" s="70"/>
      <c r="AD919" s="64"/>
      <c r="AE919" s="70"/>
      <c r="AF919" s="70"/>
      <c r="AG919" s="70"/>
      <c r="AH919" s="70"/>
    </row>
    <row r="920" spans="4:34" x14ac:dyDescent="0.2">
      <c r="D920" s="53"/>
      <c r="E920" s="70"/>
      <c r="F920" s="70"/>
      <c r="G920" s="70"/>
      <c r="H920" s="70"/>
      <c r="I920" s="70"/>
      <c r="J920" s="70"/>
      <c r="K920" s="70"/>
      <c r="L920" s="70"/>
      <c r="M920" s="70"/>
      <c r="N920" s="70"/>
      <c r="O920" s="70"/>
      <c r="P920" s="70"/>
      <c r="Q920" s="70"/>
      <c r="R920" s="70"/>
      <c r="S920" s="70"/>
      <c r="T920" s="70"/>
      <c r="U920" s="64"/>
      <c r="V920" s="64"/>
      <c r="W920" s="70"/>
      <c r="X920" s="64"/>
      <c r="Y920" s="70"/>
      <c r="Z920" s="70"/>
      <c r="AA920" s="71"/>
      <c r="AB920" s="70"/>
      <c r="AC920" s="70"/>
      <c r="AD920" s="64"/>
      <c r="AE920" s="70"/>
      <c r="AF920" s="70"/>
      <c r="AG920" s="70"/>
      <c r="AH920" s="70"/>
    </row>
    <row r="921" spans="4:34" x14ac:dyDescent="0.2">
      <c r="D921" s="53"/>
      <c r="E921" s="70"/>
      <c r="F921" s="70"/>
      <c r="G921" s="70"/>
      <c r="H921" s="70"/>
      <c r="I921" s="70"/>
      <c r="J921" s="70"/>
      <c r="K921" s="70"/>
      <c r="L921" s="70"/>
      <c r="M921" s="70"/>
      <c r="N921" s="70"/>
      <c r="O921" s="70"/>
      <c r="P921" s="70"/>
      <c r="Q921" s="70"/>
      <c r="R921" s="70"/>
      <c r="S921" s="70"/>
      <c r="T921" s="70"/>
      <c r="U921" s="64"/>
      <c r="V921" s="64"/>
      <c r="W921" s="70"/>
      <c r="X921" s="64"/>
      <c r="Y921" s="70"/>
      <c r="Z921" s="70"/>
      <c r="AA921" s="71"/>
      <c r="AB921" s="70"/>
      <c r="AC921" s="70"/>
      <c r="AD921" s="64"/>
      <c r="AE921" s="70"/>
      <c r="AF921" s="70"/>
      <c r="AG921" s="70"/>
      <c r="AH921" s="70"/>
    </row>
    <row r="922" spans="4:34" x14ac:dyDescent="0.2">
      <c r="D922" s="53"/>
      <c r="E922" s="70"/>
      <c r="F922" s="70"/>
      <c r="G922" s="70"/>
      <c r="H922" s="70"/>
      <c r="I922" s="70"/>
      <c r="J922" s="70"/>
      <c r="K922" s="70"/>
      <c r="L922" s="70"/>
      <c r="M922" s="70"/>
      <c r="N922" s="70"/>
      <c r="O922" s="70"/>
      <c r="P922" s="70"/>
      <c r="Q922" s="70"/>
      <c r="R922" s="70"/>
      <c r="S922" s="70"/>
      <c r="T922" s="70"/>
      <c r="U922" s="64"/>
      <c r="V922" s="64"/>
      <c r="W922" s="70"/>
      <c r="X922" s="64"/>
      <c r="Y922" s="70"/>
      <c r="Z922" s="70"/>
      <c r="AA922" s="71"/>
      <c r="AB922" s="70"/>
      <c r="AC922" s="70"/>
      <c r="AD922" s="64"/>
      <c r="AE922" s="70"/>
      <c r="AF922" s="70"/>
      <c r="AG922" s="70"/>
      <c r="AH922" s="70"/>
    </row>
    <row r="923" spans="4:34" x14ac:dyDescent="0.2">
      <c r="D923" s="53"/>
      <c r="E923" s="70"/>
      <c r="F923" s="70"/>
      <c r="G923" s="70"/>
      <c r="H923" s="70"/>
      <c r="I923" s="70"/>
      <c r="J923" s="70"/>
      <c r="K923" s="70"/>
      <c r="L923" s="70"/>
      <c r="M923" s="70"/>
      <c r="N923" s="70"/>
      <c r="O923" s="70"/>
      <c r="P923" s="70"/>
      <c r="Q923" s="70"/>
      <c r="R923" s="70"/>
      <c r="S923" s="70"/>
      <c r="T923" s="70"/>
      <c r="U923" s="64"/>
      <c r="V923" s="64"/>
      <c r="W923" s="70"/>
      <c r="X923" s="64"/>
      <c r="Y923" s="70"/>
      <c r="Z923" s="70"/>
      <c r="AA923" s="71"/>
      <c r="AB923" s="70"/>
      <c r="AC923" s="70"/>
      <c r="AD923" s="64"/>
      <c r="AE923" s="70"/>
      <c r="AF923" s="70"/>
      <c r="AG923" s="70"/>
      <c r="AH923" s="70"/>
    </row>
    <row r="924" spans="4:34" x14ac:dyDescent="0.2">
      <c r="D924" s="53"/>
      <c r="E924" s="70"/>
      <c r="F924" s="70"/>
      <c r="G924" s="70"/>
      <c r="H924" s="70"/>
      <c r="I924" s="70"/>
      <c r="J924" s="70"/>
      <c r="K924" s="70"/>
      <c r="L924" s="70"/>
      <c r="M924" s="70"/>
      <c r="N924" s="70"/>
      <c r="O924" s="70"/>
      <c r="P924" s="70"/>
      <c r="Q924" s="70"/>
      <c r="R924" s="70"/>
      <c r="S924" s="70"/>
      <c r="T924" s="70"/>
      <c r="U924" s="64"/>
      <c r="V924" s="64"/>
      <c r="W924" s="70"/>
      <c r="X924" s="64"/>
      <c r="Y924" s="70"/>
      <c r="Z924" s="70"/>
      <c r="AA924" s="71"/>
      <c r="AB924" s="70"/>
      <c r="AC924" s="70"/>
      <c r="AD924" s="64"/>
      <c r="AE924" s="70"/>
      <c r="AF924" s="70"/>
      <c r="AG924" s="70"/>
      <c r="AH924" s="70"/>
    </row>
    <row r="925" spans="4:34" x14ac:dyDescent="0.2">
      <c r="D925" s="53"/>
      <c r="E925" s="70"/>
      <c r="F925" s="70"/>
      <c r="G925" s="70"/>
      <c r="H925" s="70"/>
      <c r="I925" s="70"/>
      <c r="J925" s="70"/>
      <c r="K925" s="70"/>
      <c r="L925" s="70"/>
      <c r="M925" s="70"/>
      <c r="N925" s="70"/>
      <c r="O925" s="70"/>
      <c r="P925" s="70"/>
      <c r="Q925" s="70"/>
      <c r="R925" s="70"/>
      <c r="S925" s="70"/>
      <c r="T925" s="70"/>
      <c r="U925" s="64"/>
      <c r="V925" s="64"/>
      <c r="W925" s="70"/>
      <c r="X925" s="64"/>
      <c r="Y925" s="70"/>
      <c r="Z925" s="70"/>
      <c r="AA925" s="71"/>
      <c r="AB925" s="70"/>
      <c r="AC925" s="70"/>
      <c r="AD925" s="64"/>
      <c r="AE925" s="70"/>
      <c r="AF925" s="70"/>
      <c r="AG925" s="70"/>
      <c r="AH925" s="70"/>
    </row>
    <row r="926" spans="4:34" x14ac:dyDescent="0.2">
      <c r="D926" s="53"/>
      <c r="E926" s="70"/>
      <c r="F926" s="70"/>
      <c r="G926" s="70"/>
      <c r="H926" s="70"/>
      <c r="I926" s="70"/>
      <c r="J926" s="70"/>
      <c r="K926" s="70"/>
      <c r="L926" s="70"/>
      <c r="M926" s="70"/>
      <c r="N926" s="70"/>
      <c r="O926" s="70"/>
      <c r="P926" s="70"/>
      <c r="Q926" s="70"/>
      <c r="R926" s="70"/>
      <c r="S926" s="70"/>
      <c r="T926" s="70"/>
      <c r="U926" s="64"/>
      <c r="V926" s="64"/>
      <c r="W926" s="70"/>
      <c r="X926" s="64"/>
      <c r="Y926" s="70"/>
      <c r="Z926" s="70"/>
      <c r="AA926" s="71"/>
      <c r="AB926" s="70"/>
      <c r="AC926" s="70"/>
      <c r="AD926" s="64"/>
      <c r="AE926" s="70"/>
      <c r="AF926" s="70"/>
      <c r="AG926" s="70"/>
      <c r="AH926" s="70"/>
    </row>
    <row r="927" spans="4:34" x14ac:dyDescent="0.2">
      <c r="D927" s="53"/>
      <c r="E927" s="70"/>
      <c r="F927" s="70"/>
      <c r="G927" s="70"/>
      <c r="H927" s="70"/>
      <c r="I927" s="70"/>
      <c r="J927" s="70"/>
      <c r="K927" s="70"/>
      <c r="L927" s="70"/>
      <c r="M927" s="70"/>
      <c r="N927" s="70"/>
      <c r="O927" s="70"/>
      <c r="P927" s="70"/>
      <c r="Q927" s="70"/>
      <c r="R927" s="70"/>
      <c r="S927" s="70"/>
      <c r="T927" s="70"/>
      <c r="U927" s="64"/>
      <c r="V927" s="64"/>
      <c r="W927" s="70"/>
      <c r="X927" s="64"/>
      <c r="Y927" s="70"/>
      <c r="Z927" s="70"/>
      <c r="AA927" s="71"/>
      <c r="AB927" s="70"/>
      <c r="AC927" s="70"/>
      <c r="AD927" s="64"/>
      <c r="AE927" s="70"/>
      <c r="AF927" s="70"/>
      <c r="AG927" s="70"/>
      <c r="AH927" s="70"/>
    </row>
    <row r="928" spans="4:34" x14ac:dyDescent="0.2">
      <c r="D928" s="53"/>
      <c r="E928" s="70"/>
      <c r="F928" s="70"/>
      <c r="G928" s="70"/>
      <c r="H928" s="70"/>
      <c r="I928" s="70"/>
      <c r="J928" s="70"/>
      <c r="K928" s="70"/>
      <c r="L928" s="70"/>
      <c r="M928" s="70"/>
      <c r="N928" s="70"/>
      <c r="O928" s="70"/>
      <c r="P928" s="70"/>
      <c r="Q928" s="70"/>
      <c r="R928" s="70"/>
      <c r="S928" s="70"/>
      <c r="T928" s="70"/>
      <c r="U928" s="64"/>
      <c r="V928" s="64"/>
      <c r="W928" s="70"/>
      <c r="X928" s="64"/>
      <c r="Y928" s="70"/>
      <c r="Z928" s="70"/>
      <c r="AA928" s="71"/>
      <c r="AB928" s="70"/>
      <c r="AC928" s="70"/>
      <c r="AD928" s="64"/>
      <c r="AE928" s="70"/>
      <c r="AF928" s="70"/>
      <c r="AG928" s="70"/>
      <c r="AH928" s="70"/>
    </row>
    <row r="929" spans="4:34" x14ac:dyDescent="0.2">
      <c r="D929" s="53"/>
      <c r="E929" s="70"/>
      <c r="F929" s="70"/>
      <c r="G929" s="70"/>
      <c r="H929" s="70"/>
      <c r="I929" s="70"/>
      <c r="J929" s="70"/>
      <c r="K929" s="70"/>
      <c r="L929" s="70"/>
      <c r="M929" s="70"/>
      <c r="N929" s="70"/>
      <c r="O929" s="70"/>
      <c r="P929" s="70"/>
      <c r="Q929" s="70"/>
      <c r="R929" s="70"/>
      <c r="S929" s="70"/>
      <c r="T929" s="70"/>
      <c r="U929" s="64"/>
      <c r="V929" s="64"/>
      <c r="W929" s="70"/>
      <c r="X929" s="64"/>
      <c r="Y929" s="70"/>
      <c r="Z929" s="70"/>
      <c r="AA929" s="71"/>
      <c r="AB929" s="70"/>
      <c r="AC929" s="70"/>
      <c r="AD929" s="64"/>
      <c r="AE929" s="70"/>
      <c r="AF929" s="70"/>
      <c r="AG929" s="70"/>
      <c r="AH929" s="70"/>
    </row>
    <row r="930" spans="4:34" x14ac:dyDescent="0.2">
      <c r="D930" s="53"/>
      <c r="E930" s="70"/>
      <c r="F930" s="70"/>
      <c r="G930" s="70"/>
      <c r="H930" s="70"/>
      <c r="I930" s="70"/>
      <c r="J930" s="70"/>
      <c r="K930" s="70"/>
      <c r="L930" s="70"/>
      <c r="M930" s="70"/>
      <c r="N930" s="70"/>
      <c r="O930" s="70"/>
      <c r="P930" s="70"/>
      <c r="Q930" s="70"/>
      <c r="R930" s="70"/>
      <c r="S930" s="70"/>
      <c r="T930" s="70"/>
      <c r="U930" s="64"/>
      <c r="V930" s="64"/>
      <c r="W930" s="70"/>
      <c r="X930" s="64"/>
      <c r="Y930" s="70"/>
      <c r="Z930" s="70"/>
      <c r="AA930" s="71"/>
      <c r="AB930" s="70"/>
      <c r="AC930" s="70"/>
      <c r="AD930" s="64"/>
      <c r="AE930" s="70"/>
      <c r="AF930" s="70"/>
      <c r="AG930" s="70"/>
      <c r="AH930" s="70"/>
    </row>
    <row r="931" spans="4:34" x14ac:dyDescent="0.2">
      <c r="D931" s="53"/>
      <c r="E931" s="70"/>
      <c r="F931" s="70"/>
      <c r="G931" s="70"/>
      <c r="H931" s="70"/>
      <c r="I931" s="70"/>
      <c r="J931" s="70"/>
      <c r="K931" s="70"/>
      <c r="L931" s="70"/>
      <c r="M931" s="70"/>
      <c r="N931" s="70"/>
      <c r="O931" s="70"/>
      <c r="P931" s="70"/>
      <c r="Q931" s="70"/>
      <c r="R931" s="70"/>
      <c r="S931" s="70"/>
      <c r="T931" s="70"/>
      <c r="U931" s="64"/>
      <c r="V931" s="64"/>
      <c r="W931" s="70"/>
      <c r="X931" s="64"/>
      <c r="Y931" s="70"/>
      <c r="Z931" s="70"/>
      <c r="AA931" s="71"/>
      <c r="AB931" s="70"/>
      <c r="AC931" s="70"/>
      <c r="AD931" s="64"/>
      <c r="AE931" s="70"/>
      <c r="AF931" s="70"/>
      <c r="AG931" s="70"/>
      <c r="AH931" s="70"/>
    </row>
    <row r="932" spans="4:34" x14ac:dyDescent="0.2">
      <c r="D932" s="53"/>
      <c r="E932" s="70"/>
      <c r="F932" s="70"/>
      <c r="G932" s="70"/>
      <c r="H932" s="70"/>
      <c r="I932" s="70"/>
      <c r="J932" s="70"/>
      <c r="K932" s="70"/>
      <c r="L932" s="70"/>
      <c r="M932" s="70"/>
      <c r="N932" s="70"/>
      <c r="O932" s="70"/>
      <c r="P932" s="70"/>
      <c r="Q932" s="70"/>
      <c r="R932" s="70"/>
      <c r="S932" s="70"/>
      <c r="T932" s="70"/>
      <c r="U932" s="64"/>
      <c r="V932" s="64"/>
      <c r="W932" s="70"/>
      <c r="X932" s="64"/>
      <c r="Y932" s="70"/>
      <c r="Z932" s="70"/>
      <c r="AA932" s="71"/>
      <c r="AB932" s="70"/>
      <c r="AC932" s="70"/>
      <c r="AD932" s="64"/>
      <c r="AE932" s="70"/>
      <c r="AF932" s="70"/>
      <c r="AG932" s="70"/>
      <c r="AH932" s="70"/>
    </row>
    <row r="933" spans="4:34" x14ac:dyDescent="0.2">
      <c r="D933" s="53"/>
      <c r="E933" s="70"/>
      <c r="F933" s="70"/>
      <c r="G933" s="70"/>
      <c r="H933" s="70"/>
      <c r="I933" s="70"/>
      <c r="J933" s="70"/>
      <c r="K933" s="70"/>
      <c r="L933" s="70"/>
      <c r="M933" s="70"/>
      <c r="N933" s="70"/>
      <c r="O933" s="70"/>
      <c r="P933" s="70"/>
      <c r="Q933" s="70"/>
      <c r="R933" s="70"/>
      <c r="S933" s="70"/>
      <c r="T933" s="70"/>
      <c r="U933" s="64"/>
      <c r="V933" s="64"/>
      <c r="W933" s="70"/>
      <c r="X933" s="64"/>
      <c r="Y933" s="70"/>
      <c r="Z933" s="70"/>
      <c r="AA933" s="71"/>
      <c r="AB933" s="70"/>
      <c r="AC933" s="70"/>
      <c r="AD933" s="64"/>
      <c r="AE933" s="70"/>
      <c r="AF933" s="70"/>
      <c r="AG933" s="70"/>
      <c r="AH933" s="70"/>
    </row>
    <row r="934" spans="4:34" x14ac:dyDescent="0.2">
      <c r="D934" s="53"/>
      <c r="E934" s="70"/>
      <c r="F934" s="70"/>
      <c r="G934" s="70"/>
      <c r="H934" s="70"/>
      <c r="I934" s="70"/>
      <c r="J934" s="70"/>
      <c r="K934" s="70"/>
      <c r="L934" s="70"/>
      <c r="M934" s="70"/>
      <c r="N934" s="70"/>
      <c r="O934" s="70"/>
      <c r="P934" s="70"/>
      <c r="Q934" s="70"/>
      <c r="R934" s="70"/>
      <c r="S934" s="70"/>
      <c r="T934" s="70"/>
      <c r="U934" s="64"/>
      <c r="V934" s="64"/>
      <c r="W934" s="70"/>
      <c r="X934" s="64"/>
      <c r="Y934" s="70"/>
      <c r="Z934" s="70"/>
      <c r="AA934" s="71"/>
      <c r="AB934" s="70"/>
      <c r="AC934" s="70"/>
      <c r="AD934" s="64"/>
      <c r="AE934" s="70"/>
      <c r="AF934" s="70"/>
      <c r="AG934" s="70"/>
      <c r="AH934" s="70"/>
    </row>
    <row r="935" spans="4:34" x14ac:dyDescent="0.2">
      <c r="D935" s="53"/>
      <c r="E935" s="70"/>
      <c r="F935" s="70"/>
      <c r="G935" s="70"/>
      <c r="H935" s="70"/>
      <c r="I935" s="70"/>
      <c r="J935" s="70"/>
      <c r="K935" s="70"/>
      <c r="L935" s="70"/>
      <c r="M935" s="70"/>
      <c r="N935" s="70"/>
      <c r="O935" s="70"/>
      <c r="P935" s="70"/>
      <c r="Q935" s="70"/>
      <c r="R935" s="70"/>
      <c r="S935" s="70"/>
      <c r="T935" s="70"/>
      <c r="U935" s="64"/>
      <c r="V935" s="64"/>
      <c r="W935" s="70"/>
      <c r="X935" s="64"/>
      <c r="Y935" s="70"/>
      <c r="Z935" s="70"/>
      <c r="AA935" s="71"/>
      <c r="AB935" s="70"/>
      <c r="AC935" s="70"/>
      <c r="AD935" s="64"/>
      <c r="AE935" s="70"/>
      <c r="AF935" s="70"/>
      <c r="AG935" s="70"/>
      <c r="AH935" s="70"/>
    </row>
    <row r="936" spans="4:34" x14ac:dyDescent="0.2">
      <c r="D936" s="53"/>
      <c r="E936" s="70"/>
      <c r="F936" s="70"/>
      <c r="G936" s="70"/>
      <c r="H936" s="70"/>
      <c r="I936" s="70"/>
      <c r="J936" s="70"/>
      <c r="K936" s="70"/>
      <c r="L936" s="70"/>
      <c r="M936" s="70"/>
      <c r="N936" s="70"/>
      <c r="O936" s="70"/>
      <c r="P936" s="70"/>
      <c r="Q936" s="70"/>
      <c r="R936" s="70"/>
      <c r="S936" s="70"/>
      <c r="T936" s="70"/>
      <c r="U936" s="64"/>
      <c r="V936" s="64"/>
      <c r="W936" s="70"/>
      <c r="X936" s="64"/>
      <c r="Y936" s="70"/>
      <c r="Z936" s="70"/>
      <c r="AA936" s="71"/>
      <c r="AB936" s="70"/>
      <c r="AC936" s="70"/>
      <c r="AD936" s="64"/>
      <c r="AE936" s="70"/>
      <c r="AF936" s="70"/>
      <c r="AG936" s="70"/>
      <c r="AH936" s="70"/>
    </row>
    <row r="937" spans="4:34" x14ac:dyDescent="0.2">
      <c r="D937" s="53"/>
      <c r="E937" s="70"/>
      <c r="F937" s="70"/>
      <c r="G937" s="70"/>
      <c r="H937" s="70"/>
      <c r="I937" s="70"/>
      <c r="J937" s="70"/>
      <c r="K937" s="70"/>
      <c r="L937" s="70"/>
      <c r="M937" s="70"/>
      <c r="N937" s="70"/>
      <c r="O937" s="70"/>
      <c r="P937" s="70"/>
      <c r="Q937" s="70"/>
      <c r="R937" s="70"/>
      <c r="S937" s="70"/>
      <c r="T937" s="70"/>
      <c r="U937" s="64"/>
      <c r="V937" s="64"/>
      <c r="W937" s="70"/>
      <c r="X937" s="64"/>
      <c r="Y937" s="70"/>
      <c r="Z937" s="70"/>
      <c r="AA937" s="71"/>
      <c r="AB937" s="70"/>
      <c r="AC937" s="70"/>
      <c r="AD937" s="64"/>
      <c r="AE937" s="70"/>
      <c r="AF937" s="70"/>
      <c r="AG937" s="70"/>
      <c r="AH937" s="70"/>
    </row>
    <row r="938" spans="4:34" x14ac:dyDescent="0.2">
      <c r="D938" s="53"/>
      <c r="E938" s="70"/>
      <c r="F938" s="70"/>
      <c r="G938" s="70"/>
      <c r="H938" s="70"/>
      <c r="I938" s="70"/>
      <c r="J938" s="70"/>
      <c r="K938" s="70"/>
      <c r="L938" s="70"/>
      <c r="M938" s="70"/>
      <c r="N938" s="70"/>
      <c r="O938" s="70"/>
      <c r="P938" s="70"/>
      <c r="Q938" s="70"/>
      <c r="R938" s="70"/>
      <c r="S938" s="70"/>
      <c r="T938" s="70"/>
      <c r="U938" s="64"/>
      <c r="V938" s="64"/>
      <c r="W938" s="70"/>
      <c r="X938" s="64"/>
      <c r="Y938" s="70"/>
      <c r="Z938" s="70"/>
      <c r="AA938" s="71"/>
      <c r="AB938" s="70"/>
      <c r="AC938" s="70"/>
      <c r="AD938" s="64"/>
      <c r="AE938" s="70"/>
      <c r="AF938" s="70"/>
      <c r="AG938" s="70"/>
      <c r="AH938" s="70"/>
    </row>
    <row r="939" spans="4:34" x14ac:dyDescent="0.2">
      <c r="D939" s="53"/>
      <c r="E939" s="70"/>
      <c r="F939" s="70"/>
      <c r="G939" s="70"/>
      <c r="H939" s="70"/>
      <c r="I939" s="70"/>
      <c r="J939" s="70"/>
      <c r="K939" s="70"/>
      <c r="L939" s="70"/>
      <c r="M939" s="70"/>
      <c r="N939" s="70"/>
      <c r="O939" s="70"/>
      <c r="P939" s="70"/>
      <c r="Q939" s="70"/>
      <c r="R939" s="70"/>
      <c r="S939" s="70"/>
      <c r="T939" s="70"/>
      <c r="U939" s="64"/>
      <c r="V939" s="64"/>
      <c r="W939" s="70"/>
      <c r="X939" s="64"/>
      <c r="Y939" s="70"/>
      <c r="Z939" s="70"/>
      <c r="AA939" s="71"/>
      <c r="AB939" s="70"/>
      <c r="AC939" s="70"/>
      <c r="AD939" s="64"/>
      <c r="AE939" s="70"/>
      <c r="AF939" s="70"/>
      <c r="AG939" s="70"/>
      <c r="AH939" s="70"/>
    </row>
    <row r="940" spans="4:34" x14ac:dyDescent="0.2">
      <c r="D940" s="53"/>
      <c r="E940" s="70"/>
      <c r="F940" s="70"/>
      <c r="G940" s="70"/>
      <c r="H940" s="70"/>
      <c r="I940" s="70"/>
      <c r="J940" s="70"/>
      <c r="K940" s="70"/>
      <c r="L940" s="70"/>
      <c r="M940" s="70"/>
      <c r="N940" s="70"/>
      <c r="O940" s="70"/>
      <c r="P940" s="70"/>
      <c r="Q940" s="70"/>
      <c r="R940" s="70"/>
      <c r="S940" s="70"/>
      <c r="T940" s="70"/>
      <c r="U940" s="64"/>
      <c r="V940" s="64"/>
      <c r="W940" s="70"/>
      <c r="X940" s="64"/>
      <c r="Y940" s="70"/>
      <c r="Z940" s="70"/>
      <c r="AA940" s="71"/>
      <c r="AB940" s="70"/>
      <c r="AC940" s="70"/>
      <c r="AD940" s="64"/>
      <c r="AE940" s="70"/>
      <c r="AF940" s="70"/>
      <c r="AG940" s="70"/>
      <c r="AH940" s="70"/>
    </row>
    <row r="941" spans="4:34" x14ac:dyDescent="0.2">
      <c r="D941" s="53"/>
      <c r="E941" s="70"/>
      <c r="F941" s="70"/>
      <c r="G941" s="70"/>
      <c r="H941" s="70"/>
      <c r="I941" s="70"/>
      <c r="J941" s="70"/>
      <c r="K941" s="70"/>
      <c r="L941" s="70"/>
      <c r="M941" s="70"/>
      <c r="N941" s="70"/>
      <c r="O941" s="70"/>
      <c r="P941" s="70"/>
      <c r="Q941" s="70"/>
      <c r="R941" s="70"/>
      <c r="S941" s="70"/>
      <c r="T941" s="70"/>
      <c r="U941" s="64"/>
      <c r="V941" s="64"/>
      <c r="W941" s="70"/>
      <c r="X941" s="64"/>
      <c r="Y941" s="70"/>
      <c r="Z941" s="70"/>
      <c r="AA941" s="71"/>
      <c r="AB941" s="70"/>
      <c r="AC941" s="70"/>
      <c r="AD941" s="64"/>
      <c r="AE941" s="70"/>
      <c r="AF941" s="70"/>
      <c r="AG941" s="70"/>
      <c r="AH941" s="70"/>
    </row>
    <row r="942" spans="4:34" x14ac:dyDescent="0.2">
      <c r="D942" s="53"/>
      <c r="E942" s="70"/>
      <c r="F942" s="70"/>
      <c r="G942" s="70"/>
      <c r="H942" s="70"/>
      <c r="I942" s="70"/>
      <c r="J942" s="70"/>
      <c r="K942" s="70"/>
      <c r="L942" s="70"/>
      <c r="M942" s="70"/>
      <c r="N942" s="70"/>
      <c r="O942" s="70"/>
      <c r="P942" s="70"/>
      <c r="Q942" s="70"/>
      <c r="R942" s="70"/>
      <c r="S942" s="70"/>
      <c r="T942" s="70"/>
      <c r="U942" s="64"/>
      <c r="V942" s="64"/>
      <c r="W942" s="70"/>
      <c r="X942" s="64"/>
      <c r="Y942" s="70"/>
      <c r="Z942" s="70"/>
      <c r="AA942" s="71"/>
      <c r="AB942" s="70"/>
      <c r="AC942" s="70"/>
      <c r="AD942" s="64"/>
      <c r="AE942" s="70"/>
      <c r="AF942" s="70"/>
      <c r="AG942" s="70"/>
      <c r="AH942" s="70"/>
    </row>
    <row r="943" spans="4:34" x14ac:dyDescent="0.2">
      <c r="D943" s="53"/>
      <c r="E943" s="70"/>
      <c r="F943" s="70"/>
      <c r="G943" s="70"/>
      <c r="H943" s="70"/>
      <c r="I943" s="70"/>
      <c r="J943" s="70"/>
      <c r="K943" s="70"/>
      <c r="L943" s="70"/>
      <c r="M943" s="70"/>
      <c r="N943" s="70"/>
      <c r="O943" s="70"/>
      <c r="P943" s="70"/>
      <c r="Q943" s="70"/>
      <c r="R943" s="70"/>
      <c r="S943" s="70"/>
      <c r="T943" s="70"/>
      <c r="U943" s="64"/>
      <c r="V943" s="64"/>
      <c r="W943" s="70"/>
      <c r="X943" s="64"/>
      <c r="Y943" s="70"/>
      <c r="Z943" s="70"/>
      <c r="AA943" s="71"/>
      <c r="AB943" s="70"/>
      <c r="AC943" s="70"/>
      <c r="AD943" s="64"/>
      <c r="AE943" s="70"/>
      <c r="AF943" s="70"/>
      <c r="AG943" s="70"/>
      <c r="AH943" s="70"/>
    </row>
    <row r="944" spans="4:34" x14ac:dyDescent="0.2">
      <c r="D944" s="53"/>
      <c r="E944" s="70"/>
      <c r="F944" s="70"/>
      <c r="G944" s="70"/>
      <c r="H944" s="70"/>
      <c r="I944" s="70"/>
      <c r="J944" s="70"/>
      <c r="K944" s="70"/>
      <c r="L944" s="70"/>
      <c r="M944" s="70"/>
      <c r="N944" s="70"/>
      <c r="O944" s="70"/>
      <c r="P944" s="70"/>
      <c r="Q944" s="70"/>
      <c r="R944" s="70"/>
      <c r="S944" s="70"/>
      <c r="T944" s="70"/>
      <c r="U944" s="64"/>
      <c r="V944" s="64"/>
      <c r="W944" s="70"/>
      <c r="X944" s="64"/>
      <c r="Y944" s="70"/>
      <c r="Z944" s="70"/>
      <c r="AA944" s="71"/>
      <c r="AB944" s="70"/>
      <c r="AC944" s="70"/>
      <c r="AD944" s="64"/>
      <c r="AE944" s="70"/>
      <c r="AF944" s="70"/>
      <c r="AG944" s="70"/>
      <c r="AH944" s="70"/>
    </row>
    <row r="945" spans="4:34" x14ac:dyDescent="0.2">
      <c r="D945" s="53"/>
      <c r="E945" s="70"/>
      <c r="F945" s="70"/>
      <c r="G945" s="70"/>
      <c r="H945" s="70"/>
      <c r="I945" s="70"/>
      <c r="J945" s="70"/>
      <c r="K945" s="70"/>
      <c r="L945" s="70"/>
      <c r="M945" s="70"/>
      <c r="N945" s="70"/>
      <c r="O945" s="70"/>
      <c r="P945" s="70"/>
      <c r="Q945" s="70"/>
      <c r="R945" s="70"/>
      <c r="S945" s="70"/>
      <c r="T945" s="70"/>
      <c r="U945" s="64"/>
      <c r="V945" s="64"/>
      <c r="W945" s="70"/>
      <c r="X945" s="64"/>
      <c r="Y945" s="70"/>
      <c r="Z945" s="70"/>
      <c r="AA945" s="71"/>
      <c r="AB945" s="70"/>
      <c r="AC945" s="70"/>
      <c r="AD945" s="64"/>
      <c r="AE945" s="70"/>
      <c r="AF945" s="70"/>
      <c r="AG945" s="70"/>
      <c r="AH945" s="70"/>
    </row>
    <row r="946" spans="4:34" x14ac:dyDescent="0.2">
      <c r="D946" s="53"/>
      <c r="E946" s="70"/>
      <c r="F946" s="70"/>
      <c r="G946" s="70"/>
      <c r="H946" s="70"/>
      <c r="I946" s="70"/>
      <c r="J946" s="70"/>
      <c r="K946" s="70"/>
      <c r="L946" s="70"/>
      <c r="M946" s="70"/>
      <c r="N946" s="70"/>
      <c r="O946" s="70"/>
      <c r="P946" s="70"/>
      <c r="Q946" s="70"/>
      <c r="R946" s="70"/>
      <c r="S946" s="70"/>
      <c r="T946" s="70"/>
      <c r="U946" s="64"/>
      <c r="V946" s="64"/>
      <c r="W946" s="70"/>
      <c r="X946" s="64"/>
      <c r="Y946" s="70"/>
      <c r="Z946" s="70"/>
      <c r="AA946" s="71"/>
      <c r="AB946" s="70"/>
      <c r="AC946" s="70"/>
      <c r="AD946" s="64"/>
      <c r="AE946" s="70"/>
      <c r="AF946" s="70"/>
      <c r="AG946" s="70"/>
      <c r="AH946" s="70"/>
    </row>
    <row r="947" spans="4:34" x14ac:dyDescent="0.2">
      <c r="D947" s="53"/>
      <c r="E947" s="70"/>
      <c r="F947" s="70"/>
      <c r="G947" s="70"/>
      <c r="H947" s="70"/>
      <c r="I947" s="70"/>
      <c r="J947" s="70"/>
      <c r="K947" s="70"/>
      <c r="L947" s="70"/>
      <c r="M947" s="70"/>
      <c r="N947" s="70"/>
      <c r="O947" s="70"/>
      <c r="P947" s="70"/>
      <c r="Q947" s="70"/>
      <c r="R947" s="70"/>
      <c r="S947" s="70"/>
      <c r="T947" s="70"/>
      <c r="U947" s="64"/>
      <c r="V947" s="64"/>
      <c r="W947" s="70"/>
      <c r="X947" s="64"/>
      <c r="Y947" s="70"/>
      <c r="Z947" s="70"/>
      <c r="AA947" s="71"/>
      <c r="AB947" s="70"/>
      <c r="AC947" s="70"/>
      <c r="AD947" s="64"/>
      <c r="AE947" s="70"/>
      <c r="AF947" s="70"/>
      <c r="AG947" s="70"/>
      <c r="AH947" s="70"/>
    </row>
    <row r="948" spans="4:34" x14ac:dyDescent="0.2">
      <c r="D948" s="53"/>
      <c r="E948" s="70"/>
      <c r="F948" s="70"/>
      <c r="G948" s="70"/>
      <c r="H948" s="70"/>
      <c r="I948" s="70"/>
      <c r="J948" s="70"/>
      <c r="K948" s="70"/>
      <c r="L948" s="70"/>
      <c r="M948" s="70"/>
      <c r="N948" s="70"/>
      <c r="O948" s="70"/>
      <c r="P948" s="70"/>
      <c r="Q948" s="70"/>
      <c r="R948" s="70"/>
      <c r="S948" s="70"/>
      <c r="T948" s="70"/>
      <c r="U948" s="64"/>
      <c r="V948" s="64"/>
      <c r="W948" s="70"/>
      <c r="X948" s="64"/>
      <c r="Y948" s="70"/>
      <c r="Z948" s="70"/>
      <c r="AA948" s="71"/>
      <c r="AB948" s="70"/>
      <c r="AC948" s="70"/>
      <c r="AD948" s="64"/>
      <c r="AE948" s="70"/>
      <c r="AF948" s="70"/>
      <c r="AG948" s="70"/>
      <c r="AH948" s="70"/>
    </row>
    <row r="949" spans="4:34" x14ac:dyDescent="0.2">
      <c r="D949" s="53"/>
      <c r="E949" s="70"/>
      <c r="F949" s="70"/>
      <c r="G949" s="70"/>
      <c r="H949" s="70"/>
      <c r="I949" s="70"/>
      <c r="J949" s="70"/>
      <c r="K949" s="70"/>
      <c r="L949" s="70"/>
      <c r="M949" s="70"/>
      <c r="N949" s="70"/>
      <c r="O949" s="70"/>
      <c r="P949" s="70"/>
      <c r="Q949" s="70"/>
      <c r="R949" s="70"/>
      <c r="S949" s="70"/>
      <c r="T949" s="70"/>
      <c r="U949" s="64"/>
      <c r="V949" s="64"/>
      <c r="W949" s="70"/>
      <c r="X949" s="64"/>
      <c r="Y949" s="70"/>
      <c r="Z949" s="70"/>
      <c r="AA949" s="71"/>
      <c r="AB949" s="70"/>
      <c r="AC949" s="70"/>
      <c r="AD949" s="64"/>
      <c r="AE949" s="70"/>
      <c r="AF949" s="70"/>
      <c r="AG949" s="70"/>
      <c r="AH949" s="70"/>
    </row>
    <row r="950" spans="4:34" x14ac:dyDescent="0.2">
      <c r="D950" s="53"/>
      <c r="E950" s="70"/>
      <c r="F950" s="70"/>
      <c r="G950" s="70"/>
      <c r="H950" s="70"/>
      <c r="I950" s="70"/>
      <c r="J950" s="70"/>
      <c r="K950" s="70"/>
      <c r="L950" s="70"/>
      <c r="M950" s="70"/>
      <c r="N950" s="70"/>
      <c r="O950" s="70"/>
      <c r="P950" s="70"/>
      <c r="Q950" s="70"/>
      <c r="R950" s="70"/>
      <c r="S950" s="70"/>
      <c r="T950" s="70"/>
      <c r="U950" s="64"/>
      <c r="V950" s="64"/>
      <c r="W950" s="70"/>
      <c r="X950" s="64"/>
      <c r="Y950" s="70"/>
      <c r="Z950" s="70"/>
      <c r="AA950" s="71"/>
      <c r="AB950" s="70"/>
      <c r="AC950" s="70"/>
      <c r="AD950" s="64"/>
      <c r="AE950" s="70"/>
      <c r="AF950" s="70"/>
      <c r="AG950" s="70"/>
      <c r="AH950" s="70"/>
    </row>
    <row r="951" spans="4:34" x14ac:dyDescent="0.2">
      <c r="D951" s="53"/>
      <c r="E951" s="70"/>
      <c r="F951" s="70"/>
      <c r="G951" s="70"/>
      <c r="H951" s="70"/>
      <c r="I951" s="70"/>
      <c r="J951" s="70"/>
      <c r="K951" s="70"/>
      <c r="L951" s="70"/>
      <c r="M951" s="70"/>
      <c r="N951" s="70"/>
      <c r="O951" s="70"/>
      <c r="P951" s="70"/>
      <c r="Q951" s="70"/>
      <c r="R951" s="70"/>
      <c r="S951" s="70"/>
      <c r="T951" s="70"/>
      <c r="U951" s="64"/>
      <c r="V951" s="64"/>
      <c r="W951" s="70"/>
      <c r="X951" s="64"/>
      <c r="Y951" s="70"/>
      <c r="Z951" s="70"/>
      <c r="AA951" s="71"/>
      <c r="AB951" s="70"/>
      <c r="AC951" s="70"/>
      <c r="AD951" s="64"/>
      <c r="AE951" s="70"/>
      <c r="AF951" s="70"/>
      <c r="AG951" s="70"/>
      <c r="AH951" s="70"/>
    </row>
    <row r="952" spans="4:34" x14ac:dyDescent="0.2">
      <c r="D952" s="53"/>
      <c r="E952" s="70"/>
      <c r="F952" s="70"/>
      <c r="G952" s="70"/>
      <c r="H952" s="70"/>
      <c r="I952" s="70"/>
      <c r="J952" s="70"/>
      <c r="K952" s="70"/>
      <c r="L952" s="70"/>
      <c r="M952" s="70"/>
      <c r="N952" s="70"/>
      <c r="O952" s="70"/>
      <c r="P952" s="70"/>
      <c r="Q952" s="70"/>
      <c r="R952" s="70"/>
      <c r="S952" s="70"/>
      <c r="T952" s="70"/>
      <c r="U952" s="64"/>
      <c r="V952" s="64"/>
      <c r="W952" s="70"/>
      <c r="X952" s="64"/>
      <c r="Y952" s="70"/>
      <c r="Z952" s="70"/>
      <c r="AA952" s="71"/>
      <c r="AB952" s="70"/>
      <c r="AC952" s="70"/>
      <c r="AD952" s="64"/>
      <c r="AE952" s="70"/>
      <c r="AF952" s="70"/>
      <c r="AG952" s="70"/>
      <c r="AH952" s="70"/>
    </row>
    <row r="953" spans="4:34" x14ac:dyDescent="0.2">
      <c r="D953" s="53"/>
      <c r="E953" s="70"/>
      <c r="F953" s="70"/>
      <c r="G953" s="70"/>
      <c r="H953" s="70"/>
      <c r="I953" s="70"/>
      <c r="J953" s="70"/>
      <c r="K953" s="70"/>
      <c r="L953" s="70"/>
      <c r="M953" s="70"/>
      <c r="N953" s="70"/>
      <c r="O953" s="70"/>
      <c r="P953" s="70"/>
      <c r="Q953" s="70"/>
      <c r="R953" s="70"/>
      <c r="S953" s="70"/>
      <c r="T953" s="70"/>
      <c r="U953" s="64"/>
      <c r="V953" s="64"/>
      <c r="W953" s="70"/>
      <c r="X953" s="64"/>
      <c r="Y953" s="70"/>
      <c r="Z953" s="70"/>
      <c r="AA953" s="71"/>
      <c r="AB953" s="70"/>
      <c r="AC953" s="70"/>
      <c r="AD953" s="64"/>
      <c r="AE953" s="70"/>
      <c r="AF953" s="70"/>
      <c r="AG953" s="70"/>
      <c r="AH953" s="70"/>
    </row>
    <row r="954" spans="4:34" x14ac:dyDescent="0.2">
      <c r="D954" s="53"/>
      <c r="E954" s="70"/>
      <c r="F954" s="70"/>
      <c r="G954" s="70"/>
      <c r="H954" s="70"/>
      <c r="I954" s="70"/>
      <c r="J954" s="70"/>
      <c r="K954" s="70"/>
      <c r="L954" s="70"/>
      <c r="M954" s="70"/>
      <c r="N954" s="70"/>
      <c r="O954" s="70"/>
      <c r="P954" s="70"/>
      <c r="Q954" s="70"/>
      <c r="R954" s="70"/>
      <c r="S954" s="70"/>
      <c r="T954" s="70"/>
      <c r="U954" s="64"/>
      <c r="V954" s="64"/>
      <c r="W954" s="70"/>
      <c r="X954" s="64"/>
      <c r="Y954" s="70"/>
      <c r="Z954" s="70"/>
      <c r="AA954" s="71"/>
      <c r="AB954" s="70"/>
      <c r="AC954" s="70"/>
      <c r="AD954" s="64"/>
      <c r="AE954" s="70"/>
      <c r="AF954" s="70"/>
      <c r="AG954" s="70"/>
      <c r="AH954" s="70"/>
    </row>
    <row r="955" spans="4:34" x14ac:dyDescent="0.2">
      <c r="D955" s="53"/>
      <c r="E955" s="70"/>
      <c r="F955" s="70"/>
      <c r="G955" s="70"/>
      <c r="H955" s="70"/>
      <c r="I955" s="70"/>
      <c r="J955" s="70"/>
      <c r="K955" s="70"/>
      <c r="L955" s="70"/>
      <c r="M955" s="70"/>
      <c r="N955" s="70"/>
      <c r="O955" s="70"/>
      <c r="P955" s="70"/>
      <c r="Q955" s="70"/>
      <c r="R955" s="70"/>
      <c r="S955" s="70"/>
      <c r="T955" s="70"/>
      <c r="U955" s="64"/>
      <c r="V955" s="64"/>
      <c r="W955" s="70"/>
      <c r="X955" s="64"/>
      <c r="Y955" s="70"/>
      <c r="Z955" s="70"/>
      <c r="AA955" s="71"/>
      <c r="AB955" s="70"/>
      <c r="AC955" s="70"/>
      <c r="AD955" s="64"/>
      <c r="AE955" s="70"/>
      <c r="AF955" s="70"/>
      <c r="AG955" s="70"/>
      <c r="AH955" s="70"/>
    </row>
    <row r="956" spans="4:34" x14ac:dyDescent="0.2">
      <c r="D956" s="53"/>
      <c r="E956" s="70"/>
      <c r="F956" s="70"/>
      <c r="G956" s="70"/>
      <c r="H956" s="70"/>
      <c r="I956" s="70"/>
      <c r="J956" s="70"/>
      <c r="K956" s="70"/>
      <c r="L956" s="70"/>
      <c r="M956" s="70"/>
      <c r="N956" s="70"/>
      <c r="O956" s="70"/>
      <c r="P956" s="70"/>
      <c r="Q956" s="70"/>
      <c r="R956" s="70"/>
      <c r="S956" s="70"/>
      <c r="T956" s="70"/>
      <c r="U956" s="64"/>
      <c r="V956" s="64"/>
      <c r="W956" s="70"/>
      <c r="X956" s="64"/>
      <c r="Y956" s="70"/>
      <c r="Z956" s="70"/>
      <c r="AA956" s="71"/>
      <c r="AB956" s="70"/>
      <c r="AC956" s="70"/>
      <c r="AD956" s="64"/>
      <c r="AE956" s="70"/>
      <c r="AF956" s="70"/>
      <c r="AG956" s="70"/>
      <c r="AH956" s="70"/>
    </row>
    <row r="957" spans="4:34" x14ac:dyDescent="0.2">
      <c r="D957" s="53"/>
      <c r="E957" s="70"/>
      <c r="F957" s="70"/>
      <c r="G957" s="70"/>
      <c r="H957" s="70"/>
      <c r="I957" s="70"/>
      <c r="J957" s="70"/>
      <c r="K957" s="70"/>
      <c r="L957" s="70"/>
      <c r="M957" s="70"/>
      <c r="N957" s="70"/>
      <c r="O957" s="70"/>
      <c r="P957" s="70"/>
      <c r="Q957" s="70"/>
      <c r="R957" s="70"/>
      <c r="S957" s="70"/>
      <c r="T957" s="70"/>
      <c r="U957" s="64"/>
      <c r="V957" s="64"/>
      <c r="W957" s="70"/>
      <c r="X957" s="64"/>
      <c r="Y957" s="70"/>
      <c r="Z957" s="70"/>
      <c r="AA957" s="71"/>
      <c r="AB957" s="70"/>
      <c r="AC957" s="70"/>
      <c r="AD957" s="64"/>
      <c r="AE957" s="70"/>
      <c r="AF957" s="70"/>
      <c r="AG957" s="70"/>
      <c r="AH957" s="70"/>
    </row>
    <row r="958" spans="4:34" x14ac:dyDescent="0.2">
      <c r="D958" s="53"/>
      <c r="E958" s="70"/>
      <c r="F958" s="70"/>
      <c r="G958" s="70"/>
      <c r="H958" s="70"/>
      <c r="I958" s="70"/>
      <c r="J958" s="70"/>
      <c r="K958" s="70"/>
      <c r="L958" s="70"/>
      <c r="M958" s="70"/>
      <c r="N958" s="70"/>
      <c r="O958" s="70"/>
      <c r="P958" s="70"/>
      <c r="Q958" s="70"/>
      <c r="R958" s="70"/>
      <c r="S958" s="70"/>
      <c r="T958" s="70"/>
      <c r="U958" s="64"/>
      <c r="V958" s="64"/>
      <c r="W958" s="70"/>
      <c r="X958" s="64"/>
      <c r="Y958" s="70"/>
      <c r="Z958" s="70"/>
      <c r="AA958" s="71"/>
      <c r="AB958" s="70"/>
      <c r="AC958" s="70"/>
      <c r="AD958" s="64"/>
      <c r="AE958" s="70"/>
      <c r="AF958" s="70"/>
      <c r="AG958" s="70"/>
      <c r="AH958" s="70"/>
    </row>
    <row r="959" spans="4:34" x14ac:dyDescent="0.2">
      <c r="D959" s="53"/>
      <c r="E959" s="70"/>
      <c r="F959" s="70"/>
      <c r="G959" s="70"/>
      <c r="H959" s="70"/>
      <c r="I959" s="70"/>
      <c r="J959" s="70"/>
      <c r="K959" s="70"/>
      <c r="L959" s="70"/>
      <c r="M959" s="70"/>
      <c r="N959" s="70"/>
      <c r="O959" s="70"/>
      <c r="P959" s="70"/>
      <c r="Q959" s="70"/>
      <c r="R959" s="70"/>
      <c r="S959" s="70"/>
      <c r="T959" s="70"/>
      <c r="U959" s="64"/>
      <c r="V959" s="64"/>
      <c r="W959" s="70"/>
      <c r="X959" s="64"/>
      <c r="Y959" s="70"/>
      <c r="Z959" s="70"/>
      <c r="AA959" s="71"/>
      <c r="AB959" s="70"/>
      <c r="AC959" s="70"/>
      <c r="AD959" s="64"/>
      <c r="AE959" s="70"/>
      <c r="AF959" s="70"/>
      <c r="AG959" s="70"/>
      <c r="AH959" s="70"/>
    </row>
    <row r="960" spans="4:34" x14ac:dyDescent="0.2">
      <c r="D960" s="53"/>
      <c r="E960" s="70"/>
      <c r="F960" s="70"/>
      <c r="G960" s="70"/>
      <c r="H960" s="70"/>
      <c r="I960" s="70"/>
      <c r="J960" s="70"/>
      <c r="K960" s="70"/>
      <c r="L960" s="70"/>
      <c r="M960" s="70"/>
      <c r="N960" s="70"/>
      <c r="O960" s="70"/>
      <c r="P960" s="70"/>
      <c r="Q960" s="70"/>
      <c r="R960" s="70"/>
      <c r="S960" s="70"/>
      <c r="T960" s="70"/>
      <c r="U960" s="64"/>
      <c r="V960" s="64"/>
      <c r="W960" s="70"/>
      <c r="X960" s="64"/>
      <c r="Y960" s="70"/>
      <c r="Z960" s="70"/>
      <c r="AA960" s="71"/>
      <c r="AB960" s="70"/>
      <c r="AC960" s="70"/>
      <c r="AD960" s="64"/>
      <c r="AE960" s="70"/>
      <c r="AF960" s="70"/>
      <c r="AG960" s="70"/>
      <c r="AH960" s="70"/>
    </row>
    <row r="961" spans="4:34" x14ac:dyDescent="0.2">
      <c r="D961" s="53"/>
      <c r="E961" s="70"/>
      <c r="F961" s="70"/>
      <c r="G961" s="70"/>
      <c r="H961" s="70"/>
      <c r="I961" s="70"/>
      <c r="J961" s="70"/>
      <c r="K961" s="70"/>
      <c r="L961" s="70"/>
      <c r="M961" s="70"/>
      <c r="N961" s="70"/>
      <c r="O961" s="70"/>
      <c r="P961" s="70"/>
      <c r="Q961" s="70"/>
      <c r="R961" s="70"/>
      <c r="S961" s="70"/>
      <c r="T961" s="70"/>
      <c r="U961" s="64"/>
      <c r="V961" s="64"/>
      <c r="W961" s="70"/>
      <c r="X961" s="64"/>
      <c r="Y961" s="70"/>
      <c r="Z961" s="70"/>
      <c r="AA961" s="71"/>
      <c r="AB961" s="70"/>
      <c r="AC961" s="70"/>
      <c r="AD961" s="64"/>
      <c r="AE961" s="70"/>
      <c r="AF961" s="70"/>
      <c r="AG961" s="70"/>
      <c r="AH961" s="70"/>
    </row>
    <row r="962" spans="4:34" x14ac:dyDescent="0.2">
      <c r="D962" s="53"/>
      <c r="E962" s="70"/>
      <c r="F962" s="70"/>
      <c r="G962" s="70"/>
      <c r="H962" s="70"/>
      <c r="I962" s="70"/>
      <c r="J962" s="70"/>
      <c r="K962" s="70"/>
      <c r="L962" s="70"/>
      <c r="M962" s="70"/>
      <c r="N962" s="70"/>
      <c r="O962" s="70"/>
      <c r="P962" s="70"/>
      <c r="Q962" s="70"/>
      <c r="R962" s="70"/>
      <c r="S962" s="70"/>
      <c r="T962" s="70"/>
      <c r="U962" s="64"/>
      <c r="V962" s="64"/>
      <c r="W962" s="70"/>
      <c r="X962" s="64"/>
      <c r="Y962" s="70"/>
      <c r="Z962" s="70"/>
      <c r="AA962" s="71"/>
      <c r="AB962" s="70"/>
      <c r="AC962" s="70"/>
      <c r="AD962" s="64"/>
      <c r="AE962" s="70"/>
      <c r="AF962" s="70"/>
      <c r="AG962" s="70"/>
      <c r="AH962" s="70"/>
    </row>
    <row r="963" spans="4:34" x14ac:dyDescent="0.2">
      <c r="D963" s="53"/>
      <c r="E963" s="70"/>
      <c r="F963" s="70"/>
      <c r="G963" s="70"/>
      <c r="H963" s="70"/>
      <c r="I963" s="70"/>
      <c r="J963" s="70"/>
      <c r="K963" s="70"/>
      <c r="L963" s="70"/>
      <c r="M963" s="70"/>
      <c r="N963" s="70"/>
      <c r="O963" s="70"/>
      <c r="P963" s="70"/>
      <c r="Q963" s="70"/>
      <c r="R963" s="70"/>
      <c r="S963" s="70"/>
      <c r="T963" s="70"/>
      <c r="U963" s="64"/>
      <c r="V963" s="64"/>
      <c r="W963" s="70"/>
      <c r="X963" s="64"/>
      <c r="Y963" s="70"/>
      <c r="Z963" s="70"/>
      <c r="AA963" s="71"/>
      <c r="AB963" s="70"/>
      <c r="AC963" s="70"/>
      <c r="AD963" s="64"/>
      <c r="AE963" s="70"/>
      <c r="AF963" s="70"/>
      <c r="AG963" s="70"/>
      <c r="AH963" s="70"/>
    </row>
    <row r="964" spans="4:34" x14ac:dyDescent="0.2">
      <c r="D964" s="53"/>
      <c r="E964" s="70"/>
      <c r="F964" s="70"/>
      <c r="G964" s="70"/>
      <c r="H964" s="70"/>
      <c r="I964" s="70"/>
      <c r="J964" s="70"/>
      <c r="K964" s="70"/>
      <c r="L964" s="70"/>
      <c r="M964" s="70"/>
      <c r="N964" s="70"/>
      <c r="O964" s="70"/>
      <c r="P964" s="70"/>
      <c r="Q964" s="70"/>
      <c r="R964" s="70"/>
      <c r="S964" s="70"/>
      <c r="T964" s="70"/>
      <c r="U964" s="64"/>
      <c r="V964" s="64"/>
      <c r="W964" s="70"/>
      <c r="X964" s="64"/>
      <c r="Y964" s="70"/>
      <c r="Z964" s="70"/>
      <c r="AA964" s="71"/>
      <c r="AB964" s="70"/>
      <c r="AC964" s="70"/>
      <c r="AD964" s="64"/>
      <c r="AE964" s="70"/>
      <c r="AF964" s="70"/>
      <c r="AG964" s="70"/>
      <c r="AH964" s="70"/>
    </row>
    <row r="965" spans="4:34" x14ac:dyDescent="0.2">
      <c r="D965" s="53"/>
      <c r="E965" s="70"/>
      <c r="F965" s="70"/>
      <c r="G965" s="70"/>
      <c r="H965" s="70"/>
      <c r="I965" s="70"/>
      <c r="J965" s="70"/>
      <c r="K965" s="70"/>
      <c r="L965" s="70"/>
      <c r="M965" s="70"/>
      <c r="N965" s="70"/>
      <c r="O965" s="70"/>
      <c r="P965" s="70"/>
      <c r="Q965" s="70"/>
      <c r="R965" s="70"/>
      <c r="S965" s="70"/>
      <c r="T965" s="70"/>
      <c r="U965" s="64"/>
      <c r="V965" s="64"/>
      <c r="W965" s="70"/>
      <c r="X965" s="64"/>
      <c r="Y965" s="70"/>
      <c r="Z965" s="70"/>
      <c r="AA965" s="71"/>
      <c r="AB965" s="70"/>
      <c r="AC965" s="70"/>
      <c r="AD965" s="64"/>
      <c r="AE965" s="70"/>
      <c r="AF965" s="70"/>
      <c r="AG965" s="70"/>
      <c r="AH965" s="70"/>
    </row>
    <row r="966" spans="4:34" x14ac:dyDescent="0.2">
      <c r="D966" s="53"/>
      <c r="E966" s="70"/>
      <c r="F966" s="70"/>
      <c r="G966" s="70"/>
      <c r="H966" s="70"/>
      <c r="I966" s="70"/>
      <c r="J966" s="70"/>
      <c r="K966" s="70"/>
      <c r="L966" s="70"/>
      <c r="M966" s="70"/>
      <c r="N966" s="70"/>
      <c r="O966" s="70"/>
      <c r="P966" s="70"/>
      <c r="Q966" s="70"/>
      <c r="R966" s="70"/>
      <c r="S966" s="70"/>
      <c r="T966" s="70"/>
      <c r="U966" s="64"/>
      <c r="V966" s="64"/>
      <c r="W966" s="70"/>
      <c r="X966" s="64"/>
      <c r="Y966" s="70"/>
      <c r="Z966" s="70"/>
      <c r="AA966" s="71"/>
      <c r="AB966" s="70"/>
      <c r="AC966" s="70"/>
      <c r="AD966" s="64"/>
      <c r="AE966" s="70"/>
      <c r="AF966" s="70"/>
      <c r="AG966" s="70"/>
      <c r="AH966" s="70"/>
    </row>
    <row r="967" spans="4:34" x14ac:dyDescent="0.2">
      <c r="D967" s="53"/>
      <c r="E967" s="70"/>
      <c r="F967" s="70"/>
      <c r="G967" s="70"/>
      <c r="H967" s="70"/>
      <c r="I967" s="70"/>
      <c r="J967" s="70"/>
      <c r="K967" s="70"/>
      <c r="L967" s="70"/>
      <c r="M967" s="70"/>
      <c r="N967" s="70"/>
      <c r="O967" s="70"/>
      <c r="P967" s="70"/>
      <c r="Q967" s="70"/>
      <c r="R967" s="70"/>
      <c r="S967" s="70"/>
      <c r="T967" s="70"/>
      <c r="U967" s="64"/>
      <c r="V967" s="64"/>
      <c r="W967" s="70"/>
      <c r="X967" s="64"/>
      <c r="Y967" s="70"/>
      <c r="Z967" s="70"/>
      <c r="AA967" s="71"/>
      <c r="AB967" s="70"/>
      <c r="AC967" s="70"/>
      <c r="AD967" s="64"/>
      <c r="AE967" s="70"/>
      <c r="AF967" s="70"/>
      <c r="AG967" s="70"/>
      <c r="AH967" s="70"/>
    </row>
    <row r="968" spans="4:34" x14ac:dyDescent="0.2">
      <c r="D968" s="53"/>
      <c r="E968" s="70"/>
      <c r="F968" s="70"/>
      <c r="G968" s="70"/>
      <c r="H968" s="70"/>
      <c r="I968" s="70"/>
      <c r="J968" s="70"/>
      <c r="K968" s="70"/>
      <c r="L968" s="70"/>
      <c r="M968" s="70"/>
      <c r="N968" s="70"/>
      <c r="O968" s="70"/>
      <c r="P968" s="70"/>
      <c r="Q968" s="70"/>
      <c r="R968" s="70"/>
      <c r="S968" s="70"/>
      <c r="T968" s="70"/>
      <c r="U968" s="64"/>
      <c r="V968" s="64"/>
      <c r="W968" s="70"/>
      <c r="X968" s="64"/>
      <c r="Y968" s="70"/>
      <c r="Z968" s="70"/>
      <c r="AA968" s="71"/>
      <c r="AB968" s="70"/>
      <c r="AC968" s="70"/>
      <c r="AD968" s="64"/>
      <c r="AE968" s="70"/>
      <c r="AF968" s="70"/>
      <c r="AG968" s="70"/>
      <c r="AH968" s="70"/>
    </row>
    <row r="969" spans="4:34" x14ac:dyDescent="0.2">
      <c r="D969" s="53"/>
      <c r="E969" s="70"/>
      <c r="F969" s="70"/>
      <c r="G969" s="70"/>
      <c r="H969" s="70"/>
      <c r="I969" s="70"/>
      <c r="J969" s="70"/>
      <c r="K969" s="70"/>
      <c r="L969" s="70"/>
      <c r="M969" s="70"/>
      <c r="N969" s="70"/>
      <c r="O969" s="70"/>
      <c r="P969" s="70"/>
      <c r="Q969" s="70"/>
      <c r="R969" s="70"/>
      <c r="S969" s="70"/>
      <c r="T969" s="70"/>
      <c r="U969" s="64"/>
      <c r="V969" s="64"/>
      <c r="W969" s="70"/>
      <c r="X969" s="64"/>
      <c r="Y969" s="70"/>
      <c r="Z969" s="70"/>
      <c r="AA969" s="71"/>
      <c r="AB969" s="70"/>
      <c r="AC969" s="70"/>
      <c r="AD969" s="64"/>
      <c r="AE969" s="70"/>
      <c r="AF969" s="70"/>
      <c r="AG969" s="70"/>
      <c r="AH969" s="70"/>
    </row>
    <row r="970" spans="4:34" x14ac:dyDescent="0.2">
      <c r="D970" s="53"/>
      <c r="E970" s="70"/>
      <c r="F970" s="70"/>
      <c r="G970" s="70"/>
      <c r="H970" s="70"/>
      <c r="I970" s="70"/>
      <c r="J970" s="70"/>
      <c r="K970" s="70"/>
      <c r="L970" s="70"/>
      <c r="M970" s="70"/>
      <c r="N970" s="70"/>
      <c r="O970" s="70"/>
      <c r="P970" s="70"/>
      <c r="Q970" s="70"/>
      <c r="R970" s="70"/>
      <c r="S970" s="70"/>
      <c r="T970" s="70"/>
      <c r="U970" s="64"/>
      <c r="V970" s="64"/>
      <c r="W970" s="70"/>
      <c r="X970" s="64"/>
      <c r="Y970" s="70"/>
      <c r="Z970" s="70"/>
      <c r="AA970" s="71"/>
      <c r="AB970" s="70"/>
      <c r="AC970" s="70"/>
      <c r="AD970" s="64"/>
      <c r="AE970" s="70"/>
      <c r="AF970" s="70"/>
      <c r="AG970" s="70"/>
      <c r="AH970" s="70"/>
    </row>
    <row r="971" spans="4:34" x14ac:dyDescent="0.2">
      <c r="D971" s="53"/>
      <c r="E971" s="70"/>
      <c r="F971" s="70"/>
      <c r="G971" s="70"/>
      <c r="H971" s="70"/>
      <c r="I971" s="70"/>
      <c r="J971" s="70"/>
      <c r="K971" s="70"/>
      <c r="L971" s="70"/>
      <c r="M971" s="70"/>
      <c r="N971" s="70"/>
      <c r="O971" s="70"/>
      <c r="P971" s="70"/>
      <c r="Q971" s="70"/>
      <c r="R971" s="70"/>
      <c r="S971" s="70"/>
      <c r="T971" s="70"/>
      <c r="U971" s="64"/>
      <c r="V971" s="64"/>
      <c r="W971" s="70"/>
      <c r="X971" s="64"/>
      <c r="Y971" s="70"/>
      <c r="Z971" s="70"/>
      <c r="AA971" s="71"/>
      <c r="AB971" s="70"/>
      <c r="AC971" s="70"/>
      <c r="AD971" s="64"/>
      <c r="AE971" s="70"/>
      <c r="AF971" s="70"/>
      <c r="AG971" s="70"/>
      <c r="AH971" s="70"/>
    </row>
    <row r="972" spans="4:34" x14ac:dyDescent="0.2">
      <c r="D972" s="53"/>
      <c r="E972" s="70"/>
      <c r="F972" s="70"/>
      <c r="G972" s="70"/>
      <c r="H972" s="70"/>
      <c r="I972" s="70"/>
      <c r="J972" s="70"/>
      <c r="K972" s="70"/>
      <c r="L972" s="70"/>
      <c r="M972" s="70"/>
      <c r="N972" s="70"/>
      <c r="O972" s="70"/>
      <c r="P972" s="70"/>
      <c r="Q972" s="70"/>
      <c r="R972" s="70"/>
      <c r="S972" s="70"/>
      <c r="T972" s="70"/>
      <c r="U972" s="64"/>
      <c r="V972" s="64"/>
      <c r="W972" s="70"/>
      <c r="X972" s="64"/>
      <c r="Y972" s="70"/>
      <c r="Z972" s="70"/>
      <c r="AA972" s="71"/>
      <c r="AB972" s="70"/>
      <c r="AC972" s="70"/>
      <c r="AD972" s="64"/>
      <c r="AE972" s="70"/>
      <c r="AF972" s="70"/>
      <c r="AG972" s="70"/>
      <c r="AH972" s="70"/>
    </row>
    <row r="973" spans="4:34" x14ac:dyDescent="0.2">
      <c r="D973" s="53"/>
      <c r="E973" s="70"/>
      <c r="F973" s="70"/>
      <c r="G973" s="70"/>
      <c r="H973" s="70"/>
      <c r="I973" s="70"/>
      <c r="J973" s="70"/>
      <c r="K973" s="70"/>
      <c r="L973" s="70"/>
      <c r="M973" s="70"/>
      <c r="N973" s="70"/>
      <c r="O973" s="70"/>
      <c r="P973" s="70"/>
      <c r="Q973" s="70"/>
      <c r="R973" s="70"/>
      <c r="S973" s="70"/>
      <c r="T973" s="70"/>
      <c r="U973" s="64"/>
      <c r="V973" s="64"/>
      <c r="W973" s="70"/>
      <c r="X973" s="64"/>
      <c r="Y973" s="70"/>
      <c r="Z973" s="70"/>
      <c r="AA973" s="71"/>
      <c r="AB973" s="70"/>
      <c r="AC973" s="70"/>
      <c r="AD973" s="64"/>
      <c r="AE973" s="70"/>
      <c r="AF973" s="70"/>
      <c r="AG973" s="70"/>
      <c r="AH973" s="70"/>
    </row>
    <row r="974" spans="4:34" x14ac:dyDescent="0.2">
      <c r="D974" s="53"/>
      <c r="E974" s="70"/>
      <c r="F974" s="70"/>
      <c r="G974" s="70"/>
      <c r="H974" s="70"/>
      <c r="I974" s="70"/>
      <c r="J974" s="70"/>
      <c r="K974" s="70"/>
      <c r="L974" s="70"/>
      <c r="M974" s="70"/>
      <c r="N974" s="70"/>
      <c r="O974" s="70"/>
      <c r="P974" s="70"/>
      <c r="Q974" s="70"/>
      <c r="R974" s="70"/>
      <c r="S974" s="70"/>
      <c r="T974" s="70"/>
      <c r="U974" s="64"/>
      <c r="V974" s="64"/>
      <c r="W974" s="70"/>
      <c r="X974" s="64"/>
      <c r="Y974" s="70"/>
      <c r="Z974" s="70"/>
      <c r="AA974" s="71"/>
      <c r="AB974" s="70"/>
      <c r="AC974" s="70"/>
      <c r="AD974" s="64"/>
      <c r="AE974" s="70"/>
      <c r="AF974" s="70"/>
      <c r="AG974" s="70"/>
      <c r="AH974" s="70"/>
    </row>
    <row r="975" spans="4:34" x14ac:dyDescent="0.2">
      <c r="D975" s="53"/>
      <c r="E975" s="70"/>
      <c r="F975" s="70"/>
      <c r="G975" s="70"/>
      <c r="H975" s="70"/>
      <c r="I975" s="70"/>
      <c r="J975" s="70"/>
      <c r="K975" s="70"/>
      <c r="L975" s="70"/>
      <c r="M975" s="70"/>
      <c r="N975" s="70"/>
      <c r="O975" s="70"/>
      <c r="P975" s="70"/>
      <c r="Q975" s="70"/>
      <c r="R975" s="70"/>
      <c r="S975" s="70"/>
      <c r="T975" s="70"/>
      <c r="U975" s="64"/>
      <c r="V975" s="64"/>
      <c r="W975" s="70"/>
      <c r="X975" s="64"/>
      <c r="Y975" s="70"/>
      <c r="Z975" s="70"/>
      <c r="AA975" s="71"/>
      <c r="AB975" s="70"/>
      <c r="AC975" s="70"/>
      <c r="AD975" s="64"/>
      <c r="AE975" s="70"/>
      <c r="AF975" s="70"/>
      <c r="AG975" s="70"/>
      <c r="AH975" s="70"/>
    </row>
    <row r="976" spans="4:34" x14ac:dyDescent="0.2">
      <c r="D976" s="53"/>
      <c r="E976" s="70"/>
      <c r="F976" s="70"/>
      <c r="G976" s="70"/>
      <c r="H976" s="70"/>
      <c r="I976" s="70"/>
      <c r="J976" s="70"/>
      <c r="K976" s="70"/>
      <c r="L976" s="70"/>
      <c r="M976" s="70"/>
      <c r="N976" s="70"/>
      <c r="O976" s="70"/>
      <c r="P976" s="70"/>
      <c r="Q976" s="70"/>
      <c r="R976" s="70"/>
      <c r="S976" s="70"/>
      <c r="T976" s="70"/>
      <c r="U976" s="64"/>
      <c r="V976" s="64"/>
      <c r="W976" s="70"/>
      <c r="X976" s="64"/>
      <c r="Y976" s="70"/>
      <c r="Z976" s="70"/>
      <c r="AA976" s="71"/>
      <c r="AB976" s="70"/>
      <c r="AC976" s="70"/>
      <c r="AD976" s="64"/>
      <c r="AE976" s="70"/>
      <c r="AF976" s="70"/>
      <c r="AG976" s="70"/>
      <c r="AH976" s="70"/>
    </row>
    <row r="977" spans="4:34" x14ac:dyDescent="0.2">
      <c r="D977" s="53"/>
      <c r="E977" s="70"/>
      <c r="F977" s="70"/>
      <c r="G977" s="70"/>
      <c r="H977" s="70"/>
      <c r="I977" s="70"/>
      <c r="J977" s="70"/>
      <c r="K977" s="70"/>
      <c r="L977" s="70"/>
      <c r="M977" s="70"/>
      <c r="N977" s="70"/>
      <c r="O977" s="70"/>
      <c r="P977" s="70"/>
      <c r="Q977" s="70"/>
      <c r="R977" s="70"/>
      <c r="S977" s="70"/>
      <c r="T977" s="70"/>
      <c r="U977" s="64"/>
      <c r="V977" s="64"/>
      <c r="W977" s="70"/>
      <c r="X977" s="64"/>
      <c r="Y977" s="70"/>
      <c r="Z977" s="70"/>
      <c r="AA977" s="71"/>
      <c r="AB977" s="70"/>
      <c r="AC977" s="70"/>
      <c r="AD977" s="64"/>
      <c r="AE977" s="70"/>
      <c r="AF977" s="70"/>
      <c r="AG977" s="70"/>
      <c r="AH977" s="70"/>
    </row>
    <row r="978" spans="4:34" x14ac:dyDescent="0.2">
      <c r="D978" s="53"/>
      <c r="E978" s="70"/>
      <c r="F978" s="70"/>
      <c r="G978" s="70"/>
      <c r="H978" s="70"/>
      <c r="I978" s="70"/>
      <c r="J978" s="70"/>
      <c r="K978" s="70"/>
      <c r="L978" s="70"/>
      <c r="M978" s="70"/>
      <c r="N978" s="70"/>
      <c r="O978" s="70"/>
      <c r="P978" s="70"/>
      <c r="Q978" s="70"/>
      <c r="R978" s="70"/>
      <c r="S978" s="70"/>
      <c r="T978" s="70"/>
      <c r="U978" s="64"/>
      <c r="V978" s="64"/>
      <c r="W978" s="70"/>
      <c r="X978" s="64"/>
      <c r="Y978" s="70"/>
      <c r="Z978" s="70"/>
      <c r="AA978" s="71"/>
      <c r="AB978" s="70"/>
      <c r="AC978" s="70"/>
      <c r="AD978" s="64"/>
      <c r="AE978" s="70"/>
      <c r="AF978" s="70"/>
      <c r="AG978" s="70"/>
      <c r="AH978" s="70"/>
    </row>
    <row r="979" spans="4:34" x14ac:dyDescent="0.2">
      <c r="D979" s="53"/>
      <c r="E979" s="70"/>
      <c r="F979" s="70"/>
      <c r="G979" s="70"/>
      <c r="H979" s="70"/>
      <c r="I979" s="70"/>
      <c r="J979" s="70"/>
      <c r="K979" s="70"/>
      <c r="L979" s="70"/>
      <c r="M979" s="70"/>
      <c r="N979" s="70"/>
      <c r="O979" s="70"/>
      <c r="P979" s="70"/>
      <c r="Q979" s="70"/>
      <c r="R979" s="70"/>
      <c r="S979" s="70"/>
      <c r="T979" s="70"/>
      <c r="U979" s="64"/>
      <c r="V979" s="64"/>
      <c r="W979" s="70"/>
      <c r="X979" s="64"/>
      <c r="Y979" s="70"/>
      <c r="Z979" s="70"/>
      <c r="AA979" s="71"/>
      <c r="AB979" s="70"/>
      <c r="AC979" s="70"/>
      <c r="AD979" s="64"/>
      <c r="AE979" s="70"/>
      <c r="AF979" s="70"/>
      <c r="AG979" s="70"/>
      <c r="AH979" s="70"/>
    </row>
    <row r="980" spans="4:34" x14ac:dyDescent="0.2">
      <c r="D980" s="53"/>
      <c r="E980" s="70"/>
      <c r="F980" s="70"/>
      <c r="G980" s="70"/>
      <c r="H980" s="70"/>
      <c r="I980" s="70"/>
      <c r="J980" s="70"/>
      <c r="K980" s="70"/>
      <c r="L980" s="70"/>
      <c r="M980" s="70"/>
      <c r="N980" s="70"/>
      <c r="O980" s="70"/>
      <c r="P980" s="70"/>
      <c r="Q980" s="70"/>
      <c r="R980" s="70"/>
      <c r="S980" s="70"/>
      <c r="T980" s="70"/>
      <c r="U980" s="64"/>
      <c r="V980" s="64"/>
      <c r="W980" s="70"/>
      <c r="X980" s="64"/>
      <c r="Y980" s="70"/>
      <c r="Z980" s="70"/>
      <c r="AA980" s="71"/>
      <c r="AB980" s="70"/>
      <c r="AC980" s="70"/>
      <c r="AD980" s="64"/>
      <c r="AE980" s="70"/>
      <c r="AF980" s="70"/>
      <c r="AG980" s="70"/>
      <c r="AH980" s="70"/>
    </row>
    <row r="981" spans="4:34" x14ac:dyDescent="0.2">
      <c r="D981" s="53"/>
      <c r="E981" s="70"/>
      <c r="F981" s="70"/>
      <c r="G981" s="70"/>
      <c r="H981" s="70"/>
      <c r="I981" s="70"/>
      <c r="J981" s="70"/>
      <c r="K981" s="70"/>
      <c r="L981" s="70"/>
      <c r="M981" s="70"/>
      <c r="N981" s="70"/>
      <c r="O981" s="70"/>
      <c r="P981" s="70"/>
      <c r="Q981" s="70"/>
      <c r="R981" s="70"/>
      <c r="S981" s="70"/>
      <c r="T981" s="70"/>
      <c r="U981" s="64"/>
      <c r="V981" s="64"/>
      <c r="W981" s="70"/>
      <c r="X981" s="64"/>
      <c r="Y981" s="70"/>
      <c r="Z981" s="70"/>
      <c r="AA981" s="71"/>
      <c r="AB981" s="70"/>
      <c r="AC981" s="70"/>
      <c r="AD981" s="64"/>
      <c r="AE981" s="70"/>
      <c r="AF981" s="70"/>
      <c r="AG981" s="70"/>
      <c r="AH981" s="70"/>
    </row>
    <row r="982" spans="4:34" x14ac:dyDescent="0.2">
      <c r="D982" s="53"/>
      <c r="E982" s="70"/>
      <c r="F982" s="70"/>
      <c r="G982" s="70"/>
      <c r="H982" s="70"/>
      <c r="I982" s="70"/>
      <c r="J982" s="70"/>
      <c r="K982" s="70"/>
      <c r="L982" s="70"/>
      <c r="M982" s="70"/>
      <c r="N982" s="70"/>
      <c r="O982" s="70"/>
      <c r="P982" s="70"/>
      <c r="Q982" s="70"/>
      <c r="R982" s="70"/>
      <c r="S982" s="70"/>
      <c r="T982" s="70"/>
      <c r="U982" s="64"/>
      <c r="V982" s="64"/>
      <c r="W982" s="70"/>
      <c r="X982" s="64"/>
      <c r="Y982" s="70"/>
      <c r="Z982" s="70"/>
      <c r="AA982" s="71"/>
      <c r="AB982" s="70"/>
      <c r="AC982" s="70"/>
      <c r="AD982" s="64"/>
      <c r="AE982" s="70"/>
      <c r="AF982" s="70"/>
      <c r="AG982" s="70"/>
      <c r="AH982" s="70"/>
    </row>
    <row r="983" spans="4:34" x14ac:dyDescent="0.2">
      <c r="D983" s="53"/>
      <c r="E983" s="70"/>
      <c r="F983" s="70"/>
      <c r="G983" s="70"/>
      <c r="H983" s="70"/>
      <c r="I983" s="70"/>
      <c r="J983" s="70"/>
      <c r="K983" s="70"/>
      <c r="L983" s="70"/>
      <c r="M983" s="70"/>
      <c r="N983" s="70"/>
      <c r="O983" s="70"/>
      <c r="P983" s="70"/>
      <c r="Q983" s="70"/>
      <c r="R983" s="70"/>
      <c r="S983" s="70"/>
      <c r="T983" s="70"/>
      <c r="U983" s="64"/>
      <c r="V983" s="64"/>
      <c r="W983" s="70"/>
      <c r="X983" s="64"/>
      <c r="Y983" s="70"/>
      <c r="Z983" s="70"/>
      <c r="AA983" s="71"/>
      <c r="AB983" s="70"/>
      <c r="AC983" s="70"/>
      <c r="AD983" s="64"/>
      <c r="AE983" s="70"/>
      <c r="AF983" s="70"/>
      <c r="AG983" s="70"/>
      <c r="AH983" s="70"/>
    </row>
    <row r="984" spans="4:34" x14ac:dyDescent="0.2">
      <c r="D984" s="53"/>
      <c r="E984" s="70"/>
      <c r="F984" s="70"/>
      <c r="G984" s="70"/>
      <c r="H984" s="70"/>
      <c r="I984" s="70"/>
      <c r="J984" s="70"/>
      <c r="K984" s="70"/>
      <c r="L984" s="70"/>
      <c r="M984" s="70"/>
      <c r="N984" s="70"/>
      <c r="O984" s="70"/>
      <c r="P984" s="70"/>
      <c r="Q984" s="70"/>
      <c r="R984" s="70"/>
      <c r="S984" s="70"/>
      <c r="T984" s="70"/>
      <c r="U984" s="64"/>
      <c r="V984" s="64"/>
      <c r="W984" s="70"/>
      <c r="X984" s="64"/>
      <c r="Y984" s="70"/>
      <c r="Z984" s="70"/>
      <c r="AA984" s="71"/>
      <c r="AB984" s="70"/>
      <c r="AC984" s="70"/>
      <c r="AD984" s="64"/>
      <c r="AE984" s="70"/>
      <c r="AF984" s="70"/>
      <c r="AG984" s="70"/>
      <c r="AH984" s="70"/>
    </row>
    <row r="985" spans="4:34" x14ac:dyDescent="0.2">
      <c r="D985" s="53"/>
      <c r="E985" s="70"/>
      <c r="F985" s="70"/>
      <c r="G985" s="70"/>
      <c r="H985" s="70"/>
      <c r="I985" s="70"/>
      <c r="J985" s="70"/>
      <c r="K985" s="70"/>
      <c r="L985" s="70"/>
      <c r="M985" s="70"/>
      <c r="N985" s="70"/>
      <c r="O985" s="70"/>
      <c r="P985" s="70"/>
      <c r="Q985" s="70"/>
      <c r="R985" s="70"/>
      <c r="S985" s="70"/>
      <c r="T985" s="70"/>
      <c r="U985" s="64"/>
      <c r="V985" s="64"/>
      <c r="W985" s="70"/>
      <c r="X985" s="64"/>
      <c r="Y985" s="70"/>
      <c r="Z985" s="70"/>
      <c r="AA985" s="71"/>
      <c r="AB985" s="70"/>
      <c r="AC985" s="70"/>
      <c r="AD985" s="64"/>
      <c r="AE985" s="70"/>
      <c r="AF985" s="70"/>
      <c r="AG985" s="70"/>
      <c r="AH985" s="70"/>
    </row>
    <row r="986" spans="4:34" x14ac:dyDescent="0.2">
      <c r="D986" s="53"/>
      <c r="E986" s="70"/>
      <c r="F986" s="70"/>
      <c r="G986" s="70"/>
      <c r="H986" s="70"/>
      <c r="I986" s="70"/>
      <c r="J986" s="70"/>
      <c r="K986" s="70"/>
      <c r="L986" s="70"/>
      <c r="M986" s="70"/>
      <c r="N986" s="70"/>
      <c r="O986" s="70"/>
      <c r="P986" s="70"/>
      <c r="Q986" s="70"/>
      <c r="R986" s="70"/>
      <c r="S986" s="70"/>
      <c r="T986" s="70"/>
      <c r="U986" s="64"/>
      <c r="V986" s="64"/>
      <c r="W986" s="70"/>
      <c r="X986" s="64"/>
      <c r="Y986" s="70"/>
      <c r="Z986" s="70"/>
      <c r="AA986" s="71"/>
      <c r="AB986" s="70"/>
      <c r="AC986" s="70"/>
      <c r="AD986" s="64"/>
      <c r="AE986" s="70"/>
      <c r="AF986" s="70"/>
      <c r="AG986" s="70"/>
      <c r="AH986" s="70"/>
    </row>
    <row r="987" spans="4:34" x14ac:dyDescent="0.2">
      <c r="D987" s="53"/>
      <c r="E987" s="70"/>
      <c r="F987" s="70"/>
      <c r="G987" s="70"/>
      <c r="H987" s="70"/>
      <c r="I987" s="70"/>
      <c r="J987" s="70"/>
      <c r="K987" s="70"/>
      <c r="L987" s="70"/>
      <c r="M987" s="70"/>
      <c r="N987" s="70"/>
      <c r="O987" s="70"/>
      <c r="P987" s="70"/>
      <c r="Q987" s="70"/>
      <c r="R987" s="70"/>
      <c r="S987" s="70"/>
      <c r="T987" s="70"/>
      <c r="U987" s="64"/>
      <c r="V987" s="64"/>
      <c r="W987" s="70"/>
      <c r="X987" s="64"/>
      <c r="Y987" s="70"/>
      <c r="Z987" s="70"/>
      <c r="AA987" s="71"/>
      <c r="AB987" s="70"/>
      <c r="AC987" s="70"/>
      <c r="AD987" s="64"/>
      <c r="AE987" s="70"/>
      <c r="AF987" s="70"/>
      <c r="AG987" s="70"/>
      <c r="AH987" s="70"/>
    </row>
    <row r="988" spans="4:34" x14ac:dyDescent="0.2">
      <c r="D988" s="53"/>
      <c r="E988" s="70"/>
      <c r="F988" s="70"/>
      <c r="G988" s="70"/>
      <c r="H988" s="70"/>
      <c r="I988" s="70"/>
      <c r="J988" s="70"/>
      <c r="K988" s="70"/>
      <c r="L988" s="70"/>
      <c r="M988" s="70"/>
      <c r="N988" s="70"/>
      <c r="O988" s="70"/>
      <c r="P988" s="70"/>
      <c r="Q988" s="70"/>
      <c r="R988" s="70"/>
      <c r="S988" s="70"/>
      <c r="T988" s="70"/>
      <c r="U988" s="64"/>
      <c r="V988" s="64"/>
      <c r="W988" s="70"/>
      <c r="X988" s="64"/>
      <c r="Y988" s="70"/>
      <c r="Z988" s="70"/>
      <c r="AA988" s="71"/>
      <c r="AB988" s="70"/>
      <c r="AC988" s="70"/>
      <c r="AD988" s="64"/>
      <c r="AE988" s="70"/>
      <c r="AF988" s="70"/>
      <c r="AG988" s="70"/>
      <c r="AH988" s="70"/>
    </row>
    <row r="989" spans="4:34" x14ac:dyDescent="0.2">
      <c r="D989" s="53"/>
      <c r="E989" s="70"/>
      <c r="F989" s="70"/>
      <c r="G989" s="70"/>
      <c r="H989" s="70"/>
      <c r="I989" s="70"/>
      <c r="J989" s="70"/>
      <c r="K989" s="70"/>
      <c r="L989" s="70"/>
      <c r="M989" s="70"/>
      <c r="N989" s="70"/>
      <c r="O989" s="70"/>
      <c r="P989" s="70"/>
      <c r="Q989" s="70"/>
      <c r="R989" s="70"/>
      <c r="S989" s="70"/>
      <c r="T989" s="70"/>
      <c r="U989" s="64"/>
      <c r="V989" s="64"/>
      <c r="W989" s="70"/>
      <c r="X989" s="64"/>
      <c r="Y989" s="70"/>
      <c r="Z989" s="70"/>
      <c r="AA989" s="71"/>
      <c r="AB989" s="70"/>
      <c r="AC989" s="70"/>
      <c r="AD989" s="64"/>
      <c r="AE989" s="70"/>
      <c r="AF989" s="70"/>
      <c r="AG989" s="70"/>
      <c r="AH989" s="70"/>
    </row>
    <row r="990" spans="4:34" x14ac:dyDescent="0.2">
      <c r="D990" s="53"/>
      <c r="E990" s="70"/>
      <c r="F990" s="70"/>
      <c r="G990" s="70"/>
      <c r="H990" s="70"/>
      <c r="I990" s="70"/>
      <c r="J990" s="70"/>
      <c r="K990" s="70"/>
      <c r="L990" s="70"/>
      <c r="M990" s="70"/>
      <c r="N990" s="70"/>
      <c r="O990" s="70"/>
      <c r="P990" s="70"/>
      <c r="Q990" s="70"/>
      <c r="R990" s="70"/>
      <c r="S990" s="70"/>
      <c r="T990" s="70"/>
      <c r="U990" s="64"/>
      <c r="V990" s="64"/>
      <c r="W990" s="70"/>
      <c r="X990" s="64"/>
      <c r="Y990" s="70"/>
      <c r="Z990" s="70"/>
      <c r="AA990" s="71"/>
      <c r="AB990" s="70"/>
      <c r="AC990" s="70"/>
      <c r="AD990" s="64"/>
      <c r="AE990" s="70"/>
      <c r="AF990" s="70"/>
      <c r="AG990" s="70"/>
      <c r="AH990" s="70"/>
    </row>
    <row r="991" spans="4:34" x14ac:dyDescent="0.2">
      <c r="D991" s="53"/>
      <c r="E991" s="70"/>
      <c r="F991" s="70"/>
      <c r="G991" s="70"/>
      <c r="H991" s="70"/>
      <c r="I991" s="70"/>
      <c r="J991" s="70"/>
      <c r="K991" s="70"/>
      <c r="L991" s="70"/>
      <c r="M991" s="70"/>
      <c r="N991" s="70"/>
      <c r="O991" s="70"/>
      <c r="P991" s="70"/>
      <c r="Q991" s="70"/>
      <c r="R991" s="70"/>
      <c r="S991" s="70"/>
      <c r="T991" s="70"/>
      <c r="U991" s="64"/>
      <c r="V991" s="64"/>
      <c r="W991" s="70"/>
      <c r="X991" s="64"/>
      <c r="Y991" s="70"/>
      <c r="Z991" s="70"/>
      <c r="AA991" s="71"/>
      <c r="AB991" s="70"/>
      <c r="AC991" s="70"/>
      <c r="AD991" s="64"/>
      <c r="AE991" s="70"/>
      <c r="AF991" s="70"/>
      <c r="AG991" s="70"/>
      <c r="AH991" s="70"/>
    </row>
    <row r="992" spans="4:34" x14ac:dyDescent="0.2">
      <c r="D992" s="53"/>
      <c r="E992" s="70"/>
      <c r="F992" s="70"/>
      <c r="G992" s="70"/>
      <c r="H992" s="70"/>
      <c r="I992" s="70"/>
      <c r="J992" s="70"/>
      <c r="K992" s="70"/>
      <c r="L992" s="70"/>
      <c r="M992" s="70"/>
      <c r="N992" s="70"/>
      <c r="O992" s="70"/>
      <c r="P992" s="70"/>
      <c r="Q992" s="70"/>
      <c r="R992" s="70"/>
      <c r="S992" s="70"/>
      <c r="T992" s="70"/>
      <c r="U992" s="64"/>
      <c r="V992" s="64"/>
      <c r="W992" s="70"/>
      <c r="X992" s="64"/>
      <c r="Y992" s="70"/>
      <c r="Z992" s="70"/>
      <c r="AA992" s="71"/>
      <c r="AB992" s="70"/>
      <c r="AC992" s="70"/>
      <c r="AD992" s="64"/>
      <c r="AE992" s="70"/>
      <c r="AF992" s="70"/>
      <c r="AG992" s="70"/>
      <c r="AH992" s="70"/>
    </row>
    <row r="993" spans="4:34" x14ac:dyDescent="0.2">
      <c r="D993" s="53"/>
      <c r="E993" s="70"/>
      <c r="F993" s="70"/>
      <c r="G993" s="70"/>
      <c r="H993" s="70"/>
      <c r="I993" s="70"/>
      <c r="J993" s="70"/>
      <c r="K993" s="70"/>
      <c r="L993" s="70"/>
      <c r="M993" s="70"/>
      <c r="N993" s="70"/>
      <c r="O993" s="70"/>
      <c r="P993" s="70"/>
      <c r="Q993" s="70"/>
      <c r="R993" s="70"/>
      <c r="S993" s="70"/>
      <c r="T993" s="70"/>
      <c r="U993" s="64"/>
      <c r="V993" s="64"/>
      <c r="W993" s="70"/>
      <c r="X993" s="64"/>
      <c r="Y993" s="70"/>
      <c r="Z993" s="70"/>
      <c r="AA993" s="71"/>
      <c r="AB993" s="70"/>
      <c r="AC993" s="70"/>
      <c r="AD993" s="64"/>
      <c r="AE993" s="70"/>
      <c r="AF993" s="70"/>
      <c r="AG993" s="70"/>
      <c r="AH993" s="70"/>
    </row>
    <row r="994" spans="4:34" x14ac:dyDescent="0.2">
      <c r="D994" s="53"/>
      <c r="E994" s="70"/>
      <c r="F994" s="70"/>
      <c r="G994" s="70"/>
      <c r="H994" s="70"/>
      <c r="I994" s="70"/>
      <c r="J994" s="70"/>
      <c r="K994" s="70"/>
      <c r="L994" s="70"/>
      <c r="M994" s="70"/>
      <c r="N994" s="70"/>
      <c r="O994" s="70"/>
      <c r="P994" s="70"/>
      <c r="Q994" s="70"/>
      <c r="R994" s="70"/>
      <c r="S994" s="70"/>
      <c r="T994" s="70"/>
      <c r="U994" s="64"/>
      <c r="V994" s="64"/>
      <c r="W994" s="70"/>
      <c r="X994" s="64"/>
      <c r="Y994" s="70"/>
      <c r="Z994" s="70"/>
      <c r="AA994" s="71"/>
      <c r="AB994" s="70"/>
      <c r="AC994" s="70"/>
      <c r="AD994" s="64"/>
      <c r="AE994" s="70"/>
      <c r="AF994" s="70"/>
      <c r="AG994" s="70"/>
      <c r="AH994" s="70"/>
    </row>
    <row r="995" spans="4:34" x14ac:dyDescent="0.2">
      <c r="D995" s="53"/>
      <c r="E995" s="70"/>
      <c r="F995" s="70"/>
      <c r="G995" s="70"/>
      <c r="H995" s="70"/>
      <c r="I995" s="70"/>
      <c r="J995" s="70"/>
      <c r="K995" s="70"/>
      <c r="L995" s="70"/>
      <c r="M995" s="70"/>
      <c r="N995" s="70"/>
      <c r="O995" s="70"/>
      <c r="P995" s="70"/>
      <c r="Q995" s="70"/>
      <c r="R995" s="70"/>
      <c r="S995" s="70"/>
      <c r="T995" s="70"/>
      <c r="U995" s="64"/>
      <c r="V995" s="64"/>
      <c r="W995" s="70"/>
      <c r="X995" s="64"/>
      <c r="Y995" s="70"/>
      <c r="Z995" s="70"/>
      <c r="AA995" s="71"/>
      <c r="AB995" s="70"/>
      <c r="AC995" s="70"/>
      <c r="AD995" s="64"/>
      <c r="AE995" s="70"/>
      <c r="AF995" s="70"/>
      <c r="AG995" s="70"/>
      <c r="AH995" s="70"/>
    </row>
    <row r="996" spans="4:34" x14ac:dyDescent="0.2">
      <c r="D996" s="53"/>
      <c r="E996" s="70"/>
      <c r="F996" s="70"/>
      <c r="G996" s="70"/>
      <c r="H996" s="70"/>
      <c r="I996" s="70"/>
      <c r="J996" s="70"/>
      <c r="K996" s="70"/>
      <c r="L996" s="70"/>
      <c r="M996" s="70"/>
      <c r="N996" s="70"/>
      <c r="O996" s="70"/>
      <c r="P996" s="70"/>
      <c r="Q996" s="70"/>
      <c r="R996" s="70"/>
      <c r="S996" s="70"/>
      <c r="T996" s="70"/>
      <c r="U996" s="64"/>
      <c r="V996" s="64"/>
      <c r="W996" s="70"/>
      <c r="X996" s="64"/>
      <c r="Y996" s="70"/>
      <c r="Z996" s="70"/>
      <c r="AA996" s="71"/>
      <c r="AB996" s="70"/>
      <c r="AC996" s="70"/>
      <c r="AD996" s="64"/>
      <c r="AE996" s="70"/>
      <c r="AF996" s="70"/>
      <c r="AG996" s="70"/>
      <c r="AH996" s="70"/>
    </row>
    <row r="997" spans="4:34" x14ac:dyDescent="0.2">
      <c r="D997" s="53"/>
      <c r="E997" s="70"/>
      <c r="F997" s="70"/>
      <c r="G997" s="70"/>
      <c r="H997" s="70"/>
      <c r="I997" s="70"/>
      <c r="J997" s="70"/>
      <c r="K997" s="70"/>
      <c r="L997" s="70"/>
      <c r="M997" s="70"/>
      <c r="N997" s="70"/>
      <c r="O997" s="70"/>
      <c r="P997" s="70"/>
      <c r="Q997" s="70"/>
      <c r="R997" s="70"/>
      <c r="S997" s="70"/>
      <c r="T997" s="70"/>
      <c r="U997" s="64"/>
      <c r="V997" s="64"/>
      <c r="W997" s="70"/>
      <c r="X997" s="64"/>
      <c r="Y997" s="70"/>
      <c r="Z997" s="70"/>
      <c r="AA997" s="71"/>
      <c r="AB997" s="70"/>
      <c r="AC997" s="70"/>
      <c r="AD997" s="64"/>
      <c r="AE997" s="70"/>
      <c r="AF997" s="70"/>
      <c r="AG997" s="70"/>
      <c r="AH997" s="70"/>
    </row>
    <row r="998" spans="4:34" x14ac:dyDescent="0.2">
      <c r="D998" s="53"/>
      <c r="E998" s="70"/>
      <c r="F998" s="70"/>
      <c r="G998" s="70"/>
      <c r="H998" s="70"/>
      <c r="I998" s="70"/>
      <c r="J998" s="70"/>
      <c r="K998" s="70"/>
      <c r="L998" s="70"/>
      <c r="M998" s="70"/>
      <c r="N998" s="70"/>
      <c r="O998" s="70"/>
      <c r="P998" s="70"/>
      <c r="Q998" s="70"/>
      <c r="R998" s="70"/>
      <c r="S998" s="70"/>
      <c r="T998" s="70"/>
      <c r="U998" s="64"/>
      <c r="V998" s="64"/>
      <c r="W998" s="70"/>
      <c r="X998" s="64"/>
      <c r="Y998" s="70"/>
      <c r="Z998" s="70"/>
      <c r="AA998" s="71"/>
      <c r="AB998" s="70"/>
      <c r="AC998" s="70"/>
      <c r="AD998" s="64"/>
      <c r="AE998" s="70"/>
      <c r="AF998" s="70"/>
      <c r="AG998" s="70"/>
      <c r="AH998" s="70"/>
    </row>
    <row r="999" spans="4:34" x14ac:dyDescent="0.2">
      <c r="D999" s="53"/>
      <c r="E999" s="70"/>
      <c r="F999" s="70"/>
      <c r="G999" s="70"/>
      <c r="H999" s="70"/>
      <c r="I999" s="70"/>
      <c r="J999" s="70"/>
      <c r="K999" s="70"/>
      <c r="L999" s="70"/>
      <c r="M999" s="70"/>
      <c r="N999" s="70"/>
      <c r="O999" s="70"/>
      <c r="P999" s="70"/>
      <c r="Q999" s="70"/>
      <c r="R999" s="70"/>
      <c r="S999" s="70"/>
      <c r="T999" s="70"/>
      <c r="U999" s="64"/>
      <c r="V999" s="64"/>
      <c r="W999" s="70"/>
      <c r="X999" s="64"/>
      <c r="Y999" s="70"/>
      <c r="Z999" s="70"/>
      <c r="AA999" s="71"/>
      <c r="AB999" s="70"/>
      <c r="AC999" s="70"/>
      <c r="AD999" s="64"/>
      <c r="AE999" s="70"/>
      <c r="AF999" s="70"/>
      <c r="AG999" s="70"/>
      <c r="AH999" s="70"/>
    </row>
    <row r="1000" spans="4:34" x14ac:dyDescent="0.2">
      <c r="D1000" s="53"/>
      <c r="E1000" s="70"/>
      <c r="F1000" s="70"/>
      <c r="G1000" s="70"/>
      <c r="H1000" s="70"/>
      <c r="I1000" s="70"/>
      <c r="J1000" s="70"/>
      <c r="K1000" s="70"/>
      <c r="L1000" s="70"/>
      <c r="M1000" s="70"/>
      <c r="N1000" s="70"/>
      <c r="O1000" s="70"/>
      <c r="P1000" s="70"/>
      <c r="Q1000" s="70"/>
      <c r="R1000" s="70"/>
      <c r="S1000" s="70"/>
      <c r="T1000" s="70"/>
      <c r="U1000" s="64"/>
      <c r="V1000" s="64"/>
      <c r="W1000" s="70"/>
      <c r="X1000" s="64"/>
      <c r="Y1000" s="70"/>
      <c r="Z1000" s="70"/>
      <c r="AA1000" s="71"/>
      <c r="AB1000" s="70"/>
      <c r="AC1000" s="70"/>
      <c r="AD1000" s="64"/>
      <c r="AE1000" s="70"/>
      <c r="AF1000" s="70"/>
      <c r="AG1000" s="70"/>
      <c r="AH1000" s="70"/>
    </row>
    <row r="1001" spans="4:34" x14ac:dyDescent="0.2">
      <c r="D1001" s="53"/>
      <c r="E1001" s="70"/>
      <c r="F1001" s="70"/>
      <c r="G1001" s="70"/>
      <c r="H1001" s="70"/>
      <c r="I1001" s="70"/>
      <c r="J1001" s="70"/>
      <c r="K1001" s="70"/>
      <c r="L1001" s="70"/>
      <c r="M1001" s="70"/>
      <c r="N1001" s="70"/>
      <c r="O1001" s="70"/>
      <c r="P1001" s="70"/>
      <c r="Q1001" s="70"/>
      <c r="R1001" s="70"/>
      <c r="S1001" s="70"/>
      <c r="T1001" s="70"/>
      <c r="U1001" s="64"/>
      <c r="V1001" s="64"/>
      <c r="W1001" s="70"/>
      <c r="X1001" s="64"/>
      <c r="Y1001" s="70"/>
      <c r="Z1001" s="70"/>
      <c r="AA1001" s="71"/>
      <c r="AB1001" s="70"/>
      <c r="AC1001" s="70"/>
      <c r="AD1001" s="64"/>
      <c r="AE1001" s="70"/>
      <c r="AF1001" s="70"/>
      <c r="AG1001" s="70"/>
      <c r="AH1001" s="70"/>
    </row>
    <row r="1002" spans="4:34" x14ac:dyDescent="0.2">
      <c r="D1002" s="53"/>
      <c r="E1002" s="70"/>
      <c r="F1002" s="70"/>
      <c r="G1002" s="70"/>
      <c r="H1002" s="70"/>
      <c r="I1002" s="70"/>
      <c r="J1002" s="70"/>
      <c r="K1002" s="70"/>
      <c r="L1002" s="70"/>
      <c r="M1002" s="70"/>
      <c r="N1002" s="70"/>
      <c r="O1002" s="70"/>
      <c r="P1002" s="70"/>
      <c r="Q1002" s="70"/>
      <c r="R1002" s="70"/>
      <c r="S1002" s="70"/>
      <c r="T1002" s="70"/>
      <c r="U1002" s="64"/>
      <c r="V1002" s="64"/>
      <c r="W1002" s="70"/>
      <c r="X1002" s="64"/>
      <c r="Y1002" s="70"/>
      <c r="Z1002" s="70"/>
      <c r="AA1002" s="71"/>
      <c r="AB1002" s="70"/>
      <c r="AC1002" s="70"/>
      <c r="AD1002" s="64"/>
      <c r="AE1002" s="70"/>
      <c r="AF1002" s="70"/>
      <c r="AG1002" s="70"/>
      <c r="AH1002" s="70"/>
    </row>
    <row r="1003" spans="4:34" x14ac:dyDescent="0.2">
      <c r="D1003" s="53"/>
      <c r="E1003" s="70"/>
      <c r="F1003" s="70"/>
      <c r="G1003" s="70"/>
      <c r="H1003" s="70"/>
      <c r="I1003" s="70"/>
      <c r="J1003" s="70"/>
      <c r="K1003" s="70"/>
      <c r="L1003" s="70"/>
      <c r="M1003" s="70"/>
      <c r="N1003" s="70"/>
      <c r="O1003" s="70"/>
      <c r="P1003" s="70"/>
      <c r="Q1003" s="70"/>
      <c r="R1003" s="70"/>
      <c r="S1003" s="70"/>
      <c r="T1003" s="70"/>
      <c r="U1003" s="64"/>
      <c r="V1003" s="64"/>
      <c r="W1003" s="70"/>
      <c r="X1003" s="64"/>
      <c r="Y1003" s="70"/>
      <c r="Z1003" s="70"/>
      <c r="AA1003" s="71"/>
      <c r="AB1003" s="70"/>
      <c r="AC1003" s="70"/>
      <c r="AD1003" s="64"/>
      <c r="AE1003" s="70"/>
      <c r="AF1003" s="70"/>
      <c r="AG1003" s="70"/>
      <c r="AH1003" s="70"/>
    </row>
    <row r="1004" spans="4:34" x14ac:dyDescent="0.2">
      <c r="D1004" s="53"/>
      <c r="E1004" s="70"/>
      <c r="F1004" s="70"/>
      <c r="G1004" s="70"/>
      <c r="H1004" s="70"/>
      <c r="I1004" s="70"/>
      <c r="J1004" s="70"/>
      <c r="K1004" s="70"/>
      <c r="L1004" s="70"/>
      <c r="M1004" s="70"/>
      <c r="N1004" s="70"/>
      <c r="O1004" s="70"/>
      <c r="P1004" s="70"/>
      <c r="Q1004" s="70"/>
      <c r="R1004" s="70"/>
      <c r="S1004" s="70"/>
      <c r="T1004" s="70"/>
      <c r="U1004" s="64"/>
      <c r="V1004" s="64"/>
      <c r="W1004" s="70"/>
      <c r="X1004" s="64"/>
      <c r="Y1004" s="70"/>
      <c r="Z1004" s="70"/>
      <c r="AA1004" s="71"/>
      <c r="AB1004" s="70"/>
      <c r="AC1004" s="70"/>
      <c r="AD1004" s="64"/>
      <c r="AE1004" s="70"/>
      <c r="AF1004" s="70"/>
      <c r="AG1004" s="70"/>
      <c r="AH1004" s="70"/>
    </row>
    <row r="1005" spans="4:34" x14ac:dyDescent="0.2">
      <c r="D1005" s="53"/>
      <c r="E1005" s="70"/>
      <c r="F1005" s="70"/>
      <c r="G1005" s="70"/>
      <c r="H1005" s="70"/>
      <c r="I1005" s="70"/>
      <c r="J1005" s="70"/>
      <c r="K1005" s="70"/>
      <c r="L1005" s="70"/>
      <c r="M1005" s="70"/>
      <c r="N1005" s="70"/>
      <c r="O1005" s="70"/>
      <c r="P1005" s="70"/>
      <c r="Q1005" s="70"/>
      <c r="R1005" s="70"/>
      <c r="S1005" s="70"/>
      <c r="T1005" s="70"/>
      <c r="U1005" s="64"/>
      <c r="V1005" s="64"/>
      <c r="W1005" s="70"/>
      <c r="X1005" s="64"/>
      <c r="Y1005" s="70"/>
      <c r="Z1005" s="70"/>
      <c r="AA1005" s="71"/>
      <c r="AB1005" s="70"/>
      <c r="AC1005" s="70"/>
      <c r="AD1005" s="64"/>
      <c r="AE1005" s="70"/>
      <c r="AF1005" s="70"/>
      <c r="AG1005" s="70"/>
      <c r="AH1005" s="70"/>
    </row>
    <row r="1006" spans="4:34" x14ac:dyDescent="0.2">
      <c r="D1006" s="53"/>
      <c r="E1006" s="70"/>
      <c r="F1006" s="70"/>
      <c r="G1006" s="70"/>
      <c r="H1006" s="70"/>
      <c r="I1006" s="70"/>
      <c r="J1006" s="70"/>
      <c r="K1006" s="70"/>
      <c r="L1006" s="70"/>
      <c r="M1006" s="70"/>
      <c r="N1006" s="70"/>
      <c r="O1006" s="70"/>
      <c r="P1006" s="70"/>
      <c r="Q1006" s="70"/>
      <c r="R1006" s="70"/>
      <c r="S1006" s="70"/>
      <c r="T1006" s="70"/>
      <c r="U1006" s="64"/>
      <c r="V1006" s="64"/>
      <c r="W1006" s="70"/>
      <c r="X1006" s="64"/>
      <c r="Y1006" s="70"/>
      <c r="Z1006" s="70"/>
      <c r="AA1006" s="71"/>
      <c r="AB1006" s="70"/>
      <c r="AC1006" s="70"/>
      <c r="AD1006" s="64"/>
      <c r="AE1006" s="70"/>
      <c r="AF1006" s="70"/>
      <c r="AG1006" s="70"/>
      <c r="AH1006" s="70"/>
    </row>
    <row r="1007" spans="4:34" x14ac:dyDescent="0.2">
      <c r="D1007" s="53"/>
      <c r="E1007" s="70"/>
      <c r="F1007" s="70"/>
      <c r="G1007" s="70"/>
      <c r="H1007" s="70"/>
      <c r="I1007" s="70"/>
      <c r="J1007" s="70"/>
      <c r="K1007" s="70"/>
      <c r="L1007" s="70"/>
      <c r="M1007" s="70"/>
      <c r="N1007" s="70"/>
      <c r="O1007" s="70"/>
      <c r="P1007" s="70"/>
      <c r="Q1007" s="70"/>
      <c r="R1007" s="70"/>
      <c r="S1007" s="70"/>
      <c r="T1007" s="70"/>
      <c r="U1007" s="64"/>
      <c r="V1007" s="64"/>
      <c r="W1007" s="70"/>
      <c r="X1007" s="64"/>
      <c r="Y1007" s="70"/>
      <c r="Z1007" s="70"/>
      <c r="AA1007" s="71"/>
      <c r="AB1007" s="70"/>
      <c r="AC1007" s="70"/>
      <c r="AD1007" s="64"/>
      <c r="AE1007" s="70"/>
      <c r="AF1007" s="70"/>
      <c r="AG1007" s="70"/>
      <c r="AH1007" s="70"/>
    </row>
    <row r="1008" spans="4:34" x14ac:dyDescent="0.2">
      <c r="D1008" s="53"/>
      <c r="E1008" s="70"/>
      <c r="F1008" s="70"/>
      <c r="G1008" s="70"/>
      <c r="H1008" s="70"/>
      <c r="I1008" s="70"/>
      <c r="J1008" s="70"/>
      <c r="K1008" s="70"/>
      <c r="L1008" s="70"/>
      <c r="M1008" s="70"/>
      <c r="N1008" s="70"/>
      <c r="O1008" s="70"/>
      <c r="P1008" s="70"/>
      <c r="Q1008" s="70"/>
      <c r="R1008" s="70"/>
      <c r="S1008" s="70"/>
      <c r="T1008" s="70"/>
      <c r="U1008" s="64"/>
      <c r="V1008" s="64"/>
      <c r="W1008" s="70"/>
      <c r="X1008" s="64"/>
      <c r="Y1008" s="70"/>
      <c r="Z1008" s="70"/>
      <c r="AA1008" s="71"/>
      <c r="AB1008" s="70"/>
      <c r="AC1008" s="70"/>
      <c r="AD1008" s="64"/>
      <c r="AE1008" s="70"/>
      <c r="AF1008" s="70"/>
      <c r="AG1008" s="70"/>
      <c r="AH1008" s="70"/>
    </row>
    <row r="1009" spans="4:34" x14ac:dyDescent="0.2">
      <c r="D1009" s="53"/>
      <c r="E1009" s="70"/>
      <c r="F1009" s="70"/>
      <c r="G1009" s="70"/>
      <c r="H1009" s="70"/>
      <c r="I1009" s="70"/>
      <c r="J1009" s="70"/>
      <c r="K1009" s="70"/>
      <c r="L1009" s="70"/>
      <c r="M1009" s="70"/>
      <c r="N1009" s="70"/>
      <c r="O1009" s="70"/>
      <c r="P1009" s="70"/>
      <c r="Q1009" s="70"/>
      <c r="R1009" s="70"/>
      <c r="S1009" s="70"/>
      <c r="T1009" s="70"/>
      <c r="U1009" s="64"/>
      <c r="V1009" s="64"/>
      <c r="W1009" s="70"/>
      <c r="X1009" s="64"/>
      <c r="Y1009" s="70"/>
      <c r="Z1009" s="70"/>
      <c r="AA1009" s="71"/>
      <c r="AB1009" s="70"/>
      <c r="AC1009" s="70"/>
      <c r="AD1009" s="64"/>
      <c r="AE1009" s="70"/>
      <c r="AF1009" s="70"/>
      <c r="AG1009" s="70"/>
      <c r="AH1009" s="70"/>
    </row>
    <row r="1010" spans="4:34" x14ac:dyDescent="0.2">
      <c r="D1010" s="53"/>
      <c r="E1010" s="70"/>
      <c r="F1010" s="70"/>
      <c r="G1010" s="70"/>
      <c r="H1010" s="70"/>
      <c r="I1010" s="70"/>
      <c r="J1010" s="70"/>
      <c r="K1010" s="70"/>
      <c r="L1010" s="70"/>
      <c r="M1010" s="70"/>
      <c r="N1010" s="70"/>
      <c r="O1010" s="70"/>
      <c r="P1010" s="70"/>
      <c r="Q1010" s="70"/>
      <c r="R1010" s="70"/>
      <c r="S1010" s="70"/>
      <c r="T1010" s="70"/>
      <c r="U1010" s="64"/>
      <c r="V1010" s="64"/>
      <c r="W1010" s="70"/>
      <c r="X1010" s="64"/>
      <c r="Y1010" s="70"/>
      <c r="Z1010" s="70"/>
      <c r="AA1010" s="71"/>
      <c r="AB1010" s="70"/>
      <c r="AC1010" s="70"/>
      <c r="AD1010" s="64"/>
      <c r="AE1010" s="70"/>
      <c r="AF1010" s="70"/>
      <c r="AG1010" s="70"/>
      <c r="AH1010" s="70"/>
    </row>
    <row r="1011" spans="4:34" x14ac:dyDescent="0.2">
      <c r="D1011" s="53"/>
      <c r="E1011" s="70"/>
      <c r="F1011" s="70"/>
      <c r="G1011" s="70"/>
      <c r="H1011" s="70"/>
      <c r="I1011" s="70"/>
      <c r="J1011" s="70"/>
      <c r="K1011" s="70"/>
      <c r="L1011" s="70"/>
      <c r="M1011" s="70"/>
      <c r="N1011" s="70"/>
      <c r="O1011" s="70"/>
      <c r="P1011" s="70"/>
      <c r="Q1011" s="70"/>
      <c r="R1011" s="70"/>
      <c r="S1011" s="70"/>
      <c r="T1011" s="70"/>
      <c r="U1011" s="64"/>
      <c r="V1011" s="64"/>
      <c r="W1011" s="70"/>
      <c r="X1011" s="64"/>
      <c r="Y1011" s="70"/>
      <c r="Z1011" s="70"/>
      <c r="AA1011" s="71"/>
      <c r="AB1011" s="70"/>
      <c r="AC1011" s="70"/>
      <c r="AD1011" s="64"/>
      <c r="AE1011" s="70"/>
      <c r="AF1011" s="70"/>
      <c r="AG1011" s="70"/>
      <c r="AH1011" s="70"/>
    </row>
    <row r="1012" spans="4:34" x14ac:dyDescent="0.2">
      <c r="D1012" s="53"/>
      <c r="E1012" s="70"/>
      <c r="F1012" s="70"/>
      <c r="G1012" s="70"/>
      <c r="H1012" s="70"/>
      <c r="I1012" s="70"/>
      <c r="J1012" s="70"/>
      <c r="K1012" s="70"/>
      <c r="L1012" s="70"/>
      <c r="M1012" s="70"/>
      <c r="N1012" s="70"/>
      <c r="O1012" s="70"/>
      <c r="P1012" s="70"/>
      <c r="Q1012" s="70"/>
      <c r="R1012" s="70"/>
      <c r="S1012" s="70"/>
      <c r="T1012" s="70"/>
      <c r="U1012" s="64"/>
      <c r="V1012" s="64"/>
      <c r="W1012" s="70"/>
      <c r="X1012" s="64"/>
      <c r="Y1012" s="70"/>
      <c r="Z1012" s="70"/>
      <c r="AA1012" s="71"/>
      <c r="AB1012" s="70"/>
      <c r="AC1012" s="70"/>
      <c r="AD1012" s="64"/>
      <c r="AE1012" s="70"/>
      <c r="AF1012" s="70"/>
      <c r="AG1012" s="70"/>
      <c r="AH1012" s="70"/>
    </row>
    <row r="1013" spans="4:34" x14ac:dyDescent="0.2">
      <c r="D1013" s="53"/>
      <c r="E1013" s="70"/>
      <c r="F1013" s="70"/>
      <c r="G1013" s="70"/>
      <c r="H1013" s="70"/>
      <c r="I1013" s="70"/>
      <c r="J1013" s="70"/>
      <c r="K1013" s="70"/>
      <c r="L1013" s="70"/>
      <c r="M1013" s="70"/>
      <c r="N1013" s="70"/>
      <c r="O1013" s="70"/>
      <c r="P1013" s="70"/>
      <c r="Q1013" s="70"/>
      <c r="R1013" s="70"/>
      <c r="S1013" s="70"/>
      <c r="T1013" s="70"/>
      <c r="U1013" s="64"/>
      <c r="V1013" s="64"/>
      <c r="W1013" s="70"/>
      <c r="X1013" s="64"/>
      <c r="Y1013" s="70"/>
      <c r="Z1013" s="70"/>
      <c r="AA1013" s="71"/>
      <c r="AB1013" s="70"/>
      <c r="AC1013" s="70"/>
      <c r="AD1013" s="64"/>
      <c r="AE1013" s="70"/>
      <c r="AF1013" s="70"/>
      <c r="AG1013" s="70"/>
      <c r="AH1013" s="70"/>
    </row>
    <row r="1014" spans="4:34" x14ac:dyDescent="0.2">
      <c r="D1014" s="53"/>
      <c r="E1014" s="70"/>
      <c r="F1014" s="70"/>
      <c r="G1014" s="70"/>
      <c r="H1014" s="70"/>
      <c r="I1014" s="70"/>
      <c r="J1014" s="70"/>
      <c r="K1014" s="70"/>
      <c r="L1014" s="70"/>
      <c r="M1014" s="70"/>
      <c r="N1014" s="70"/>
      <c r="O1014" s="70"/>
      <c r="P1014" s="70"/>
      <c r="Q1014" s="70"/>
      <c r="R1014" s="70"/>
      <c r="S1014" s="70"/>
      <c r="T1014" s="70"/>
      <c r="U1014" s="64"/>
      <c r="V1014" s="64"/>
      <c r="W1014" s="70"/>
      <c r="X1014" s="64"/>
      <c r="Y1014" s="70"/>
      <c r="Z1014" s="70"/>
      <c r="AA1014" s="71"/>
      <c r="AB1014" s="70"/>
      <c r="AC1014" s="70"/>
      <c r="AD1014" s="64"/>
      <c r="AE1014" s="70"/>
      <c r="AF1014" s="70"/>
      <c r="AG1014" s="70"/>
      <c r="AH1014" s="70"/>
    </row>
    <row r="1015" spans="4:34" x14ac:dyDescent="0.2">
      <c r="D1015" s="53"/>
      <c r="E1015" s="70"/>
      <c r="F1015" s="70"/>
      <c r="G1015" s="70"/>
      <c r="H1015" s="70"/>
      <c r="I1015" s="70"/>
      <c r="J1015" s="70"/>
      <c r="K1015" s="70"/>
      <c r="L1015" s="70"/>
      <c r="M1015" s="70"/>
      <c r="N1015" s="70"/>
      <c r="O1015" s="70"/>
      <c r="P1015" s="70"/>
      <c r="Q1015" s="70"/>
      <c r="R1015" s="70"/>
      <c r="S1015" s="70"/>
      <c r="T1015" s="70"/>
      <c r="U1015" s="64"/>
      <c r="V1015" s="64"/>
      <c r="W1015" s="70"/>
      <c r="X1015" s="64"/>
      <c r="Y1015" s="70"/>
      <c r="Z1015" s="70"/>
      <c r="AA1015" s="71"/>
      <c r="AB1015" s="70"/>
      <c r="AC1015" s="70"/>
      <c r="AD1015" s="64"/>
      <c r="AE1015" s="70"/>
      <c r="AF1015" s="70"/>
      <c r="AG1015" s="70"/>
      <c r="AH1015" s="70"/>
    </row>
    <row r="1016" spans="4:34" x14ac:dyDescent="0.2">
      <c r="D1016" s="53"/>
      <c r="E1016" s="70"/>
      <c r="F1016" s="70"/>
      <c r="G1016" s="70"/>
      <c r="H1016" s="70"/>
      <c r="I1016" s="70"/>
      <c r="J1016" s="70"/>
      <c r="K1016" s="70"/>
      <c r="L1016" s="70"/>
      <c r="M1016" s="70"/>
      <c r="N1016" s="70"/>
      <c r="O1016" s="70"/>
      <c r="P1016" s="70"/>
      <c r="Q1016" s="70"/>
      <c r="R1016" s="70"/>
      <c r="S1016" s="70"/>
      <c r="T1016" s="70"/>
      <c r="U1016" s="64"/>
      <c r="V1016" s="64"/>
      <c r="W1016" s="70"/>
      <c r="X1016" s="64"/>
      <c r="Y1016" s="70"/>
      <c r="Z1016" s="70"/>
      <c r="AA1016" s="71"/>
      <c r="AB1016" s="70"/>
      <c r="AC1016" s="70"/>
      <c r="AD1016" s="64"/>
      <c r="AE1016" s="70"/>
      <c r="AF1016" s="70"/>
      <c r="AG1016" s="70"/>
      <c r="AH1016" s="70"/>
    </row>
    <row r="1017" spans="4:34" x14ac:dyDescent="0.2">
      <c r="D1017" s="53"/>
      <c r="E1017" s="70"/>
      <c r="F1017" s="70"/>
      <c r="G1017" s="70"/>
      <c r="H1017" s="70"/>
      <c r="I1017" s="70"/>
      <c r="J1017" s="70"/>
      <c r="K1017" s="70"/>
      <c r="L1017" s="70"/>
      <c r="M1017" s="70"/>
      <c r="N1017" s="70"/>
      <c r="O1017" s="70"/>
      <c r="P1017" s="70"/>
      <c r="Q1017" s="70"/>
      <c r="R1017" s="70"/>
      <c r="S1017" s="70"/>
      <c r="T1017" s="70"/>
      <c r="U1017" s="64"/>
      <c r="V1017" s="64"/>
      <c r="W1017" s="70"/>
      <c r="X1017" s="64"/>
      <c r="Y1017" s="70"/>
      <c r="Z1017" s="70"/>
      <c r="AA1017" s="71"/>
      <c r="AB1017" s="70"/>
      <c r="AC1017" s="70"/>
      <c r="AD1017" s="64"/>
      <c r="AE1017" s="70"/>
      <c r="AF1017" s="70"/>
      <c r="AG1017" s="70"/>
      <c r="AH1017" s="70"/>
    </row>
    <row r="1018" spans="4:34" x14ac:dyDescent="0.2">
      <c r="D1018" s="53"/>
      <c r="E1018" s="70"/>
      <c r="F1018" s="70"/>
      <c r="G1018" s="70"/>
      <c r="H1018" s="70"/>
      <c r="I1018" s="70"/>
      <c r="J1018" s="70"/>
      <c r="K1018" s="70"/>
      <c r="L1018" s="70"/>
      <c r="M1018" s="70"/>
      <c r="N1018" s="70"/>
      <c r="O1018" s="70"/>
      <c r="P1018" s="70"/>
      <c r="Q1018" s="70"/>
      <c r="R1018" s="70"/>
      <c r="S1018" s="70"/>
      <c r="T1018" s="70"/>
      <c r="U1018" s="64"/>
      <c r="V1018" s="64"/>
      <c r="W1018" s="70"/>
      <c r="X1018" s="64"/>
      <c r="Y1018" s="70"/>
      <c r="Z1018" s="70"/>
      <c r="AA1018" s="71"/>
      <c r="AB1018" s="70"/>
      <c r="AC1018" s="70"/>
      <c r="AD1018" s="64"/>
      <c r="AE1018" s="70"/>
      <c r="AF1018" s="70"/>
      <c r="AG1018" s="70"/>
      <c r="AH1018" s="70"/>
    </row>
    <row r="1019" spans="4:34" x14ac:dyDescent="0.2">
      <c r="D1019" s="53"/>
      <c r="E1019" s="70"/>
      <c r="F1019" s="70"/>
      <c r="G1019" s="70"/>
      <c r="H1019" s="70"/>
      <c r="I1019" s="70"/>
      <c r="J1019" s="70"/>
      <c r="K1019" s="70"/>
      <c r="L1019" s="70"/>
      <c r="M1019" s="70"/>
      <c r="N1019" s="70"/>
      <c r="O1019" s="70"/>
      <c r="P1019" s="70"/>
      <c r="Q1019" s="70"/>
      <c r="R1019" s="70"/>
      <c r="S1019" s="70"/>
      <c r="T1019" s="70"/>
      <c r="U1019" s="64"/>
      <c r="V1019" s="64"/>
      <c r="W1019" s="70"/>
      <c r="X1019" s="64"/>
      <c r="Y1019" s="70"/>
      <c r="Z1019" s="70"/>
      <c r="AA1019" s="71"/>
      <c r="AB1019" s="70"/>
      <c r="AC1019" s="70"/>
      <c r="AD1019" s="64"/>
      <c r="AE1019" s="70"/>
      <c r="AF1019" s="70"/>
      <c r="AG1019" s="70"/>
      <c r="AH1019" s="70"/>
    </row>
    <row r="1020" spans="4:34" x14ac:dyDescent="0.2">
      <c r="D1020" s="53"/>
      <c r="E1020" s="70"/>
      <c r="F1020" s="70"/>
      <c r="G1020" s="70"/>
      <c r="H1020" s="70"/>
      <c r="I1020" s="70"/>
      <c r="J1020" s="70"/>
      <c r="K1020" s="70"/>
      <c r="L1020" s="70"/>
      <c r="M1020" s="70"/>
      <c r="N1020" s="70"/>
      <c r="O1020" s="70"/>
      <c r="P1020" s="70"/>
      <c r="Q1020" s="70"/>
      <c r="R1020" s="70"/>
      <c r="S1020" s="70"/>
      <c r="T1020" s="70"/>
      <c r="U1020" s="64"/>
      <c r="V1020" s="64"/>
      <c r="W1020" s="70"/>
      <c r="X1020" s="64"/>
      <c r="Y1020" s="70"/>
      <c r="Z1020" s="70"/>
      <c r="AA1020" s="71"/>
      <c r="AB1020" s="70"/>
      <c r="AC1020" s="70"/>
      <c r="AD1020" s="64"/>
      <c r="AE1020" s="70"/>
      <c r="AF1020" s="70"/>
      <c r="AG1020" s="70"/>
      <c r="AH1020" s="70"/>
    </row>
    <row r="1021" spans="4:34" x14ac:dyDescent="0.2">
      <c r="D1021" s="53"/>
      <c r="E1021" s="70"/>
      <c r="F1021" s="70"/>
      <c r="G1021" s="70"/>
      <c r="H1021" s="70"/>
      <c r="I1021" s="70"/>
      <c r="J1021" s="70"/>
      <c r="K1021" s="70"/>
      <c r="L1021" s="70"/>
      <c r="M1021" s="70"/>
      <c r="N1021" s="70"/>
      <c r="O1021" s="70"/>
      <c r="P1021" s="70"/>
      <c r="Q1021" s="70"/>
      <c r="R1021" s="70"/>
      <c r="S1021" s="70"/>
      <c r="T1021" s="70"/>
      <c r="U1021" s="64"/>
      <c r="V1021" s="64"/>
      <c r="W1021" s="70"/>
      <c r="X1021" s="64"/>
      <c r="Y1021" s="70"/>
      <c r="Z1021" s="70"/>
      <c r="AA1021" s="71"/>
      <c r="AB1021" s="70"/>
      <c r="AC1021" s="70"/>
      <c r="AD1021" s="64"/>
      <c r="AE1021" s="70"/>
      <c r="AF1021" s="70"/>
      <c r="AG1021" s="70"/>
      <c r="AH1021" s="70"/>
    </row>
    <row r="1022" spans="4:34" x14ac:dyDescent="0.2">
      <c r="D1022" s="53"/>
      <c r="E1022" s="70"/>
      <c r="F1022" s="70"/>
      <c r="G1022" s="70"/>
      <c r="H1022" s="70"/>
      <c r="I1022" s="70"/>
      <c r="J1022" s="70"/>
      <c r="K1022" s="70"/>
      <c r="L1022" s="70"/>
      <c r="M1022" s="70"/>
      <c r="N1022" s="70"/>
      <c r="O1022" s="70"/>
      <c r="P1022" s="70"/>
      <c r="Q1022" s="70"/>
      <c r="R1022" s="70"/>
      <c r="S1022" s="70"/>
      <c r="T1022" s="70"/>
      <c r="U1022" s="64"/>
      <c r="V1022" s="64"/>
      <c r="W1022" s="70"/>
      <c r="X1022" s="64"/>
      <c r="Y1022" s="70"/>
      <c r="Z1022" s="70"/>
      <c r="AA1022" s="71"/>
      <c r="AB1022" s="70"/>
      <c r="AC1022" s="70"/>
      <c r="AD1022" s="64"/>
      <c r="AE1022" s="70"/>
      <c r="AF1022" s="70"/>
      <c r="AG1022" s="70"/>
      <c r="AH1022" s="70"/>
    </row>
    <row r="1023" spans="4:34" x14ac:dyDescent="0.2">
      <c r="D1023" s="53"/>
      <c r="E1023" s="70"/>
      <c r="F1023" s="70"/>
      <c r="G1023" s="70"/>
      <c r="H1023" s="70"/>
      <c r="I1023" s="70"/>
      <c r="J1023" s="70"/>
      <c r="K1023" s="70"/>
      <c r="L1023" s="70"/>
      <c r="M1023" s="70"/>
      <c r="N1023" s="70"/>
      <c r="O1023" s="70"/>
      <c r="P1023" s="70"/>
      <c r="Q1023" s="70"/>
      <c r="R1023" s="70"/>
      <c r="S1023" s="70"/>
      <c r="T1023" s="70"/>
      <c r="U1023" s="64"/>
      <c r="V1023" s="64"/>
      <c r="W1023" s="70"/>
      <c r="X1023" s="64"/>
      <c r="Y1023" s="70"/>
      <c r="Z1023" s="70"/>
      <c r="AA1023" s="71"/>
      <c r="AB1023" s="70"/>
      <c r="AC1023" s="70"/>
      <c r="AD1023" s="64"/>
      <c r="AE1023" s="70"/>
      <c r="AF1023" s="70"/>
      <c r="AG1023" s="70"/>
      <c r="AH1023" s="70"/>
    </row>
    <row r="1024" spans="4:34" x14ac:dyDescent="0.2">
      <c r="D1024" s="53"/>
      <c r="E1024" s="70"/>
      <c r="F1024" s="70"/>
      <c r="G1024" s="70"/>
      <c r="H1024" s="70"/>
      <c r="I1024" s="70"/>
      <c r="J1024" s="70"/>
      <c r="K1024" s="70"/>
      <c r="L1024" s="70"/>
      <c r="M1024" s="70"/>
      <c r="N1024" s="70"/>
      <c r="O1024" s="70"/>
      <c r="P1024" s="70"/>
      <c r="Q1024" s="70"/>
      <c r="R1024" s="70"/>
      <c r="S1024" s="70"/>
      <c r="T1024" s="70"/>
      <c r="U1024" s="64"/>
      <c r="V1024" s="64"/>
      <c r="W1024" s="70"/>
      <c r="X1024" s="64"/>
      <c r="Y1024" s="70"/>
      <c r="Z1024" s="70"/>
      <c r="AA1024" s="71"/>
      <c r="AB1024" s="70"/>
      <c r="AC1024" s="70"/>
      <c r="AD1024" s="64"/>
      <c r="AE1024" s="70"/>
      <c r="AF1024" s="70"/>
      <c r="AG1024" s="70"/>
      <c r="AH1024" s="70"/>
    </row>
    <row r="1025" spans="4:34" x14ac:dyDescent="0.2">
      <c r="D1025" s="53"/>
      <c r="E1025" s="70"/>
      <c r="F1025" s="70"/>
      <c r="G1025" s="70"/>
      <c r="H1025" s="70"/>
      <c r="I1025" s="70"/>
      <c r="J1025" s="70"/>
      <c r="K1025" s="70"/>
      <c r="L1025" s="70"/>
      <c r="M1025" s="70"/>
      <c r="N1025" s="70"/>
      <c r="O1025" s="70"/>
      <c r="P1025" s="70"/>
      <c r="Q1025" s="70"/>
      <c r="R1025" s="70"/>
      <c r="S1025" s="70"/>
      <c r="T1025" s="70"/>
      <c r="U1025" s="64"/>
      <c r="V1025" s="64"/>
      <c r="W1025" s="70"/>
      <c r="X1025" s="64"/>
      <c r="Y1025" s="70"/>
      <c r="Z1025" s="70"/>
      <c r="AA1025" s="71"/>
      <c r="AB1025" s="70"/>
      <c r="AC1025" s="70"/>
      <c r="AD1025" s="64"/>
      <c r="AE1025" s="70"/>
      <c r="AF1025" s="70"/>
      <c r="AG1025" s="70"/>
      <c r="AH1025" s="70"/>
    </row>
    <row r="1026" spans="4:34" x14ac:dyDescent="0.2">
      <c r="D1026" s="53"/>
      <c r="E1026" s="70"/>
      <c r="F1026" s="70"/>
      <c r="G1026" s="70"/>
      <c r="H1026" s="70"/>
      <c r="I1026" s="70"/>
      <c r="J1026" s="70"/>
      <c r="K1026" s="70"/>
      <c r="L1026" s="70"/>
      <c r="M1026" s="70"/>
      <c r="N1026" s="70"/>
      <c r="O1026" s="70"/>
      <c r="P1026" s="70"/>
      <c r="Q1026" s="70"/>
      <c r="R1026" s="70"/>
      <c r="S1026" s="70"/>
      <c r="T1026" s="70"/>
      <c r="U1026" s="64"/>
      <c r="V1026" s="64"/>
      <c r="W1026" s="70"/>
      <c r="X1026" s="64"/>
      <c r="Y1026" s="70"/>
      <c r="Z1026" s="70"/>
      <c r="AA1026" s="71"/>
      <c r="AB1026" s="70"/>
      <c r="AC1026" s="70"/>
      <c r="AD1026" s="64"/>
      <c r="AE1026" s="70"/>
      <c r="AF1026" s="70"/>
      <c r="AG1026" s="70"/>
      <c r="AH1026" s="70"/>
    </row>
    <row r="1027" spans="4:34" x14ac:dyDescent="0.2">
      <c r="D1027" s="53"/>
      <c r="E1027" s="70"/>
      <c r="F1027" s="70"/>
      <c r="G1027" s="70"/>
      <c r="H1027" s="70"/>
      <c r="I1027" s="70"/>
      <c r="J1027" s="70"/>
      <c r="K1027" s="70"/>
      <c r="L1027" s="70"/>
      <c r="M1027" s="70"/>
      <c r="N1027" s="70"/>
      <c r="O1027" s="70"/>
      <c r="P1027" s="70"/>
      <c r="Q1027" s="70"/>
      <c r="R1027" s="70"/>
      <c r="S1027" s="70"/>
      <c r="T1027" s="70"/>
      <c r="U1027" s="64"/>
      <c r="V1027" s="64"/>
      <c r="W1027" s="70"/>
      <c r="X1027" s="64"/>
      <c r="Y1027" s="70"/>
      <c r="Z1027" s="70"/>
      <c r="AA1027" s="71"/>
      <c r="AB1027" s="70"/>
      <c r="AC1027" s="70"/>
      <c r="AD1027" s="64"/>
      <c r="AE1027" s="70"/>
      <c r="AF1027" s="70"/>
      <c r="AG1027" s="70"/>
      <c r="AH1027" s="70"/>
    </row>
    <row r="1028" spans="4:34" x14ac:dyDescent="0.2">
      <c r="D1028" s="53"/>
      <c r="E1028" s="70"/>
      <c r="F1028" s="70"/>
      <c r="G1028" s="70"/>
      <c r="H1028" s="70"/>
      <c r="I1028" s="70"/>
      <c r="J1028" s="70"/>
      <c r="K1028" s="70"/>
      <c r="L1028" s="70"/>
      <c r="M1028" s="70"/>
      <c r="N1028" s="70"/>
      <c r="O1028" s="70"/>
      <c r="P1028" s="70"/>
      <c r="Q1028" s="70"/>
      <c r="R1028" s="70"/>
      <c r="S1028" s="70"/>
      <c r="T1028" s="70"/>
      <c r="U1028" s="64"/>
      <c r="V1028" s="64"/>
      <c r="W1028" s="70"/>
      <c r="X1028" s="64"/>
      <c r="Y1028" s="70"/>
      <c r="Z1028" s="70"/>
      <c r="AA1028" s="71"/>
      <c r="AB1028" s="70"/>
      <c r="AC1028" s="70"/>
      <c r="AD1028" s="64"/>
      <c r="AE1028" s="70"/>
      <c r="AF1028" s="70"/>
      <c r="AG1028" s="70"/>
      <c r="AH1028" s="70"/>
    </row>
    <row r="1029" spans="4:34" x14ac:dyDescent="0.2">
      <c r="D1029" s="53"/>
      <c r="E1029" s="70"/>
      <c r="F1029" s="70"/>
      <c r="G1029" s="70"/>
      <c r="H1029" s="70"/>
      <c r="I1029" s="70"/>
      <c r="J1029" s="70"/>
      <c r="K1029" s="70"/>
      <c r="L1029" s="70"/>
      <c r="M1029" s="70"/>
      <c r="N1029" s="70"/>
      <c r="O1029" s="70"/>
      <c r="P1029" s="70"/>
      <c r="Q1029" s="70"/>
      <c r="R1029" s="70"/>
      <c r="S1029" s="70"/>
      <c r="T1029" s="70"/>
      <c r="U1029" s="64"/>
      <c r="V1029" s="64"/>
      <c r="W1029" s="70"/>
      <c r="X1029" s="64"/>
      <c r="Y1029" s="70"/>
      <c r="Z1029" s="70"/>
      <c r="AA1029" s="71"/>
      <c r="AB1029" s="70"/>
      <c r="AC1029" s="70"/>
      <c r="AD1029" s="64"/>
      <c r="AE1029" s="70"/>
      <c r="AF1029" s="70"/>
      <c r="AG1029" s="70"/>
      <c r="AH1029" s="70"/>
    </row>
    <row r="1030" spans="4:34" x14ac:dyDescent="0.2">
      <c r="D1030" s="53"/>
      <c r="E1030" s="70"/>
      <c r="F1030" s="70"/>
      <c r="G1030" s="70"/>
      <c r="H1030" s="70"/>
      <c r="I1030" s="70"/>
      <c r="J1030" s="70"/>
      <c r="K1030" s="70"/>
      <c r="L1030" s="70"/>
      <c r="M1030" s="70"/>
      <c r="N1030" s="70"/>
      <c r="O1030" s="70"/>
      <c r="P1030" s="70"/>
      <c r="Q1030" s="70"/>
      <c r="R1030" s="70"/>
      <c r="S1030" s="70"/>
      <c r="T1030" s="70"/>
      <c r="U1030" s="64"/>
      <c r="V1030" s="64"/>
      <c r="W1030" s="70"/>
      <c r="X1030" s="64"/>
      <c r="Y1030" s="70"/>
      <c r="Z1030" s="70"/>
      <c r="AA1030" s="71"/>
      <c r="AB1030" s="70"/>
      <c r="AC1030" s="70"/>
      <c r="AD1030" s="64"/>
      <c r="AE1030" s="70"/>
      <c r="AF1030" s="70"/>
      <c r="AG1030" s="70"/>
      <c r="AH1030" s="70"/>
    </row>
    <row r="1031" spans="4:34" x14ac:dyDescent="0.2">
      <c r="D1031" s="53"/>
      <c r="E1031" s="70"/>
      <c r="F1031" s="70"/>
      <c r="G1031" s="70"/>
      <c r="H1031" s="70"/>
      <c r="I1031" s="70"/>
      <c r="J1031" s="70"/>
      <c r="K1031" s="70"/>
      <c r="L1031" s="70"/>
      <c r="M1031" s="70"/>
      <c r="N1031" s="70"/>
      <c r="O1031" s="70"/>
      <c r="P1031" s="70"/>
      <c r="Q1031" s="70"/>
      <c r="R1031" s="70"/>
      <c r="S1031" s="70"/>
      <c r="T1031" s="70"/>
      <c r="U1031" s="64"/>
      <c r="V1031" s="64"/>
      <c r="W1031" s="70"/>
      <c r="X1031" s="64"/>
      <c r="Y1031" s="70"/>
      <c r="Z1031" s="70"/>
      <c r="AA1031" s="71"/>
      <c r="AB1031" s="70"/>
      <c r="AC1031" s="70"/>
      <c r="AD1031" s="64"/>
      <c r="AE1031" s="70"/>
      <c r="AF1031" s="70"/>
      <c r="AG1031" s="70"/>
      <c r="AH1031" s="70"/>
    </row>
    <row r="1032" spans="4:34" x14ac:dyDescent="0.2">
      <c r="D1032" s="53"/>
      <c r="E1032" s="70"/>
      <c r="F1032" s="70"/>
      <c r="G1032" s="70"/>
      <c r="H1032" s="70"/>
      <c r="I1032" s="70"/>
      <c r="J1032" s="70"/>
      <c r="K1032" s="70"/>
      <c r="L1032" s="70"/>
      <c r="M1032" s="70"/>
      <c r="N1032" s="70"/>
      <c r="O1032" s="70"/>
      <c r="P1032" s="70"/>
      <c r="Q1032" s="70"/>
      <c r="R1032" s="70"/>
      <c r="S1032" s="70"/>
      <c r="T1032" s="70"/>
      <c r="U1032" s="64"/>
      <c r="V1032" s="64"/>
      <c r="W1032" s="70"/>
      <c r="X1032" s="64"/>
      <c r="Y1032" s="70"/>
      <c r="Z1032" s="70"/>
      <c r="AA1032" s="71"/>
      <c r="AB1032" s="70"/>
      <c r="AC1032" s="70"/>
      <c r="AD1032" s="64"/>
      <c r="AE1032" s="70"/>
      <c r="AF1032" s="70"/>
      <c r="AG1032" s="70"/>
      <c r="AH1032" s="70"/>
    </row>
    <row r="1033" spans="4:34" x14ac:dyDescent="0.2">
      <c r="D1033" s="53"/>
      <c r="E1033" s="70"/>
      <c r="F1033" s="70"/>
      <c r="G1033" s="70"/>
      <c r="H1033" s="70"/>
      <c r="I1033" s="70"/>
      <c r="J1033" s="70"/>
      <c r="K1033" s="70"/>
      <c r="L1033" s="70"/>
      <c r="M1033" s="70"/>
      <c r="N1033" s="70"/>
      <c r="O1033" s="70"/>
      <c r="P1033" s="70"/>
      <c r="Q1033" s="70"/>
      <c r="R1033" s="70"/>
      <c r="S1033" s="70"/>
      <c r="T1033" s="70"/>
      <c r="U1033" s="64"/>
      <c r="V1033" s="64"/>
      <c r="W1033" s="70"/>
      <c r="X1033" s="64"/>
      <c r="Y1033" s="70"/>
      <c r="Z1033" s="70"/>
      <c r="AA1033" s="71"/>
      <c r="AB1033" s="70"/>
      <c r="AC1033" s="70"/>
      <c r="AD1033" s="64"/>
      <c r="AE1033" s="70"/>
      <c r="AF1033" s="70"/>
      <c r="AG1033" s="70"/>
      <c r="AH1033" s="70"/>
    </row>
    <row r="1034" spans="4:34" x14ac:dyDescent="0.2">
      <c r="D1034" s="53"/>
      <c r="E1034" s="70"/>
      <c r="F1034" s="70"/>
      <c r="G1034" s="70"/>
      <c r="H1034" s="70"/>
      <c r="I1034" s="70"/>
      <c r="J1034" s="70"/>
      <c r="K1034" s="70"/>
      <c r="L1034" s="70"/>
      <c r="M1034" s="70"/>
      <c r="N1034" s="70"/>
      <c r="O1034" s="70"/>
      <c r="P1034" s="70"/>
      <c r="Q1034" s="70"/>
      <c r="R1034" s="70"/>
      <c r="S1034" s="70"/>
      <c r="T1034" s="70"/>
      <c r="U1034" s="64"/>
      <c r="V1034" s="64"/>
      <c r="W1034" s="70"/>
      <c r="X1034" s="64"/>
      <c r="Y1034" s="70"/>
      <c r="Z1034" s="70"/>
      <c r="AA1034" s="71"/>
      <c r="AB1034" s="70"/>
      <c r="AC1034" s="70"/>
      <c r="AD1034" s="64"/>
      <c r="AE1034" s="70"/>
      <c r="AF1034" s="70"/>
      <c r="AG1034" s="70"/>
      <c r="AH1034" s="70"/>
    </row>
    <row r="1035" spans="4:34" x14ac:dyDescent="0.2">
      <c r="D1035" s="53"/>
      <c r="E1035" s="70"/>
      <c r="F1035" s="70"/>
      <c r="G1035" s="70"/>
      <c r="H1035" s="70"/>
      <c r="I1035" s="70"/>
      <c r="J1035" s="70"/>
      <c r="K1035" s="70"/>
      <c r="L1035" s="70"/>
      <c r="M1035" s="70"/>
      <c r="N1035" s="70"/>
      <c r="O1035" s="70"/>
      <c r="P1035" s="70"/>
      <c r="Q1035" s="70"/>
      <c r="R1035" s="70"/>
      <c r="S1035" s="70"/>
      <c r="T1035" s="70"/>
      <c r="U1035" s="64"/>
      <c r="V1035" s="64"/>
      <c r="W1035" s="70"/>
      <c r="X1035" s="64"/>
      <c r="Y1035" s="70"/>
      <c r="Z1035" s="70"/>
      <c r="AA1035" s="71"/>
      <c r="AB1035" s="70"/>
      <c r="AC1035" s="70"/>
      <c r="AD1035" s="64"/>
      <c r="AE1035" s="70"/>
      <c r="AF1035" s="70"/>
      <c r="AG1035" s="70"/>
      <c r="AH1035" s="70"/>
    </row>
    <row r="1036" spans="4:34" x14ac:dyDescent="0.2">
      <c r="D1036" s="53"/>
      <c r="E1036" s="70"/>
      <c r="F1036" s="70"/>
      <c r="G1036" s="70"/>
      <c r="H1036" s="70"/>
      <c r="I1036" s="70"/>
      <c r="J1036" s="70"/>
      <c r="K1036" s="70"/>
      <c r="L1036" s="70"/>
      <c r="M1036" s="70"/>
      <c r="N1036" s="70"/>
      <c r="O1036" s="70"/>
      <c r="P1036" s="70"/>
      <c r="Q1036" s="70"/>
      <c r="R1036" s="70"/>
      <c r="S1036" s="70"/>
      <c r="T1036" s="70"/>
      <c r="U1036" s="64"/>
      <c r="V1036" s="64"/>
      <c r="W1036" s="70"/>
      <c r="X1036" s="64"/>
      <c r="Y1036" s="70"/>
      <c r="Z1036" s="70"/>
      <c r="AA1036" s="71"/>
      <c r="AB1036" s="70"/>
      <c r="AC1036" s="70"/>
      <c r="AD1036" s="64"/>
      <c r="AE1036" s="70"/>
      <c r="AF1036" s="70"/>
      <c r="AG1036" s="70"/>
      <c r="AH1036" s="70"/>
    </row>
    <row r="1037" spans="4:34" x14ac:dyDescent="0.2">
      <c r="D1037" s="53"/>
      <c r="E1037" s="70"/>
      <c r="F1037" s="70"/>
      <c r="G1037" s="70"/>
      <c r="H1037" s="70"/>
      <c r="I1037" s="70"/>
      <c r="J1037" s="70"/>
      <c r="K1037" s="70"/>
      <c r="L1037" s="70"/>
      <c r="M1037" s="70"/>
      <c r="N1037" s="70"/>
      <c r="O1037" s="70"/>
      <c r="P1037" s="70"/>
      <c r="Q1037" s="70"/>
      <c r="R1037" s="70"/>
      <c r="S1037" s="70"/>
      <c r="T1037" s="70"/>
      <c r="U1037" s="64"/>
      <c r="V1037" s="64"/>
      <c r="W1037" s="70"/>
      <c r="X1037" s="64"/>
      <c r="Y1037" s="70"/>
      <c r="Z1037" s="70"/>
      <c r="AA1037" s="71"/>
      <c r="AB1037" s="70"/>
      <c r="AC1037" s="70"/>
      <c r="AD1037" s="64"/>
      <c r="AE1037" s="70"/>
      <c r="AF1037" s="70"/>
      <c r="AG1037" s="70"/>
      <c r="AH1037" s="70"/>
    </row>
    <row r="1038" spans="4:34" x14ac:dyDescent="0.2">
      <c r="D1038" s="53"/>
      <c r="E1038" s="70"/>
      <c r="F1038" s="70"/>
      <c r="G1038" s="70"/>
      <c r="H1038" s="70"/>
      <c r="I1038" s="70"/>
      <c r="J1038" s="70"/>
      <c r="K1038" s="70"/>
      <c r="L1038" s="70"/>
      <c r="M1038" s="70"/>
      <c r="N1038" s="70"/>
      <c r="O1038" s="70"/>
      <c r="P1038" s="70"/>
      <c r="Q1038" s="70"/>
      <c r="R1038" s="70"/>
      <c r="S1038" s="70"/>
      <c r="T1038" s="70"/>
      <c r="U1038" s="64"/>
      <c r="V1038" s="64"/>
      <c r="W1038" s="70"/>
      <c r="X1038" s="64"/>
      <c r="Y1038" s="70"/>
      <c r="Z1038" s="70"/>
      <c r="AA1038" s="71"/>
      <c r="AB1038" s="70"/>
      <c r="AC1038" s="70"/>
      <c r="AD1038" s="64"/>
      <c r="AE1038" s="70"/>
      <c r="AF1038" s="70"/>
      <c r="AG1038" s="70"/>
      <c r="AH1038" s="70"/>
    </row>
    <row r="1039" spans="4:34" x14ac:dyDescent="0.2">
      <c r="D1039" s="53"/>
      <c r="E1039" s="70"/>
      <c r="F1039" s="70"/>
      <c r="G1039" s="70"/>
      <c r="H1039" s="70"/>
      <c r="I1039" s="70"/>
      <c r="J1039" s="70"/>
      <c r="K1039" s="70"/>
      <c r="L1039" s="70"/>
      <c r="M1039" s="70"/>
      <c r="N1039" s="70"/>
      <c r="O1039" s="70"/>
      <c r="P1039" s="70"/>
      <c r="Q1039" s="70"/>
      <c r="R1039" s="70"/>
      <c r="S1039" s="70"/>
      <c r="T1039" s="70"/>
      <c r="U1039" s="64"/>
      <c r="V1039" s="64"/>
      <c r="W1039" s="70"/>
      <c r="X1039" s="64"/>
      <c r="Y1039" s="70"/>
      <c r="Z1039" s="70"/>
      <c r="AA1039" s="71"/>
      <c r="AB1039" s="70"/>
      <c r="AC1039" s="70"/>
      <c r="AD1039" s="64"/>
      <c r="AE1039" s="70"/>
      <c r="AF1039" s="70"/>
      <c r="AG1039" s="70"/>
      <c r="AH1039" s="70"/>
    </row>
    <row r="1040" spans="4:34" x14ac:dyDescent="0.2">
      <c r="D1040" s="53"/>
      <c r="E1040" s="70"/>
      <c r="F1040" s="70"/>
      <c r="G1040" s="70"/>
      <c r="H1040" s="70"/>
      <c r="I1040" s="70"/>
      <c r="J1040" s="70"/>
      <c r="K1040" s="70"/>
      <c r="L1040" s="70"/>
      <c r="M1040" s="70"/>
      <c r="N1040" s="70"/>
      <c r="O1040" s="70"/>
      <c r="P1040" s="70"/>
      <c r="Q1040" s="70"/>
      <c r="R1040" s="70"/>
      <c r="S1040" s="70"/>
      <c r="T1040" s="70"/>
      <c r="U1040" s="64"/>
      <c r="V1040" s="64"/>
      <c r="W1040" s="70"/>
      <c r="X1040" s="64"/>
      <c r="Y1040" s="70"/>
      <c r="Z1040" s="70"/>
      <c r="AA1040" s="71"/>
      <c r="AB1040" s="70"/>
      <c r="AC1040" s="70"/>
      <c r="AD1040" s="64"/>
      <c r="AE1040" s="70"/>
      <c r="AF1040" s="70"/>
      <c r="AG1040" s="70"/>
      <c r="AH1040" s="70"/>
    </row>
    <row r="1041" spans="4:34" x14ac:dyDescent="0.2">
      <c r="D1041" s="53"/>
      <c r="E1041" s="70"/>
      <c r="F1041" s="70"/>
      <c r="G1041" s="70"/>
      <c r="H1041" s="70"/>
      <c r="I1041" s="70"/>
      <c r="J1041" s="70"/>
      <c r="K1041" s="70"/>
      <c r="L1041" s="70"/>
      <c r="M1041" s="70"/>
      <c r="N1041" s="70"/>
      <c r="O1041" s="70"/>
      <c r="P1041" s="70"/>
      <c r="Q1041" s="70"/>
      <c r="R1041" s="70"/>
      <c r="S1041" s="70"/>
      <c r="T1041" s="70"/>
      <c r="U1041" s="64"/>
      <c r="V1041" s="64"/>
      <c r="W1041" s="70"/>
      <c r="X1041" s="64"/>
      <c r="Y1041" s="70"/>
      <c r="Z1041" s="70"/>
      <c r="AA1041" s="71"/>
      <c r="AB1041" s="70"/>
      <c r="AC1041" s="70"/>
      <c r="AD1041" s="64"/>
      <c r="AE1041" s="70"/>
      <c r="AF1041" s="70"/>
      <c r="AG1041" s="70"/>
      <c r="AH1041" s="70"/>
    </row>
    <row r="1042" spans="4:34" x14ac:dyDescent="0.2">
      <c r="D1042" s="53"/>
      <c r="E1042" s="70"/>
      <c r="F1042" s="70"/>
      <c r="G1042" s="70"/>
      <c r="H1042" s="70"/>
      <c r="I1042" s="70"/>
      <c r="J1042" s="70"/>
      <c r="K1042" s="70"/>
      <c r="L1042" s="70"/>
      <c r="M1042" s="70"/>
      <c r="N1042" s="70"/>
      <c r="O1042" s="70"/>
      <c r="P1042" s="70"/>
      <c r="Q1042" s="70"/>
      <c r="R1042" s="70"/>
      <c r="S1042" s="70"/>
      <c r="T1042" s="70"/>
      <c r="U1042" s="64"/>
      <c r="V1042" s="64"/>
      <c r="W1042" s="70"/>
      <c r="X1042" s="64"/>
      <c r="Y1042" s="70"/>
      <c r="Z1042" s="70"/>
      <c r="AA1042" s="71"/>
      <c r="AB1042" s="70"/>
      <c r="AC1042" s="70"/>
      <c r="AD1042" s="64"/>
      <c r="AE1042" s="70"/>
      <c r="AF1042" s="70"/>
      <c r="AG1042" s="70"/>
      <c r="AH1042" s="70"/>
    </row>
    <row r="1043" spans="4:34" x14ac:dyDescent="0.2">
      <c r="D1043" s="53"/>
      <c r="E1043" s="70"/>
      <c r="F1043" s="70"/>
      <c r="G1043" s="70"/>
      <c r="H1043" s="70"/>
      <c r="I1043" s="70"/>
      <c r="J1043" s="70"/>
      <c r="K1043" s="70"/>
      <c r="L1043" s="70"/>
      <c r="M1043" s="70"/>
      <c r="N1043" s="70"/>
      <c r="O1043" s="70"/>
      <c r="P1043" s="70"/>
      <c r="Q1043" s="70"/>
      <c r="R1043" s="70"/>
      <c r="S1043" s="70"/>
      <c r="T1043" s="70"/>
      <c r="U1043" s="64"/>
      <c r="V1043" s="64"/>
      <c r="W1043" s="70"/>
      <c r="X1043" s="64"/>
      <c r="Y1043" s="70"/>
      <c r="Z1043" s="70"/>
      <c r="AA1043" s="71"/>
      <c r="AB1043" s="70"/>
      <c r="AC1043" s="70"/>
      <c r="AD1043" s="64"/>
      <c r="AE1043" s="70"/>
      <c r="AF1043" s="70"/>
      <c r="AG1043" s="70"/>
      <c r="AH1043" s="70"/>
    </row>
    <row r="1044" spans="4:34" x14ac:dyDescent="0.2">
      <c r="D1044" s="53"/>
      <c r="E1044" s="70"/>
      <c r="F1044" s="70"/>
      <c r="G1044" s="70"/>
      <c r="H1044" s="70"/>
      <c r="I1044" s="70"/>
      <c r="J1044" s="70"/>
      <c r="K1044" s="70"/>
      <c r="L1044" s="70"/>
      <c r="M1044" s="70"/>
      <c r="N1044" s="70"/>
      <c r="O1044" s="70"/>
      <c r="P1044" s="70"/>
      <c r="Q1044" s="70"/>
      <c r="R1044" s="70"/>
      <c r="S1044" s="70"/>
      <c r="T1044" s="70"/>
      <c r="U1044" s="64"/>
      <c r="V1044" s="64"/>
      <c r="W1044" s="70"/>
      <c r="X1044" s="64"/>
      <c r="Y1044" s="70"/>
      <c r="Z1044" s="70"/>
      <c r="AA1044" s="71"/>
      <c r="AB1044" s="70"/>
      <c r="AC1044" s="70"/>
      <c r="AD1044" s="64"/>
      <c r="AE1044" s="70"/>
      <c r="AF1044" s="70"/>
      <c r="AG1044" s="70"/>
      <c r="AH1044" s="70"/>
    </row>
    <row r="1045" spans="4:34" x14ac:dyDescent="0.2">
      <c r="D1045" s="53"/>
      <c r="E1045" s="70"/>
      <c r="F1045" s="70"/>
      <c r="G1045" s="70"/>
      <c r="H1045" s="70"/>
      <c r="I1045" s="70"/>
      <c r="J1045" s="70"/>
      <c r="K1045" s="70"/>
      <c r="L1045" s="70"/>
      <c r="M1045" s="70"/>
      <c r="N1045" s="70"/>
      <c r="O1045" s="70"/>
      <c r="P1045" s="70"/>
      <c r="Q1045" s="70"/>
      <c r="R1045" s="70"/>
      <c r="S1045" s="70"/>
      <c r="T1045" s="70"/>
      <c r="U1045" s="64"/>
      <c r="V1045" s="64"/>
      <c r="W1045" s="70"/>
      <c r="X1045" s="64"/>
      <c r="Y1045" s="70"/>
      <c r="Z1045" s="70"/>
      <c r="AA1045" s="71"/>
      <c r="AB1045" s="70"/>
      <c r="AC1045" s="70"/>
      <c r="AD1045" s="64"/>
      <c r="AE1045" s="70"/>
      <c r="AF1045" s="70"/>
      <c r="AG1045" s="70"/>
      <c r="AH1045" s="70"/>
    </row>
    <row r="1046" spans="4:34" x14ac:dyDescent="0.2">
      <c r="D1046" s="53"/>
      <c r="E1046" s="70"/>
      <c r="F1046" s="70"/>
      <c r="G1046" s="70"/>
      <c r="H1046" s="70"/>
      <c r="I1046" s="70"/>
      <c r="J1046" s="70"/>
      <c r="K1046" s="70"/>
      <c r="L1046" s="70"/>
      <c r="M1046" s="70"/>
      <c r="N1046" s="70"/>
      <c r="O1046" s="70"/>
      <c r="P1046" s="70"/>
      <c r="Q1046" s="70"/>
      <c r="R1046" s="70"/>
      <c r="S1046" s="70"/>
      <c r="T1046" s="70"/>
      <c r="U1046" s="64"/>
      <c r="V1046" s="64"/>
      <c r="W1046" s="70"/>
      <c r="X1046" s="64"/>
      <c r="Y1046" s="70"/>
      <c r="Z1046" s="70"/>
      <c r="AA1046" s="71"/>
      <c r="AB1046" s="70"/>
      <c r="AC1046" s="70"/>
      <c r="AD1046" s="64"/>
      <c r="AE1046" s="70"/>
      <c r="AF1046" s="70"/>
      <c r="AG1046" s="70"/>
      <c r="AH1046" s="70"/>
    </row>
    <row r="1047" spans="4:34" x14ac:dyDescent="0.2">
      <c r="D1047" s="53"/>
      <c r="E1047" s="70"/>
      <c r="F1047" s="70"/>
      <c r="G1047" s="70"/>
      <c r="H1047" s="70"/>
      <c r="I1047" s="70"/>
      <c r="J1047" s="70"/>
      <c r="K1047" s="70"/>
      <c r="L1047" s="70"/>
      <c r="M1047" s="70"/>
      <c r="N1047" s="70"/>
      <c r="O1047" s="70"/>
      <c r="P1047" s="70"/>
      <c r="Q1047" s="70"/>
      <c r="R1047" s="70"/>
      <c r="S1047" s="70"/>
      <c r="T1047" s="70"/>
      <c r="U1047" s="64"/>
      <c r="V1047" s="64"/>
      <c r="W1047" s="70"/>
      <c r="X1047" s="64"/>
      <c r="Y1047" s="70"/>
      <c r="Z1047" s="70"/>
      <c r="AA1047" s="71"/>
      <c r="AB1047" s="70"/>
      <c r="AC1047" s="70"/>
      <c r="AD1047" s="64"/>
      <c r="AE1047" s="70"/>
      <c r="AF1047" s="70"/>
      <c r="AG1047" s="70"/>
      <c r="AH1047" s="70"/>
    </row>
    <row r="1048" spans="4:34" x14ac:dyDescent="0.2">
      <c r="D1048" s="53"/>
      <c r="E1048" s="70"/>
      <c r="F1048" s="70"/>
      <c r="G1048" s="70"/>
      <c r="H1048" s="70"/>
      <c r="I1048" s="70"/>
      <c r="J1048" s="70"/>
      <c r="K1048" s="70"/>
      <c r="L1048" s="70"/>
      <c r="M1048" s="70"/>
      <c r="N1048" s="70"/>
      <c r="O1048" s="70"/>
      <c r="P1048" s="70"/>
      <c r="Q1048" s="70"/>
      <c r="R1048" s="70"/>
      <c r="S1048" s="70"/>
      <c r="T1048" s="70"/>
      <c r="U1048" s="64"/>
      <c r="V1048" s="64"/>
      <c r="W1048" s="70"/>
      <c r="X1048" s="64"/>
      <c r="Y1048" s="70"/>
      <c r="Z1048" s="70"/>
      <c r="AA1048" s="71"/>
      <c r="AB1048" s="70"/>
      <c r="AC1048" s="70"/>
      <c r="AD1048" s="64"/>
      <c r="AE1048" s="70"/>
      <c r="AF1048" s="70"/>
      <c r="AG1048" s="70"/>
      <c r="AH1048" s="70"/>
    </row>
    <row r="1049" spans="4:34" x14ac:dyDescent="0.2">
      <c r="D1049" s="53"/>
      <c r="E1049" s="70"/>
      <c r="F1049" s="70"/>
      <c r="G1049" s="70"/>
      <c r="H1049" s="70"/>
      <c r="I1049" s="70"/>
      <c r="J1049" s="70"/>
      <c r="K1049" s="70"/>
      <c r="L1049" s="70"/>
      <c r="M1049" s="70"/>
      <c r="N1049" s="70"/>
      <c r="O1049" s="70"/>
      <c r="P1049" s="70"/>
      <c r="Q1049" s="70"/>
      <c r="R1049" s="70"/>
      <c r="S1049" s="70"/>
      <c r="T1049" s="70"/>
      <c r="U1049" s="64"/>
      <c r="V1049" s="64"/>
      <c r="W1049" s="70"/>
      <c r="X1049" s="64"/>
      <c r="Y1049" s="70"/>
      <c r="Z1049" s="70"/>
      <c r="AA1049" s="71"/>
      <c r="AB1049" s="70"/>
      <c r="AC1049" s="70"/>
      <c r="AD1049" s="64"/>
      <c r="AE1049" s="70"/>
      <c r="AF1049" s="70"/>
      <c r="AG1049" s="70"/>
      <c r="AH1049" s="70"/>
    </row>
    <row r="1050" spans="4:34" x14ac:dyDescent="0.2">
      <c r="D1050" s="53"/>
      <c r="E1050" s="70"/>
      <c r="F1050" s="70"/>
      <c r="G1050" s="70"/>
      <c r="H1050" s="70"/>
      <c r="I1050" s="70"/>
      <c r="J1050" s="70"/>
      <c r="K1050" s="70"/>
      <c r="L1050" s="70"/>
      <c r="M1050" s="70"/>
      <c r="N1050" s="70"/>
      <c r="O1050" s="70"/>
      <c r="P1050" s="70"/>
      <c r="Q1050" s="70"/>
      <c r="R1050" s="70"/>
      <c r="S1050" s="70"/>
      <c r="T1050" s="70"/>
      <c r="U1050" s="64"/>
      <c r="V1050" s="64"/>
      <c r="W1050" s="70"/>
      <c r="X1050" s="64"/>
      <c r="Y1050" s="70"/>
      <c r="Z1050" s="70"/>
      <c r="AA1050" s="71"/>
      <c r="AB1050" s="70"/>
      <c r="AC1050" s="70"/>
      <c r="AD1050" s="64"/>
      <c r="AE1050" s="70"/>
      <c r="AF1050" s="70"/>
      <c r="AG1050" s="70"/>
      <c r="AH1050" s="70"/>
    </row>
    <row r="1051" spans="4:34" x14ac:dyDescent="0.2">
      <c r="D1051" s="53"/>
      <c r="E1051" s="70"/>
      <c r="F1051" s="70"/>
      <c r="G1051" s="70"/>
      <c r="H1051" s="70"/>
      <c r="I1051" s="70"/>
      <c r="J1051" s="70"/>
      <c r="K1051" s="70"/>
      <c r="L1051" s="70"/>
      <c r="M1051" s="70"/>
      <c r="N1051" s="70"/>
      <c r="O1051" s="70"/>
      <c r="P1051" s="70"/>
      <c r="Q1051" s="70"/>
      <c r="R1051" s="70"/>
      <c r="S1051" s="70"/>
      <c r="T1051" s="70"/>
      <c r="U1051" s="64"/>
      <c r="V1051" s="64"/>
      <c r="W1051" s="70"/>
      <c r="X1051" s="64"/>
      <c r="Y1051" s="70"/>
      <c r="Z1051" s="70"/>
      <c r="AA1051" s="71"/>
      <c r="AB1051" s="70"/>
      <c r="AC1051" s="70"/>
      <c r="AD1051" s="64"/>
      <c r="AE1051" s="70"/>
      <c r="AF1051" s="70"/>
      <c r="AG1051" s="70"/>
      <c r="AH1051" s="70"/>
    </row>
    <row r="1052" spans="4:34" x14ac:dyDescent="0.2">
      <c r="D1052" s="53"/>
      <c r="E1052" s="70"/>
      <c r="F1052" s="70"/>
      <c r="G1052" s="70"/>
      <c r="H1052" s="70"/>
      <c r="I1052" s="70"/>
      <c r="J1052" s="70"/>
      <c r="K1052" s="70"/>
      <c r="L1052" s="70"/>
      <c r="M1052" s="70"/>
      <c r="N1052" s="70"/>
      <c r="O1052" s="70"/>
      <c r="P1052" s="70"/>
      <c r="Q1052" s="70"/>
      <c r="R1052" s="70"/>
      <c r="S1052" s="70"/>
      <c r="T1052" s="70"/>
      <c r="U1052" s="64"/>
      <c r="V1052" s="64"/>
      <c r="W1052" s="70"/>
      <c r="X1052" s="64"/>
      <c r="Y1052" s="70"/>
      <c r="Z1052" s="70"/>
      <c r="AA1052" s="71"/>
      <c r="AB1052" s="70"/>
      <c r="AC1052" s="70"/>
      <c r="AD1052" s="64"/>
      <c r="AE1052" s="70"/>
      <c r="AF1052" s="70"/>
      <c r="AG1052" s="70"/>
      <c r="AH1052" s="70"/>
    </row>
    <row r="1053" spans="4:34" x14ac:dyDescent="0.2">
      <c r="D1053" s="53"/>
      <c r="E1053" s="70"/>
      <c r="F1053" s="70"/>
      <c r="G1053" s="70"/>
      <c r="H1053" s="70"/>
      <c r="I1053" s="70"/>
      <c r="J1053" s="70"/>
      <c r="K1053" s="70"/>
      <c r="L1053" s="70"/>
      <c r="M1053" s="70"/>
      <c r="N1053" s="70"/>
      <c r="O1053" s="70"/>
      <c r="P1053" s="70"/>
      <c r="Q1053" s="70"/>
      <c r="R1053" s="70"/>
      <c r="S1053" s="70"/>
      <c r="T1053" s="70"/>
      <c r="U1053" s="64"/>
      <c r="V1053" s="64"/>
      <c r="W1053" s="70"/>
      <c r="X1053" s="64"/>
      <c r="Y1053" s="70"/>
      <c r="Z1053" s="70"/>
      <c r="AA1053" s="71"/>
      <c r="AB1053" s="70"/>
      <c r="AC1053" s="70"/>
      <c r="AD1053" s="64"/>
      <c r="AE1053" s="70"/>
      <c r="AF1053" s="70"/>
      <c r="AG1053" s="70"/>
      <c r="AH1053" s="70"/>
    </row>
    <row r="1054" spans="4:34" x14ac:dyDescent="0.2">
      <c r="D1054" s="53"/>
      <c r="E1054" s="70"/>
      <c r="F1054" s="70"/>
      <c r="G1054" s="70"/>
      <c r="H1054" s="70"/>
      <c r="I1054" s="70"/>
      <c r="J1054" s="70"/>
      <c r="K1054" s="70"/>
      <c r="L1054" s="70"/>
      <c r="M1054" s="70"/>
      <c r="N1054" s="70"/>
      <c r="O1054" s="70"/>
      <c r="P1054" s="70"/>
      <c r="Q1054" s="70"/>
      <c r="R1054" s="70"/>
      <c r="S1054" s="70"/>
      <c r="T1054" s="70"/>
      <c r="U1054" s="64"/>
      <c r="V1054" s="64"/>
      <c r="W1054" s="70"/>
      <c r="X1054" s="64"/>
      <c r="Y1054" s="70"/>
      <c r="Z1054" s="70"/>
      <c r="AA1054" s="71"/>
      <c r="AB1054" s="70"/>
      <c r="AC1054" s="70"/>
      <c r="AD1054" s="64"/>
      <c r="AE1054" s="70"/>
      <c r="AF1054" s="70"/>
      <c r="AG1054" s="70"/>
      <c r="AH1054" s="70"/>
    </row>
    <row r="1055" spans="4:34" x14ac:dyDescent="0.2">
      <c r="D1055" s="53"/>
      <c r="E1055" s="70"/>
      <c r="F1055" s="70"/>
      <c r="G1055" s="70"/>
      <c r="H1055" s="70"/>
      <c r="I1055" s="70"/>
      <c r="J1055" s="70"/>
      <c r="K1055" s="70"/>
      <c r="L1055" s="70"/>
      <c r="M1055" s="70"/>
      <c r="N1055" s="70"/>
      <c r="O1055" s="70"/>
      <c r="P1055" s="70"/>
      <c r="Q1055" s="70"/>
      <c r="R1055" s="70"/>
      <c r="S1055" s="70"/>
      <c r="T1055" s="70"/>
      <c r="U1055" s="64"/>
      <c r="V1055" s="64"/>
      <c r="W1055" s="70"/>
      <c r="X1055" s="64"/>
      <c r="Y1055" s="70"/>
      <c r="Z1055" s="70"/>
      <c r="AA1055" s="71"/>
      <c r="AB1055" s="70"/>
      <c r="AC1055" s="70"/>
      <c r="AD1055" s="64"/>
      <c r="AE1055" s="70"/>
      <c r="AF1055" s="70"/>
      <c r="AG1055" s="70"/>
      <c r="AH1055" s="70"/>
    </row>
    <row r="1056" spans="4:34" x14ac:dyDescent="0.2">
      <c r="D1056" s="53"/>
      <c r="E1056" s="70"/>
      <c r="F1056" s="70"/>
      <c r="G1056" s="70"/>
      <c r="H1056" s="70"/>
      <c r="I1056" s="70"/>
      <c r="J1056" s="70"/>
      <c r="K1056" s="70"/>
      <c r="L1056" s="70"/>
      <c r="M1056" s="70"/>
      <c r="N1056" s="70"/>
      <c r="O1056" s="70"/>
      <c r="P1056" s="70"/>
      <c r="Q1056" s="70"/>
      <c r="R1056" s="70"/>
      <c r="S1056" s="70"/>
      <c r="T1056" s="70"/>
      <c r="U1056" s="64"/>
      <c r="V1056" s="64"/>
      <c r="W1056" s="70"/>
      <c r="X1056" s="64"/>
      <c r="Y1056" s="70"/>
      <c r="Z1056" s="70"/>
      <c r="AA1056" s="71"/>
      <c r="AB1056" s="70"/>
      <c r="AC1056" s="70"/>
      <c r="AD1056" s="64"/>
      <c r="AE1056" s="70"/>
      <c r="AF1056" s="70"/>
      <c r="AG1056" s="70"/>
      <c r="AH1056" s="70"/>
    </row>
    <row r="1057" spans="4:34" x14ac:dyDescent="0.2">
      <c r="D1057" s="53"/>
      <c r="E1057" s="70"/>
      <c r="F1057" s="70"/>
      <c r="G1057" s="70"/>
      <c r="H1057" s="70"/>
      <c r="I1057" s="70"/>
      <c r="J1057" s="70"/>
      <c r="K1057" s="70"/>
      <c r="L1057" s="70"/>
      <c r="M1057" s="70"/>
      <c r="N1057" s="70"/>
      <c r="O1057" s="70"/>
      <c r="P1057" s="70"/>
      <c r="Q1057" s="70"/>
      <c r="R1057" s="70"/>
      <c r="S1057" s="70"/>
      <c r="T1057" s="70"/>
      <c r="U1057" s="64"/>
      <c r="V1057" s="64"/>
      <c r="W1057" s="70"/>
      <c r="X1057" s="64"/>
      <c r="Y1057" s="70"/>
      <c r="Z1057" s="70"/>
      <c r="AA1057" s="71"/>
      <c r="AB1057" s="70"/>
      <c r="AC1057" s="70"/>
      <c r="AD1057" s="64"/>
      <c r="AE1057" s="70"/>
      <c r="AF1057" s="70"/>
      <c r="AG1057" s="70"/>
      <c r="AH1057" s="70"/>
    </row>
    <row r="1058" spans="4:34" x14ac:dyDescent="0.2">
      <c r="D1058" s="53"/>
      <c r="E1058" s="70"/>
      <c r="F1058" s="70"/>
      <c r="G1058" s="70"/>
      <c r="H1058" s="70"/>
      <c r="I1058" s="70"/>
      <c r="J1058" s="70"/>
      <c r="K1058" s="70"/>
      <c r="L1058" s="70"/>
      <c r="M1058" s="70"/>
      <c r="N1058" s="70"/>
      <c r="O1058" s="70"/>
      <c r="P1058" s="70"/>
      <c r="Q1058" s="70"/>
      <c r="R1058" s="70"/>
      <c r="S1058" s="70"/>
      <c r="T1058" s="70"/>
      <c r="U1058" s="64"/>
      <c r="V1058" s="64"/>
      <c r="W1058" s="70"/>
      <c r="X1058" s="64"/>
      <c r="Y1058" s="70"/>
      <c r="Z1058" s="70"/>
      <c r="AA1058" s="71"/>
      <c r="AB1058" s="70"/>
      <c r="AC1058" s="70"/>
      <c r="AD1058" s="64"/>
      <c r="AE1058" s="70"/>
      <c r="AF1058" s="70"/>
      <c r="AG1058" s="70"/>
      <c r="AH1058" s="70"/>
    </row>
    <row r="1059" spans="4:34" x14ac:dyDescent="0.2">
      <c r="D1059" s="53"/>
      <c r="E1059" s="70"/>
      <c r="F1059" s="70"/>
      <c r="G1059" s="70"/>
      <c r="H1059" s="70"/>
      <c r="I1059" s="70"/>
      <c r="J1059" s="70"/>
      <c r="K1059" s="70"/>
      <c r="L1059" s="70"/>
      <c r="M1059" s="70"/>
      <c r="N1059" s="70"/>
      <c r="O1059" s="70"/>
      <c r="P1059" s="70"/>
      <c r="Q1059" s="70"/>
      <c r="R1059" s="70"/>
      <c r="S1059" s="70"/>
      <c r="T1059" s="70"/>
      <c r="U1059" s="64"/>
      <c r="V1059" s="64"/>
      <c r="W1059" s="70"/>
      <c r="X1059" s="64"/>
      <c r="Y1059" s="70"/>
      <c r="Z1059" s="70"/>
      <c r="AA1059" s="71"/>
      <c r="AB1059" s="70"/>
      <c r="AC1059" s="70"/>
      <c r="AD1059" s="64"/>
      <c r="AE1059" s="70"/>
      <c r="AF1059" s="70"/>
      <c r="AG1059" s="70"/>
      <c r="AH1059" s="70"/>
    </row>
    <row r="1060" spans="4:34" x14ac:dyDescent="0.2">
      <c r="D1060" s="53"/>
      <c r="E1060" s="70"/>
      <c r="F1060" s="70"/>
      <c r="G1060" s="70"/>
      <c r="H1060" s="70"/>
      <c r="I1060" s="70"/>
      <c r="J1060" s="70"/>
      <c r="K1060" s="70"/>
      <c r="L1060" s="70"/>
      <c r="M1060" s="70"/>
      <c r="N1060" s="70"/>
      <c r="O1060" s="70"/>
      <c r="P1060" s="70"/>
      <c r="Q1060" s="70"/>
      <c r="R1060" s="70"/>
      <c r="S1060" s="70"/>
      <c r="T1060" s="70"/>
      <c r="U1060" s="64"/>
      <c r="V1060" s="64"/>
      <c r="W1060" s="70"/>
      <c r="X1060" s="64"/>
      <c r="Y1060" s="70"/>
      <c r="Z1060" s="70"/>
      <c r="AA1060" s="71"/>
      <c r="AB1060" s="70"/>
      <c r="AC1060" s="70"/>
      <c r="AD1060" s="64"/>
      <c r="AE1060" s="70"/>
      <c r="AF1060" s="70"/>
      <c r="AG1060" s="70"/>
      <c r="AH1060" s="70"/>
    </row>
    <row r="1061" spans="4:34" x14ac:dyDescent="0.2">
      <c r="D1061" s="53"/>
      <c r="E1061" s="70"/>
      <c r="F1061" s="70"/>
      <c r="G1061" s="70"/>
      <c r="H1061" s="70"/>
      <c r="I1061" s="70"/>
      <c r="J1061" s="70"/>
      <c r="K1061" s="70"/>
      <c r="L1061" s="70"/>
      <c r="M1061" s="70"/>
      <c r="N1061" s="70"/>
      <c r="O1061" s="70"/>
      <c r="P1061" s="70"/>
      <c r="Q1061" s="70"/>
      <c r="R1061" s="70"/>
      <c r="S1061" s="70"/>
      <c r="T1061" s="70"/>
      <c r="U1061" s="64"/>
      <c r="V1061" s="64"/>
      <c r="W1061" s="70"/>
      <c r="X1061" s="64"/>
      <c r="Y1061" s="70"/>
      <c r="Z1061" s="70"/>
      <c r="AA1061" s="71"/>
      <c r="AB1061" s="70"/>
      <c r="AC1061" s="70"/>
      <c r="AD1061" s="64"/>
      <c r="AE1061" s="70"/>
      <c r="AF1061" s="70"/>
      <c r="AG1061" s="70"/>
      <c r="AH1061" s="70"/>
    </row>
    <row r="1062" spans="4:34" x14ac:dyDescent="0.2">
      <c r="D1062" s="53"/>
      <c r="E1062" s="70"/>
      <c r="F1062" s="70"/>
      <c r="G1062" s="70"/>
      <c r="H1062" s="70"/>
      <c r="I1062" s="70"/>
      <c r="J1062" s="70"/>
      <c r="K1062" s="70"/>
      <c r="L1062" s="70"/>
      <c r="M1062" s="70"/>
      <c r="N1062" s="70"/>
      <c r="O1062" s="70"/>
      <c r="P1062" s="70"/>
      <c r="Q1062" s="70"/>
      <c r="R1062" s="70"/>
      <c r="S1062" s="70"/>
      <c r="T1062" s="70"/>
      <c r="U1062" s="64"/>
      <c r="V1062" s="64"/>
      <c r="W1062" s="70"/>
      <c r="X1062" s="64"/>
      <c r="Y1062" s="70"/>
      <c r="Z1062" s="70"/>
      <c r="AA1062" s="71"/>
      <c r="AB1062" s="70"/>
      <c r="AC1062" s="70"/>
      <c r="AD1062" s="64"/>
      <c r="AE1062" s="70"/>
      <c r="AF1062" s="70"/>
      <c r="AG1062" s="70"/>
      <c r="AH1062" s="70"/>
    </row>
    <row r="1063" spans="4:34" x14ac:dyDescent="0.2">
      <c r="D1063" s="53"/>
      <c r="E1063" s="70"/>
      <c r="F1063" s="70"/>
      <c r="G1063" s="70"/>
      <c r="H1063" s="70"/>
      <c r="I1063" s="70"/>
      <c r="J1063" s="70"/>
      <c r="K1063" s="70"/>
      <c r="L1063" s="70"/>
      <c r="M1063" s="70"/>
      <c r="N1063" s="70"/>
      <c r="O1063" s="70"/>
      <c r="P1063" s="70"/>
      <c r="Q1063" s="70"/>
      <c r="R1063" s="70"/>
      <c r="S1063" s="70"/>
      <c r="T1063" s="70"/>
      <c r="U1063" s="64"/>
      <c r="V1063" s="64"/>
      <c r="W1063" s="70"/>
      <c r="X1063" s="64"/>
      <c r="Y1063" s="70"/>
      <c r="Z1063" s="70"/>
      <c r="AA1063" s="71"/>
      <c r="AB1063" s="70"/>
      <c r="AC1063" s="70"/>
      <c r="AD1063" s="64"/>
      <c r="AE1063" s="70"/>
      <c r="AF1063" s="70"/>
      <c r="AG1063" s="70"/>
      <c r="AH1063" s="70"/>
    </row>
    <row r="1064" spans="4:34" x14ac:dyDescent="0.2">
      <c r="D1064" s="53"/>
      <c r="E1064" s="70"/>
      <c r="F1064" s="70"/>
      <c r="G1064" s="70"/>
      <c r="H1064" s="70"/>
      <c r="I1064" s="70"/>
      <c r="J1064" s="70"/>
      <c r="K1064" s="70"/>
      <c r="L1064" s="70"/>
      <c r="M1064" s="70"/>
      <c r="N1064" s="70"/>
      <c r="O1064" s="70"/>
      <c r="P1064" s="70"/>
      <c r="Q1064" s="70"/>
      <c r="R1064" s="70"/>
      <c r="S1064" s="70"/>
      <c r="T1064" s="70"/>
      <c r="U1064" s="64"/>
      <c r="V1064" s="64"/>
      <c r="W1064" s="70"/>
      <c r="X1064" s="64"/>
      <c r="Y1064" s="70"/>
      <c r="Z1064" s="70"/>
      <c r="AA1064" s="71"/>
      <c r="AB1064" s="70"/>
      <c r="AC1064" s="70"/>
      <c r="AD1064" s="64"/>
      <c r="AE1064" s="70"/>
      <c r="AF1064" s="70"/>
      <c r="AG1064" s="70"/>
      <c r="AH1064" s="70"/>
    </row>
    <row r="1065" spans="4:34" x14ac:dyDescent="0.2">
      <c r="D1065" s="53"/>
      <c r="E1065" s="70"/>
      <c r="F1065" s="70"/>
      <c r="G1065" s="70"/>
      <c r="H1065" s="70"/>
      <c r="I1065" s="70"/>
      <c r="J1065" s="70"/>
      <c r="K1065" s="70"/>
      <c r="L1065" s="70"/>
      <c r="M1065" s="70"/>
      <c r="N1065" s="70"/>
      <c r="O1065" s="70"/>
      <c r="P1065" s="70"/>
      <c r="Q1065" s="70"/>
      <c r="R1065" s="70"/>
      <c r="S1065" s="70"/>
      <c r="T1065" s="70"/>
      <c r="U1065" s="64"/>
      <c r="V1065" s="64"/>
      <c r="W1065" s="70"/>
      <c r="X1065" s="64"/>
      <c r="Y1065" s="70"/>
      <c r="Z1065" s="70"/>
      <c r="AA1065" s="71"/>
      <c r="AB1065" s="70"/>
      <c r="AC1065" s="70"/>
      <c r="AD1065" s="64"/>
      <c r="AE1065" s="70"/>
      <c r="AF1065" s="70"/>
      <c r="AG1065" s="70"/>
      <c r="AH1065" s="70"/>
    </row>
    <row r="1066" spans="4:34" x14ac:dyDescent="0.2">
      <c r="D1066" s="53"/>
      <c r="E1066" s="70"/>
      <c r="F1066" s="70"/>
      <c r="G1066" s="70"/>
      <c r="H1066" s="70"/>
      <c r="I1066" s="70"/>
      <c r="J1066" s="70"/>
      <c r="K1066" s="70"/>
      <c r="L1066" s="70"/>
      <c r="M1066" s="70"/>
      <c r="N1066" s="70"/>
      <c r="O1066" s="70"/>
      <c r="P1066" s="70"/>
      <c r="Q1066" s="70"/>
      <c r="R1066" s="70"/>
      <c r="S1066" s="70"/>
      <c r="T1066" s="70"/>
      <c r="U1066" s="64"/>
      <c r="V1066" s="64"/>
      <c r="W1066" s="70"/>
      <c r="X1066" s="64"/>
      <c r="Y1066" s="70"/>
      <c r="Z1066" s="70"/>
      <c r="AA1066" s="71"/>
      <c r="AB1066" s="70"/>
      <c r="AC1066" s="70"/>
      <c r="AD1066" s="64"/>
      <c r="AE1066" s="70"/>
      <c r="AF1066" s="70"/>
      <c r="AG1066" s="70"/>
      <c r="AH1066" s="70"/>
    </row>
    <row r="1067" spans="4:34" x14ac:dyDescent="0.2">
      <c r="D1067" s="53"/>
      <c r="E1067" s="70"/>
      <c r="F1067" s="70"/>
      <c r="G1067" s="70"/>
      <c r="H1067" s="70"/>
      <c r="I1067" s="70"/>
      <c r="J1067" s="70"/>
      <c r="K1067" s="70"/>
      <c r="L1067" s="70"/>
      <c r="M1067" s="70"/>
      <c r="N1067" s="70"/>
      <c r="O1067" s="70"/>
      <c r="P1067" s="70"/>
      <c r="Q1067" s="70"/>
      <c r="R1067" s="70"/>
      <c r="S1067" s="70"/>
      <c r="T1067" s="70"/>
      <c r="U1067" s="64"/>
      <c r="V1067" s="64"/>
      <c r="W1067" s="70"/>
      <c r="X1067" s="64"/>
      <c r="Y1067" s="70"/>
      <c r="Z1067" s="70"/>
      <c r="AA1067" s="71"/>
      <c r="AB1067" s="70"/>
      <c r="AC1067" s="70"/>
      <c r="AD1067" s="64"/>
      <c r="AE1067" s="70"/>
      <c r="AF1067" s="70"/>
      <c r="AG1067" s="70"/>
      <c r="AH1067" s="70"/>
    </row>
    <row r="1068" spans="4:34" x14ac:dyDescent="0.2">
      <c r="D1068" s="53"/>
      <c r="E1068" s="70"/>
      <c r="F1068" s="70"/>
      <c r="G1068" s="70"/>
      <c r="H1068" s="70"/>
      <c r="I1068" s="70"/>
      <c r="J1068" s="70"/>
      <c r="K1068" s="70"/>
      <c r="L1068" s="70"/>
      <c r="M1068" s="70"/>
      <c r="N1068" s="70"/>
      <c r="O1068" s="70"/>
      <c r="P1068" s="70"/>
      <c r="Q1068" s="70"/>
      <c r="R1068" s="70"/>
      <c r="S1068" s="70"/>
      <c r="T1068" s="70"/>
      <c r="U1068" s="64"/>
      <c r="V1068" s="64"/>
      <c r="W1068" s="70"/>
      <c r="X1068" s="64"/>
      <c r="Y1068" s="70"/>
      <c r="Z1068" s="70"/>
      <c r="AA1068" s="71"/>
      <c r="AB1068" s="70"/>
      <c r="AC1068" s="70"/>
      <c r="AD1068" s="64"/>
      <c r="AE1068" s="70"/>
      <c r="AF1068" s="70"/>
      <c r="AG1068" s="70"/>
      <c r="AH1068" s="70"/>
    </row>
    <row r="1069" spans="4:34" x14ac:dyDescent="0.2">
      <c r="D1069" s="53"/>
      <c r="E1069" s="70"/>
      <c r="F1069" s="70"/>
      <c r="G1069" s="70"/>
      <c r="H1069" s="70"/>
      <c r="I1069" s="70"/>
      <c r="J1069" s="70"/>
      <c r="K1069" s="70"/>
      <c r="L1069" s="70"/>
      <c r="M1069" s="70"/>
      <c r="N1069" s="70"/>
      <c r="O1069" s="70"/>
      <c r="P1069" s="70"/>
      <c r="Q1069" s="70"/>
      <c r="R1069" s="70"/>
      <c r="S1069" s="70"/>
      <c r="T1069" s="70"/>
      <c r="U1069" s="64"/>
      <c r="V1069" s="64"/>
      <c r="W1069" s="70"/>
      <c r="X1069" s="64"/>
      <c r="Y1069" s="70"/>
      <c r="Z1069" s="70"/>
      <c r="AA1069" s="71"/>
      <c r="AB1069" s="70"/>
      <c r="AC1069" s="70"/>
      <c r="AD1069" s="64"/>
      <c r="AE1069" s="70"/>
      <c r="AF1069" s="70"/>
      <c r="AG1069" s="70"/>
      <c r="AH1069" s="70"/>
    </row>
    <row r="1070" spans="4:34" x14ac:dyDescent="0.2">
      <c r="D1070" s="53"/>
      <c r="E1070" s="70"/>
      <c r="F1070" s="70"/>
      <c r="G1070" s="70"/>
      <c r="H1070" s="70"/>
      <c r="I1070" s="70"/>
      <c r="J1070" s="70"/>
      <c r="K1070" s="70"/>
      <c r="L1070" s="70"/>
      <c r="M1070" s="70"/>
      <c r="N1070" s="70"/>
      <c r="O1070" s="70"/>
      <c r="P1070" s="70"/>
      <c r="Q1070" s="70"/>
      <c r="R1070" s="70"/>
      <c r="S1070" s="70"/>
      <c r="T1070" s="70"/>
      <c r="U1070" s="64"/>
      <c r="V1070" s="64"/>
      <c r="W1070" s="70"/>
      <c r="X1070" s="64"/>
      <c r="Y1070" s="70"/>
      <c r="Z1070" s="70"/>
      <c r="AA1070" s="71"/>
      <c r="AB1070" s="70"/>
      <c r="AC1070" s="70"/>
      <c r="AD1070" s="64"/>
      <c r="AE1070" s="70"/>
      <c r="AF1070" s="70"/>
      <c r="AG1070" s="70"/>
      <c r="AH1070" s="70"/>
    </row>
    <row r="1071" spans="4:34" x14ac:dyDescent="0.2">
      <c r="D1071" s="53"/>
      <c r="E1071" s="70"/>
      <c r="F1071" s="70"/>
      <c r="G1071" s="70"/>
      <c r="H1071" s="70"/>
      <c r="I1071" s="70"/>
      <c r="J1071" s="70"/>
      <c r="K1071" s="70"/>
      <c r="L1071" s="70"/>
      <c r="M1071" s="70"/>
      <c r="N1071" s="70"/>
      <c r="O1071" s="70"/>
      <c r="P1071" s="70"/>
      <c r="Q1071" s="70"/>
      <c r="R1071" s="70"/>
      <c r="S1071" s="70"/>
      <c r="T1071" s="70"/>
      <c r="U1071" s="64"/>
      <c r="V1071" s="64"/>
      <c r="W1071" s="70"/>
      <c r="X1071" s="64"/>
      <c r="Y1071" s="70"/>
      <c r="Z1071" s="70"/>
      <c r="AA1071" s="71"/>
      <c r="AB1071" s="70"/>
      <c r="AC1071" s="70"/>
      <c r="AD1071" s="64"/>
      <c r="AE1071" s="70"/>
      <c r="AF1071" s="70"/>
      <c r="AG1071" s="70"/>
      <c r="AH1071" s="70"/>
    </row>
    <row r="1072" spans="4:34" x14ac:dyDescent="0.2">
      <c r="D1072" s="53"/>
      <c r="E1072" s="70"/>
      <c r="F1072" s="70"/>
      <c r="G1072" s="70"/>
      <c r="H1072" s="70"/>
      <c r="I1072" s="70"/>
      <c r="J1072" s="70"/>
      <c r="K1072" s="70"/>
      <c r="L1072" s="70"/>
      <c r="M1072" s="70"/>
      <c r="N1072" s="70"/>
      <c r="O1072" s="70"/>
      <c r="P1072" s="70"/>
      <c r="Q1072" s="70"/>
      <c r="R1072" s="70"/>
      <c r="S1072" s="70"/>
      <c r="T1072" s="70"/>
      <c r="U1072" s="64"/>
      <c r="V1072" s="64"/>
      <c r="W1072" s="70"/>
      <c r="X1072" s="64"/>
      <c r="Y1072" s="70"/>
      <c r="Z1072" s="70"/>
      <c r="AA1072" s="71"/>
      <c r="AB1072" s="70"/>
      <c r="AC1072" s="70"/>
      <c r="AD1072" s="64"/>
      <c r="AE1072" s="70"/>
      <c r="AF1072" s="70"/>
      <c r="AG1072" s="70"/>
      <c r="AH1072" s="70"/>
    </row>
    <row r="1073" spans="4:34" x14ac:dyDescent="0.2">
      <c r="D1073" s="53"/>
      <c r="E1073" s="70"/>
      <c r="F1073" s="70"/>
      <c r="G1073" s="70"/>
      <c r="H1073" s="70"/>
      <c r="I1073" s="70"/>
      <c r="J1073" s="70"/>
      <c r="K1073" s="70"/>
      <c r="L1073" s="70"/>
      <c r="M1073" s="70"/>
      <c r="N1073" s="70"/>
      <c r="O1073" s="70"/>
      <c r="P1073" s="70"/>
      <c r="Q1073" s="70"/>
      <c r="R1073" s="70"/>
      <c r="S1073" s="70"/>
      <c r="T1073" s="70"/>
      <c r="U1073" s="64"/>
      <c r="V1073" s="64"/>
      <c r="W1073" s="70"/>
      <c r="X1073" s="64"/>
      <c r="Y1073" s="70"/>
      <c r="Z1073" s="70"/>
      <c r="AA1073" s="71"/>
      <c r="AB1073" s="70"/>
      <c r="AC1073" s="70"/>
      <c r="AD1073" s="64"/>
      <c r="AE1073" s="70"/>
      <c r="AF1073" s="70"/>
      <c r="AG1073" s="70"/>
      <c r="AH1073" s="70"/>
    </row>
    <row r="1074" spans="4:34" x14ac:dyDescent="0.2">
      <c r="D1074" s="53"/>
      <c r="E1074" s="70"/>
      <c r="F1074" s="70"/>
      <c r="G1074" s="70"/>
      <c r="H1074" s="70"/>
      <c r="I1074" s="70"/>
      <c r="J1074" s="70"/>
      <c r="K1074" s="70"/>
      <c r="L1074" s="70"/>
      <c r="M1074" s="70"/>
      <c r="N1074" s="70"/>
      <c r="O1074" s="70"/>
      <c r="P1074" s="70"/>
      <c r="Q1074" s="70"/>
      <c r="R1074" s="70"/>
      <c r="S1074" s="70"/>
      <c r="T1074" s="70"/>
      <c r="U1074" s="64"/>
      <c r="V1074" s="64"/>
      <c r="W1074" s="70"/>
      <c r="X1074" s="64"/>
      <c r="Y1074" s="70"/>
      <c r="Z1074" s="70"/>
      <c r="AA1074" s="71"/>
      <c r="AB1074" s="70"/>
      <c r="AC1074" s="70"/>
      <c r="AD1074" s="64"/>
      <c r="AE1074" s="70"/>
      <c r="AF1074" s="70"/>
      <c r="AG1074" s="70"/>
      <c r="AH1074" s="70"/>
    </row>
    <row r="1075" spans="4:34" x14ac:dyDescent="0.2">
      <c r="D1075" s="53"/>
      <c r="E1075" s="70"/>
      <c r="F1075" s="70"/>
      <c r="G1075" s="70"/>
      <c r="H1075" s="70"/>
      <c r="I1075" s="70"/>
      <c r="J1075" s="70"/>
      <c r="K1075" s="70"/>
      <c r="L1075" s="70"/>
      <c r="M1075" s="70"/>
      <c r="N1075" s="70"/>
      <c r="O1075" s="70"/>
      <c r="P1075" s="70"/>
      <c r="Q1075" s="70"/>
      <c r="R1075" s="70"/>
      <c r="S1075" s="70"/>
      <c r="T1075" s="70"/>
      <c r="U1075" s="64"/>
      <c r="V1075" s="64"/>
      <c r="W1075" s="70"/>
      <c r="X1075" s="64"/>
      <c r="Y1075" s="70"/>
      <c r="Z1075" s="70"/>
      <c r="AA1075" s="71"/>
      <c r="AB1075" s="70"/>
      <c r="AC1075" s="70"/>
      <c r="AD1075" s="64"/>
      <c r="AE1075" s="70"/>
      <c r="AF1075" s="70"/>
      <c r="AG1075" s="70"/>
      <c r="AH1075" s="70"/>
    </row>
    <row r="1076" spans="4:34" x14ac:dyDescent="0.2">
      <c r="D1076" s="53"/>
      <c r="E1076" s="70"/>
      <c r="F1076" s="70"/>
      <c r="G1076" s="70"/>
      <c r="H1076" s="70"/>
      <c r="I1076" s="70"/>
      <c r="J1076" s="70"/>
      <c r="K1076" s="70"/>
      <c r="L1076" s="70"/>
      <c r="M1076" s="70"/>
      <c r="N1076" s="70"/>
      <c r="O1076" s="70"/>
      <c r="P1076" s="70"/>
      <c r="Q1076" s="70"/>
      <c r="R1076" s="70"/>
      <c r="S1076" s="70"/>
      <c r="T1076" s="70"/>
      <c r="U1076" s="64"/>
      <c r="V1076" s="64"/>
      <c r="W1076" s="70"/>
      <c r="X1076" s="64"/>
      <c r="Y1076" s="70"/>
      <c r="Z1076" s="70"/>
      <c r="AA1076" s="71"/>
      <c r="AB1076" s="70"/>
      <c r="AC1076" s="70"/>
      <c r="AD1076" s="64"/>
      <c r="AE1076" s="70"/>
      <c r="AF1076" s="70"/>
      <c r="AG1076" s="70"/>
      <c r="AH1076" s="70"/>
    </row>
    <row r="1077" spans="4:34" x14ac:dyDescent="0.2">
      <c r="D1077" s="53"/>
      <c r="E1077" s="70"/>
      <c r="F1077" s="70"/>
      <c r="G1077" s="70"/>
      <c r="H1077" s="70"/>
      <c r="I1077" s="70"/>
      <c r="J1077" s="70"/>
      <c r="K1077" s="70"/>
      <c r="L1077" s="70"/>
      <c r="M1077" s="70"/>
      <c r="N1077" s="70"/>
      <c r="O1077" s="70"/>
      <c r="P1077" s="70"/>
      <c r="Q1077" s="70"/>
      <c r="R1077" s="70"/>
      <c r="S1077" s="70"/>
      <c r="T1077" s="70"/>
      <c r="U1077" s="64"/>
      <c r="V1077" s="64"/>
      <c r="W1077" s="70"/>
      <c r="X1077" s="64"/>
      <c r="Y1077" s="70"/>
      <c r="Z1077" s="70"/>
      <c r="AA1077" s="71"/>
      <c r="AB1077" s="70"/>
      <c r="AC1077" s="70"/>
      <c r="AD1077" s="64"/>
      <c r="AE1077" s="70"/>
      <c r="AF1077" s="70"/>
      <c r="AG1077" s="70"/>
      <c r="AH1077" s="70"/>
    </row>
    <row r="1078" spans="4:34" x14ac:dyDescent="0.2">
      <c r="D1078" s="53"/>
      <c r="E1078" s="70"/>
      <c r="F1078" s="70"/>
      <c r="G1078" s="70"/>
      <c r="H1078" s="70"/>
      <c r="I1078" s="70"/>
      <c r="J1078" s="70"/>
      <c r="K1078" s="70"/>
      <c r="L1078" s="70"/>
      <c r="M1078" s="70"/>
      <c r="N1078" s="70"/>
      <c r="O1078" s="70"/>
      <c r="P1078" s="70"/>
      <c r="Q1078" s="70"/>
      <c r="R1078" s="70"/>
      <c r="S1078" s="70"/>
      <c r="T1078" s="70"/>
      <c r="U1078" s="64"/>
      <c r="V1078" s="64"/>
      <c r="W1078" s="70"/>
      <c r="X1078" s="64"/>
      <c r="Y1078" s="70"/>
      <c r="Z1078" s="70"/>
      <c r="AA1078" s="71"/>
      <c r="AB1078" s="70"/>
      <c r="AC1078" s="70"/>
      <c r="AD1078" s="64"/>
      <c r="AE1078" s="70"/>
      <c r="AF1078" s="70"/>
      <c r="AG1078" s="70"/>
      <c r="AH1078" s="70"/>
    </row>
    <row r="1079" spans="4:34" x14ac:dyDescent="0.2">
      <c r="D1079" s="53"/>
      <c r="E1079" s="70"/>
      <c r="F1079" s="70"/>
      <c r="G1079" s="70"/>
      <c r="H1079" s="70"/>
      <c r="I1079" s="70"/>
      <c r="J1079" s="70"/>
      <c r="K1079" s="70"/>
      <c r="L1079" s="70"/>
      <c r="M1079" s="70"/>
      <c r="N1079" s="70"/>
      <c r="O1079" s="70"/>
      <c r="P1079" s="70"/>
      <c r="Q1079" s="70"/>
      <c r="R1079" s="70"/>
      <c r="S1079" s="70"/>
      <c r="T1079" s="70"/>
      <c r="U1079" s="64"/>
      <c r="V1079" s="64"/>
      <c r="W1079" s="70"/>
      <c r="X1079" s="64"/>
      <c r="Y1079" s="70"/>
      <c r="Z1079" s="70"/>
      <c r="AA1079" s="71"/>
      <c r="AB1079" s="70"/>
      <c r="AC1079" s="70"/>
      <c r="AD1079" s="64"/>
      <c r="AE1079" s="70"/>
      <c r="AF1079" s="70"/>
      <c r="AG1079" s="70"/>
      <c r="AH1079" s="70"/>
    </row>
    <row r="1080" spans="4:34" x14ac:dyDescent="0.2">
      <c r="D1080" s="53"/>
      <c r="E1080" s="70"/>
      <c r="F1080" s="70"/>
      <c r="G1080" s="70"/>
      <c r="H1080" s="70"/>
      <c r="I1080" s="70"/>
      <c r="J1080" s="70"/>
      <c r="K1080" s="70"/>
      <c r="L1080" s="70"/>
      <c r="M1080" s="70"/>
      <c r="N1080" s="70"/>
      <c r="O1080" s="70"/>
      <c r="P1080" s="70"/>
      <c r="Q1080" s="70"/>
      <c r="R1080" s="70"/>
      <c r="S1080" s="70"/>
      <c r="T1080" s="70"/>
      <c r="U1080" s="64"/>
      <c r="V1080" s="64"/>
      <c r="W1080" s="70"/>
      <c r="X1080" s="64"/>
      <c r="Y1080" s="70"/>
      <c r="Z1080" s="70"/>
      <c r="AA1080" s="71"/>
      <c r="AB1080" s="70"/>
      <c r="AC1080" s="70"/>
      <c r="AD1080" s="64"/>
      <c r="AE1080" s="70"/>
      <c r="AF1080" s="70"/>
      <c r="AG1080" s="70"/>
      <c r="AH1080" s="70"/>
    </row>
    <row r="1081" spans="4:34" x14ac:dyDescent="0.2">
      <c r="D1081" s="53"/>
      <c r="E1081" s="70"/>
      <c r="F1081" s="70"/>
      <c r="G1081" s="70"/>
      <c r="H1081" s="70"/>
      <c r="I1081" s="70"/>
      <c r="J1081" s="70"/>
      <c r="K1081" s="70"/>
      <c r="L1081" s="70"/>
      <c r="M1081" s="70"/>
      <c r="N1081" s="70"/>
      <c r="O1081" s="70"/>
      <c r="P1081" s="70"/>
      <c r="Q1081" s="70"/>
      <c r="R1081" s="70"/>
      <c r="S1081" s="70"/>
      <c r="T1081" s="70"/>
      <c r="U1081" s="64"/>
      <c r="V1081" s="64"/>
      <c r="W1081" s="70"/>
      <c r="X1081" s="64"/>
      <c r="Y1081" s="70"/>
      <c r="Z1081" s="70"/>
      <c r="AA1081" s="71"/>
      <c r="AB1081" s="70"/>
      <c r="AC1081" s="70"/>
      <c r="AD1081" s="64"/>
      <c r="AE1081" s="70"/>
      <c r="AF1081" s="70"/>
      <c r="AG1081" s="70"/>
      <c r="AH1081" s="70"/>
    </row>
    <row r="1082" spans="4:34" x14ac:dyDescent="0.2">
      <c r="D1082" s="53"/>
      <c r="E1082" s="70"/>
      <c r="F1082" s="70"/>
      <c r="G1082" s="70"/>
      <c r="H1082" s="70"/>
      <c r="I1082" s="70"/>
      <c r="J1082" s="70"/>
      <c r="K1082" s="70"/>
      <c r="L1082" s="70"/>
      <c r="M1082" s="70"/>
      <c r="N1082" s="70"/>
      <c r="O1082" s="70"/>
      <c r="P1082" s="70"/>
      <c r="Q1082" s="70"/>
      <c r="R1082" s="70"/>
      <c r="S1082" s="70"/>
      <c r="T1082" s="70"/>
      <c r="U1082" s="64"/>
      <c r="V1082" s="64"/>
      <c r="W1082" s="70"/>
      <c r="X1082" s="64"/>
      <c r="Y1082" s="70"/>
      <c r="Z1082" s="70"/>
      <c r="AA1082" s="71"/>
      <c r="AB1082" s="70"/>
      <c r="AC1082" s="70"/>
      <c r="AD1082" s="64"/>
      <c r="AE1082" s="70"/>
      <c r="AF1082" s="70"/>
      <c r="AG1082" s="70"/>
      <c r="AH1082" s="70"/>
    </row>
    <row r="1083" spans="4:34" x14ac:dyDescent="0.2">
      <c r="D1083" s="53"/>
      <c r="E1083" s="70"/>
      <c r="F1083" s="70"/>
      <c r="G1083" s="70"/>
      <c r="H1083" s="70"/>
      <c r="I1083" s="70"/>
      <c r="J1083" s="70"/>
      <c r="K1083" s="70"/>
      <c r="L1083" s="70"/>
      <c r="M1083" s="70"/>
      <c r="N1083" s="70"/>
      <c r="O1083" s="70"/>
      <c r="P1083" s="70"/>
      <c r="Q1083" s="70"/>
      <c r="R1083" s="70"/>
      <c r="S1083" s="70"/>
      <c r="T1083" s="70"/>
      <c r="U1083" s="64"/>
      <c r="V1083" s="64"/>
      <c r="W1083" s="70"/>
      <c r="X1083" s="64"/>
      <c r="Y1083" s="70"/>
      <c r="Z1083" s="70"/>
      <c r="AA1083" s="71"/>
      <c r="AB1083" s="70"/>
      <c r="AC1083" s="70"/>
      <c r="AD1083" s="64"/>
      <c r="AE1083" s="70"/>
      <c r="AF1083" s="70"/>
      <c r="AG1083" s="70"/>
      <c r="AH1083" s="70"/>
    </row>
    <row r="1084" spans="4:34" x14ac:dyDescent="0.2">
      <c r="D1084" s="53"/>
      <c r="E1084" s="70"/>
      <c r="F1084" s="70"/>
      <c r="G1084" s="70"/>
      <c r="H1084" s="70"/>
      <c r="I1084" s="70"/>
      <c r="J1084" s="70"/>
      <c r="K1084" s="70"/>
      <c r="L1084" s="70"/>
      <c r="M1084" s="70"/>
      <c r="N1084" s="70"/>
      <c r="O1084" s="70"/>
      <c r="P1084" s="70"/>
      <c r="Q1084" s="70"/>
      <c r="R1084" s="70"/>
      <c r="S1084" s="70"/>
      <c r="T1084" s="70"/>
      <c r="U1084" s="64"/>
      <c r="V1084" s="64"/>
      <c r="W1084" s="70"/>
      <c r="X1084" s="64"/>
      <c r="Y1084" s="70"/>
      <c r="Z1084" s="70"/>
      <c r="AA1084" s="71"/>
      <c r="AB1084" s="70"/>
      <c r="AC1084" s="70"/>
      <c r="AD1084" s="64"/>
      <c r="AE1084" s="70"/>
      <c r="AF1084" s="70"/>
      <c r="AG1084" s="70"/>
      <c r="AH1084" s="70"/>
    </row>
    <row r="1085" spans="4:34" x14ac:dyDescent="0.2">
      <c r="D1085" s="53"/>
      <c r="E1085" s="70"/>
      <c r="F1085" s="70"/>
      <c r="G1085" s="70"/>
      <c r="H1085" s="70"/>
      <c r="I1085" s="70"/>
      <c r="J1085" s="70"/>
      <c r="K1085" s="70"/>
      <c r="L1085" s="70"/>
      <c r="M1085" s="70"/>
      <c r="N1085" s="70"/>
      <c r="O1085" s="70"/>
      <c r="P1085" s="70"/>
      <c r="Q1085" s="70"/>
      <c r="R1085" s="70"/>
      <c r="S1085" s="70"/>
      <c r="T1085" s="70"/>
      <c r="U1085" s="64"/>
      <c r="V1085" s="64"/>
      <c r="W1085" s="70"/>
      <c r="X1085" s="64"/>
      <c r="Y1085" s="70"/>
      <c r="Z1085" s="70"/>
      <c r="AA1085" s="71"/>
      <c r="AB1085" s="70"/>
      <c r="AC1085" s="70"/>
      <c r="AD1085" s="64"/>
      <c r="AE1085" s="70"/>
      <c r="AF1085" s="70"/>
      <c r="AG1085" s="70"/>
      <c r="AH1085" s="70"/>
    </row>
    <row r="1086" spans="4:34" x14ac:dyDescent="0.2">
      <c r="D1086" s="53"/>
      <c r="E1086" s="70"/>
      <c r="F1086" s="70"/>
      <c r="G1086" s="70"/>
      <c r="H1086" s="70"/>
      <c r="I1086" s="70"/>
      <c r="J1086" s="70"/>
      <c r="K1086" s="70"/>
      <c r="L1086" s="70"/>
      <c r="M1086" s="70"/>
      <c r="N1086" s="70"/>
      <c r="O1086" s="70"/>
      <c r="P1086" s="70"/>
      <c r="Q1086" s="70"/>
      <c r="R1086" s="70"/>
      <c r="S1086" s="70"/>
      <c r="T1086" s="70"/>
      <c r="U1086" s="64"/>
      <c r="V1086" s="64"/>
      <c r="W1086" s="70"/>
      <c r="X1086" s="64"/>
      <c r="Y1086" s="70"/>
      <c r="Z1086" s="70"/>
      <c r="AA1086" s="71"/>
      <c r="AB1086" s="70"/>
      <c r="AC1086" s="70"/>
      <c r="AD1086" s="64"/>
      <c r="AE1086" s="70"/>
      <c r="AF1086" s="70"/>
      <c r="AG1086" s="70"/>
      <c r="AH1086" s="70"/>
    </row>
    <row r="1087" spans="4:34" x14ac:dyDescent="0.2">
      <c r="D1087" s="53"/>
      <c r="E1087" s="70"/>
      <c r="F1087" s="70"/>
      <c r="G1087" s="70"/>
      <c r="H1087" s="70"/>
      <c r="I1087" s="70"/>
      <c r="J1087" s="70"/>
      <c r="K1087" s="70"/>
      <c r="L1087" s="70"/>
      <c r="M1087" s="70"/>
      <c r="N1087" s="70"/>
      <c r="O1087" s="70"/>
      <c r="P1087" s="70"/>
      <c r="Q1087" s="70"/>
      <c r="R1087" s="70"/>
      <c r="S1087" s="70"/>
      <c r="T1087" s="70"/>
      <c r="U1087" s="64"/>
      <c r="V1087" s="64"/>
      <c r="W1087" s="70"/>
      <c r="X1087" s="64"/>
      <c r="Y1087" s="70"/>
      <c r="Z1087" s="70"/>
      <c r="AA1087" s="71"/>
      <c r="AB1087" s="70"/>
      <c r="AC1087" s="70"/>
      <c r="AD1087" s="64"/>
      <c r="AE1087" s="70"/>
      <c r="AF1087" s="70"/>
      <c r="AG1087" s="70"/>
      <c r="AH1087" s="70"/>
    </row>
    <row r="1088" spans="4:34" x14ac:dyDescent="0.2">
      <c r="D1088" s="53"/>
      <c r="E1088" s="70"/>
      <c r="F1088" s="70"/>
      <c r="G1088" s="70"/>
      <c r="H1088" s="70"/>
      <c r="I1088" s="70"/>
      <c r="J1088" s="70"/>
      <c r="K1088" s="70"/>
      <c r="L1088" s="70"/>
      <c r="M1088" s="70"/>
      <c r="N1088" s="70"/>
      <c r="O1088" s="70"/>
      <c r="P1088" s="70"/>
      <c r="Q1088" s="70"/>
      <c r="R1088" s="70"/>
      <c r="S1088" s="70"/>
      <c r="T1088" s="70"/>
      <c r="U1088" s="64"/>
      <c r="V1088" s="64"/>
      <c r="W1088" s="70"/>
      <c r="X1088" s="64"/>
      <c r="Y1088" s="70"/>
      <c r="Z1088" s="70"/>
      <c r="AA1088" s="71"/>
      <c r="AB1088" s="70"/>
      <c r="AC1088" s="70"/>
      <c r="AD1088" s="64"/>
      <c r="AE1088" s="70"/>
      <c r="AF1088" s="70"/>
      <c r="AG1088" s="70"/>
      <c r="AH1088" s="70"/>
    </row>
    <row r="1089" spans="4:34" x14ac:dyDescent="0.2">
      <c r="D1089" s="53"/>
      <c r="E1089" s="70"/>
      <c r="F1089" s="70"/>
      <c r="G1089" s="70"/>
      <c r="H1089" s="70"/>
      <c r="I1089" s="70"/>
      <c r="J1089" s="70"/>
      <c r="K1089" s="70"/>
      <c r="L1089" s="70"/>
      <c r="M1089" s="70"/>
      <c r="N1089" s="70"/>
      <c r="O1089" s="70"/>
      <c r="P1089" s="70"/>
      <c r="Q1089" s="70"/>
      <c r="R1089" s="70"/>
      <c r="S1089" s="70"/>
      <c r="T1089" s="70"/>
      <c r="U1089" s="64"/>
      <c r="V1089" s="64"/>
      <c r="W1089" s="70"/>
      <c r="X1089" s="64"/>
      <c r="Y1089" s="70"/>
      <c r="Z1089" s="70"/>
      <c r="AA1089" s="71"/>
      <c r="AB1089" s="70"/>
      <c r="AC1089" s="70"/>
      <c r="AD1089" s="64"/>
      <c r="AE1089" s="70"/>
      <c r="AF1089" s="70"/>
      <c r="AG1089" s="70"/>
      <c r="AH1089" s="70"/>
    </row>
    <row r="1090" spans="4:34" x14ac:dyDescent="0.2">
      <c r="D1090" s="53"/>
      <c r="E1090" s="70"/>
      <c r="F1090" s="70"/>
      <c r="G1090" s="70"/>
      <c r="H1090" s="70"/>
      <c r="I1090" s="70"/>
      <c r="J1090" s="70"/>
      <c r="K1090" s="70"/>
      <c r="L1090" s="70"/>
      <c r="M1090" s="70"/>
      <c r="N1090" s="70"/>
      <c r="O1090" s="70"/>
      <c r="P1090" s="70"/>
      <c r="Q1090" s="70"/>
      <c r="R1090" s="70"/>
      <c r="S1090" s="70"/>
      <c r="T1090" s="70"/>
      <c r="U1090" s="64"/>
      <c r="V1090" s="64"/>
      <c r="W1090" s="70"/>
      <c r="X1090" s="64"/>
      <c r="Y1090" s="70"/>
      <c r="Z1090" s="70"/>
      <c r="AA1090" s="71"/>
      <c r="AB1090" s="70"/>
      <c r="AC1090" s="70"/>
      <c r="AD1090" s="64"/>
      <c r="AE1090" s="70"/>
      <c r="AF1090" s="70"/>
      <c r="AG1090" s="70"/>
      <c r="AH1090" s="70"/>
    </row>
    <row r="1091" spans="4:34" x14ac:dyDescent="0.2">
      <c r="D1091" s="53"/>
      <c r="E1091" s="70"/>
      <c r="F1091" s="70"/>
      <c r="G1091" s="70"/>
      <c r="H1091" s="70"/>
      <c r="I1091" s="70"/>
      <c r="J1091" s="70"/>
      <c r="K1091" s="70"/>
      <c r="L1091" s="70"/>
      <c r="M1091" s="70"/>
      <c r="N1091" s="70"/>
      <c r="O1091" s="70"/>
      <c r="P1091" s="70"/>
      <c r="Q1091" s="70"/>
      <c r="R1091" s="70"/>
      <c r="S1091" s="70"/>
      <c r="T1091" s="70"/>
      <c r="U1091" s="64"/>
      <c r="V1091" s="64"/>
      <c r="W1091" s="70"/>
      <c r="X1091" s="64"/>
      <c r="Y1091" s="70"/>
      <c r="Z1091" s="70"/>
      <c r="AA1091" s="71"/>
      <c r="AB1091" s="70"/>
      <c r="AC1091" s="70"/>
      <c r="AD1091" s="64"/>
      <c r="AE1091" s="70"/>
      <c r="AF1091" s="70"/>
      <c r="AG1091" s="70"/>
      <c r="AH1091" s="70"/>
    </row>
    <row r="1092" spans="4:34" x14ac:dyDescent="0.2">
      <c r="D1092" s="53"/>
      <c r="E1092" s="70"/>
      <c r="F1092" s="70"/>
      <c r="G1092" s="70"/>
      <c r="H1092" s="70"/>
      <c r="I1092" s="70"/>
      <c r="J1092" s="70"/>
      <c r="K1092" s="70"/>
      <c r="L1092" s="70"/>
      <c r="M1092" s="70"/>
      <c r="N1092" s="70"/>
      <c r="O1092" s="70"/>
      <c r="P1092" s="70"/>
      <c r="Q1092" s="70"/>
      <c r="R1092" s="70"/>
      <c r="S1092" s="70"/>
      <c r="T1092" s="70"/>
      <c r="U1092" s="64"/>
      <c r="V1092" s="64"/>
      <c r="W1092" s="70"/>
      <c r="X1092" s="64"/>
      <c r="Y1092" s="70"/>
      <c r="Z1092" s="70"/>
      <c r="AA1092" s="71"/>
      <c r="AB1092" s="70"/>
      <c r="AC1092" s="70"/>
      <c r="AD1092" s="64"/>
      <c r="AE1092" s="70"/>
      <c r="AF1092" s="70"/>
      <c r="AG1092" s="70"/>
      <c r="AH1092" s="70"/>
    </row>
    <row r="1093" spans="4:34" x14ac:dyDescent="0.2">
      <c r="D1093" s="53"/>
      <c r="E1093" s="70"/>
      <c r="F1093" s="70"/>
      <c r="G1093" s="70"/>
      <c r="H1093" s="70"/>
      <c r="I1093" s="70"/>
      <c r="J1093" s="70"/>
      <c r="K1093" s="70"/>
      <c r="L1093" s="70"/>
      <c r="M1093" s="70"/>
      <c r="N1093" s="70"/>
      <c r="O1093" s="70"/>
      <c r="P1093" s="70"/>
      <c r="Q1093" s="70"/>
      <c r="R1093" s="70"/>
      <c r="S1093" s="70"/>
      <c r="T1093" s="70"/>
      <c r="U1093" s="64"/>
      <c r="V1093" s="64"/>
      <c r="W1093" s="70"/>
      <c r="X1093" s="64"/>
      <c r="Y1093" s="70"/>
      <c r="Z1093" s="70"/>
      <c r="AA1093" s="71"/>
      <c r="AB1093" s="70"/>
      <c r="AC1093" s="70"/>
      <c r="AD1093" s="64"/>
      <c r="AE1093" s="70"/>
      <c r="AF1093" s="70"/>
      <c r="AG1093" s="70"/>
      <c r="AH1093" s="70"/>
    </row>
    <row r="1094" spans="4:34" x14ac:dyDescent="0.2">
      <c r="D1094" s="53"/>
      <c r="E1094" s="70"/>
      <c r="F1094" s="70"/>
      <c r="G1094" s="70"/>
      <c r="H1094" s="70"/>
      <c r="I1094" s="70"/>
      <c r="J1094" s="70"/>
      <c r="K1094" s="70"/>
      <c r="L1094" s="70"/>
      <c r="M1094" s="70"/>
      <c r="N1094" s="70"/>
      <c r="O1094" s="70"/>
      <c r="P1094" s="70"/>
      <c r="Q1094" s="70"/>
      <c r="R1094" s="70"/>
      <c r="S1094" s="70"/>
      <c r="T1094" s="70"/>
      <c r="U1094" s="64"/>
      <c r="V1094" s="64"/>
      <c r="W1094" s="70"/>
      <c r="X1094" s="64"/>
      <c r="Y1094" s="70"/>
      <c r="Z1094" s="70"/>
      <c r="AA1094" s="71"/>
      <c r="AB1094" s="70"/>
      <c r="AC1094" s="70"/>
      <c r="AD1094" s="64"/>
      <c r="AE1094" s="70"/>
      <c r="AF1094" s="70"/>
      <c r="AG1094" s="70"/>
      <c r="AH1094" s="70"/>
    </row>
    <row r="1095" spans="4:34" x14ac:dyDescent="0.2">
      <c r="D1095" s="53"/>
      <c r="E1095" s="70"/>
      <c r="F1095" s="70"/>
      <c r="G1095" s="70"/>
      <c r="H1095" s="70"/>
      <c r="I1095" s="70"/>
      <c r="J1095" s="70"/>
      <c r="K1095" s="70"/>
      <c r="L1095" s="70"/>
      <c r="M1095" s="70"/>
      <c r="N1095" s="70"/>
      <c r="O1095" s="70"/>
      <c r="P1095" s="70"/>
      <c r="Q1095" s="70"/>
      <c r="R1095" s="70"/>
      <c r="S1095" s="70"/>
      <c r="T1095" s="70"/>
      <c r="U1095" s="64"/>
      <c r="V1095" s="64"/>
      <c r="W1095" s="70"/>
      <c r="X1095" s="64"/>
      <c r="Y1095" s="70"/>
      <c r="Z1095" s="70"/>
      <c r="AA1095" s="71"/>
      <c r="AB1095" s="70"/>
      <c r="AC1095" s="70"/>
      <c r="AD1095" s="64"/>
      <c r="AE1095" s="70"/>
      <c r="AF1095" s="70"/>
      <c r="AG1095" s="70"/>
      <c r="AH1095" s="70"/>
    </row>
    <row r="1096" spans="4:34" x14ac:dyDescent="0.2">
      <c r="D1096" s="53"/>
      <c r="E1096" s="70"/>
      <c r="F1096" s="70"/>
      <c r="G1096" s="70"/>
      <c r="H1096" s="70"/>
      <c r="I1096" s="70"/>
      <c r="J1096" s="70"/>
      <c r="K1096" s="70"/>
      <c r="L1096" s="70"/>
      <c r="M1096" s="70"/>
      <c r="N1096" s="70"/>
      <c r="O1096" s="70"/>
      <c r="P1096" s="70"/>
      <c r="Q1096" s="70"/>
      <c r="R1096" s="70"/>
      <c r="S1096" s="70"/>
      <c r="T1096" s="70"/>
      <c r="U1096" s="64"/>
      <c r="V1096" s="64"/>
      <c r="W1096" s="70"/>
      <c r="X1096" s="64"/>
      <c r="Y1096" s="70"/>
      <c r="Z1096" s="70"/>
      <c r="AA1096" s="71"/>
      <c r="AB1096" s="70"/>
      <c r="AC1096" s="70"/>
      <c r="AD1096" s="64"/>
      <c r="AE1096" s="70"/>
      <c r="AF1096" s="70"/>
      <c r="AG1096" s="70"/>
      <c r="AH1096" s="70"/>
    </row>
    <row r="1097" spans="4:34" x14ac:dyDescent="0.2">
      <c r="D1097" s="53"/>
      <c r="E1097" s="70"/>
      <c r="F1097" s="70"/>
      <c r="G1097" s="70"/>
      <c r="H1097" s="70"/>
      <c r="I1097" s="70"/>
      <c r="J1097" s="70"/>
      <c r="K1097" s="70"/>
      <c r="L1097" s="70"/>
      <c r="M1097" s="70"/>
      <c r="N1097" s="70"/>
      <c r="O1097" s="70"/>
      <c r="P1097" s="70"/>
      <c r="Q1097" s="70"/>
      <c r="R1097" s="70"/>
      <c r="S1097" s="70"/>
      <c r="T1097" s="70"/>
      <c r="U1097" s="64"/>
      <c r="V1097" s="64"/>
      <c r="W1097" s="70"/>
      <c r="X1097" s="64"/>
      <c r="Y1097" s="70"/>
      <c r="Z1097" s="70"/>
      <c r="AA1097" s="71"/>
      <c r="AB1097" s="70"/>
      <c r="AC1097" s="70"/>
      <c r="AD1097" s="64"/>
      <c r="AE1097" s="70"/>
      <c r="AF1097" s="70"/>
      <c r="AG1097" s="70"/>
      <c r="AH1097" s="70"/>
    </row>
    <row r="1098" spans="4:34" x14ac:dyDescent="0.2">
      <c r="D1098" s="53"/>
      <c r="E1098" s="70"/>
      <c r="F1098" s="70"/>
      <c r="G1098" s="70"/>
      <c r="H1098" s="70"/>
      <c r="I1098" s="70"/>
      <c r="J1098" s="70"/>
      <c r="K1098" s="70"/>
      <c r="L1098" s="70"/>
      <c r="M1098" s="70"/>
      <c r="N1098" s="70"/>
      <c r="O1098" s="70"/>
      <c r="P1098" s="70"/>
      <c r="Q1098" s="70"/>
      <c r="R1098" s="70"/>
      <c r="S1098" s="70"/>
      <c r="T1098" s="70"/>
      <c r="U1098" s="64"/>
      <c r="V1098" s="64"/>
      <c r="W1098" s="70"/>
      <c r="X1098" s="64"/>
      <c r="Y1098" s="70"/>
      <c r="Z1098" s="70"/>
      <c r="AA1098" s="71"/>
      <c r="AB1098" s="70"/>
      <c r="AC1098" s="70"/>
      <c r="AD1098" s="64"/>
      <c r="AE1098" s="70"/>
      <c r="AF1098" s="70"/>
      <c r="AG1098" s="70"/>
      <c r="AH1098" s="70"/>
    </row>
    <row r="1099" spans="4:34" x14ac:dyDescent="0.2">
      <c r="D1099" s="53"/>
      <c r="E1099" s="70"/>
      <c r="F1099" s="70"/>
      <c r="G1099" s="70"/>
      <c r="H1099" s="70"/>
      <c r="I1099" s="70"/>
      <c r="J1099" s="70"/>
      <c r="K1099" s="70"/>
      <c r="L1099" s="70"/>
      <c r="M1099" s="70"/>
      <c r="N1099" s="70"/>
      <c r="O1099" s="70"/>
      <c r="P1099" s="70"/>
      <c r="Q1099" s="70"/>
      <c r="R1099" s="70"/>
      <c r="S1099" s="70"/>
      <c r="T1099" s="70"/>
      <c r="U1099" s="64"/>
      <c r="V1099" s="64"/>
      <c r="W1099" s="70"/>
      <c r="X1099" s="64"/>
      <c r="Y1099" s="70"/>
      <c r="Z1099" s="70"/>
      <c r="AA1099" s="71"/>
      <c r="AB1099" s="70"/>
      <c r="AC1099" s="70"/>
      <c r="AD1099" s="64"/>
      <c r="AE1099" s="70"/>
      <c r="AF1099" s="70"/>
      <c r="AG1099" s="70"/>
      <c r="AH1099" s="70"/>
    </row>
    <row r="1100" spans="4:34" x14ac:dyDescent="0.2">
      <c r="D1100" s="53"/>
      <c r="E1100" s="70"/>
      <c r="F1100" s="70"/>
      <c r="G1100" s="70"/>
      <c r="H1100" s="70"/>
      <c r="I1100" s="70"/>
      <c r="J1100" s="70"/>
      <c r="K1100" s="70"/>
      <c r="L1100" s="70"/>
      <c r="M1100" s="70"/>
      <c r="N1100" s="70"/>
      <c r="O1100" s="70"/>
      <c r="P1100" s="70"/>
      <c r="Q1100" s="70"/>
      <c r="R1100" s="70"/>
      <c r="S1100" s="70"/>
      <c r="T1100" s="70"/>
      <c r="U1100" s="64"/>
      <c r="V1100" s="64"/>
      <c r="W1100" s="70"/>
      <c r="X1100" s="64"/>
      <c r="Y1100" s="70"/>
      <c r="Z1100" s="70"/>
      <c r="AA1100" s="71"/>
      <c r="AB1100" s="70"/>
      <c r="AC1100" s="70"/>
      <c r="AD1100" s="64"/>
      <c r="AE1100" s="70"/>
      <c r="AF1100" s="70"/>
      <c r="AG1100" s="70"/>
      <c r="AH1100" s="70"/>
    </row>
    <row r="1101" spans="4:34" x14ac:dyDescent="0.2">
      <c r="D1101" s="53"/>
      <c r="E1101" s="70"/>
      <c r="F1101" s="70"/>
      <c r="G1101" s="70"/>
      <c r="H1101" s="70"/>
      <c r="I1101" s="70"/>
      <c r="J1101" s="70"/>
      <c r="K1101" s="70"/>
      <c r="L1101" s="70"/>
      <c r="M1101" s="70"/>
      <c r="N1101" s="70"/>
      <c r="O1101" s="70"/>
      <c r="P1101" s="70"/>
      <c r="Q1101" s="70"/>
      <c r="R1101" s="70"/>
      <c r="S1101" s="70"/>
      <c r="T1101" s="70"/>
      <c r="U1101" s="64"/>
      <c r="V1101" s="64"/>
      <c r="W1101" s="70"/>
      <c r="X1101" s="64"/>
      <c r="Y1101" s="70"/>
      <c r="Z1101" s="70"/>
      <c r="AA1101" s="71"/>
      <c r="AB1101" s="70"/>
      <c r="AC1101" s="70"/>
      <c r="AD1101" s="64"/>
      <c r="AE1101" s="70"/>
      <c r="AF1101" s="70"/>
      <c r="AG1101" s="70"/>
      <c r="AH1101" s="70"/>
    </row>
    <row r="1102" spans="4:34" x14ac:dyDescent="0.2">
      <c r="D1102" s="53"/>
      <c r="E1102" s="70"/>
      <c r="F1102" s="70"/>
      <c r="G1102" s="70"/>
      <c r="H1102" s="70"/>
      <c r="I1102" s="70"/>
      <c r="J1102" s="70"/>
      <c r="K1102" s="70"/>
      <c r="L1102" s="70"/>
      <c r="M1102" s="70"/>
      <c r="N1102" s="70"/>
      <c r="O1102" s="70"/>
      <c r="P1102" s="70"/>
      <c r="Q1102" s="70"/>
      <c r="R1102" s="70"/>
      <c r="S1102" s="70"/>
      <c r="T1102" s="70"/>
      <c r="U1102" s="64"/>
      <c r="V1102" s="64"/>
      <c r="W1102" s="70"/>
      <c r="X1102" s="64"/>
      <c r="Y1102" s="70"/>
      <c r="Z1102" s="70"/>
      <c r="AA1102" s="71"/>
      <c r="AB1102" s="70"/>
      <c r="AC1102" s="70"/>
      <c r="AD1102" s="64"/>
      <c r="AE1102" s="70"/>
      <c r="AF1102" s="70"/>
      <c r="AG1102" s="70"/>
      <c r="AH1102" s="70"/>
    </row>
    <row r="1103" spans="4:34" x14ac:dyDescent="0.2">
      <c r="D1103" s="53"/>
      <c r="E1103" s="70"/>
      <c r="F1103" s="70"/>
      <c r="G1103" s="70"/>
      <c r="H1103" s="70"/>
      <c r="I1103" s="70"/>
      <c r="J1103" s="70"/>
      <c r="K1103" s="70"/>
      <c r="L1103" s="70"/>
      <c r="M1103" s="70"/>
      <c r="N1103" s="70"/>
      <c r="O1103" s="70"/>
      <c r="P1103" s="70"/>
      <c r="Q1103" s="70"/>
      <c r="R1103" s="70"/>
      <c r="S1103" s="70"/>
      <c r="T1103" s="70"/>
      <c r="U1103" s="64"/>
      <c r="V1103" s="64"/>
      <c r="W1103" s="70"/>
      <c r="X1103" s="64"/>
      <c r="Y1103" s="70"/>
      <c r="Z1103" s="70"/>
      <c r="AA1103" s="71"/>
      <c r="AB1103" s="70"/>
      <c r="AC1103" s="70"/>
      <c r="AD1103" s="64"/>
      <c r="AE1103" s="70"/>
      <c r="AF1103" s="70"/>
      <c r="AG1103" s="70"/>
      <c r="AH1103" s="70"/>
    </row>
    <row r="1104" spans="4:34" x14ac:dyDescent="0.2">
      <c r="D1104" s="53"/>
      <c r="E1104" s="70"/>
      <c r="F1104" s="70"/>
      <c r="G1104" s="70"/>
      <c r="H1104" s="70"/>
      <c r="I1104" s="70"/>
      <c r="J1104" s="70"/>
      <c r="K1104" s="70"/>
      <c r="L1104" s="70"/>
      <c r="M1104" s="70"/>
      <c r="N1104" s="70"/>
      <c r="O1104" s="70"/>
      <c r="P1104" s="70"/>
      <c r="Q1104" s="70"/>
      <c r="R1104" s="70"/>
      <c r="S1104" s="70"/>
      <c r="T1104" s="70"/>
      <c r="U1104" s="64"/>
      <c r="V1104" s="64"/>
      <c r="W1104" s="70"/>
      <c r="X1104" s="64"/>
      <c r="Y1104" s="70"/>
      <c r="Z1104" s="70"/>
      <c r="AA1104" s="71"/>
      <c r="AB1104" s="70"/>
      <c r="AC1104" s="70"/>
      <c r="AD1104" s="64"/>
      <c r="AE1104" s="70"/>
      <c r="AF1104" s="70"/>
      <c r="AG1104" s="70"/>
      <c r="AH1104" s="70"/>
    </row>
    <row r="1105" spans="4:34" x14ac:dyDescent="0.2">
      <c r="D1105" s="53"/>
      <c r="E1105" s="70"/>
      <c r="F1105" s="70"/>
      <c r="G1105" s="70"/>
      <c r="H1105" s="70"/>
      <c r="I1105" s="70"/>
      <c r="J1105" s="70"/>
      <c r="K1105" s="70"/>
      <c r="L1105" s="70"/>
      <c r="M1105" s="70"/>
      <c r="N1105" s="70"/>
      <c r="O1105" s="70"/>
      <c r="P1105" s="70"/>
      <c r="Q1105" s="70"/>
      <c r="R1105" s="70"/>
      <c r="S1105" s="70"/>
      <c r="T1105" s="70"/>
      <c r="U1105" s="64"/>
      <c r="V1105" s="64"/>
      <c r="W1105" s="70"/>
      <c r="X1105" s="64"/>
      <c r="Y1105" s="70"/>
      <c r="Z1105" s="70"/>
      <c r="AA1105" s="71"/>
      <c r="AB1105" s="70"/>
      <c r="AC1105" s="70"/>
      <c r="AD1105" s="64"/>
      <c r="AE1105" s="70"/>
      <c r="AF1105" s="70"/>
      <c r="AG1105" s="70"/>
      <c r="AH1105" s="70"/>
    </row>
    <row r="1106" spans="4:34" x14ac:dyDescent="0.2">
      <c r="D1106" s="53"/>
      <c r="E1106" s="70"/>
      <c r="F1106" s="70"/>
      <c r="G1106" s="70"/>
      <c r="H1106" s="70"/>
      <c r="I1106" s="70"/>
      <c r="J1106" s="70"/>
      <c r="K1106" s="70"/>
      <c r="L1106" s="70"/>
      <c r="M1106" s="70"/>
      <c r="N1106" s="70"/>
      <c r="O1106" s="70"/>
      <c r="P1106" s="70"/>
      <c r="Q1106" s="70"/>
      <c r="R1106" s="70"/>
      <c r="S1106" s="70"/>
      <c r="T1106" s="70"/>
      <c r="U1106" s="64"/>
      <c r="V1106" s="64"/>
      <c r="W1106" s="70"/>
      <c r="X1106" s="64"/>
      <c r="Y1106" s="70"/>
      <c r="Z1106" s="70"/>
      <c r="AA1106" s="71"/>
      <c r="AB1106" s="70"/>
      <c r="AC1106" s="70"/>
      <c r="AD1106" s="64"/>
      <c r="AE1106" s="70"/>
      <c r="AF1106" s="70"/>
      <c r="AG1106" s="70"/>
      <c r="AH1106" s="70"/>
    </row>
    <row r="1107" spans="4:34" x14ac:dyDescent="0.2">
      <c r="D1107" s="53"/>
      <c r="E1107" s="70"/>
      <c r="F1107" s="70"/>
      <c r="G1107" s="70"/>
      <c r="H1107" s="70"/>
      <c r="I1107" s="70"/>
      <c r="J1107" s="70"/>
      <c r="K1107" s="70"/>
      <c r="L1107" s="70"/>
      <c r="M1107" s="70"/>
      <c r="N1107" s="70"/>
      <c r="O1107" s="70"/>
      <c r="P1107" s="70"/>
      <c r="Q1107" s="70"/>
      <c r="R1107" s="70"/>
      <c r="S1107" s="70"/>
      <c r="T1107" s="70"/>
      <c r="U1107" s="64"/>
      <c r="V1107" s="64"/>
      <c r="W1107" s="70"/>
      <c r="X1107" s="64"/>
      <c r="Y1107" s="70"/>
      <c r="Z1107" s="70"/>
      <c r="AA1107" s="71"/>
      <c r="AB1107" s="70"/>
      <c r="AC1107" s="70"/>
      <c r="AD1107" s="64"/>
      <c r="AE1107" s="70"/>
      <c r="AF1107" s="70"/>
      <c r="AG1107" s="70"/>
      <c r="AH1107" s="70"/>
    </row>
    <row r="1108" spans="4:34" x14ac:dyDescent="0.2">
      <c r="D1108" s="53"/>
      <c r="E1108" s="70"/>
      <c r="F1108" s="70"/>
      <c r="G1108" s="70"/>
      <c r="H1108" s="70"/>
      <c r="I1108" s="70"/>
      <c r="J1108" s="70"/>
      <c r="K1108" s="70"/>
      <c r="L1108" s="70"/>
      <c r="M1108" s="70"/>
      <c r="N1108" s="70"/>
      <c r="O1108" s="70"/>
      <c r="P1108" s="70"/>
      <c r="Q1108" s="70"/>
      <c r="R1108" s="70"/>
      <c r="S1108" s="70"/>
      <c r="T1108" s="70"/>
      <c r="U1108" s="64"/>
      <c r="V1108" s="64"/>
      <c r="W1108" s="70"/>
      <c r="X1108" s="64"/>
      <c r="Y1108" s="70"/>
      <c r="Z1108" s="70"/>
      <c r="AA1108" s="71"/>
      <c r="AB1108" s="70"/>
      <c r="AC1108" s="70"/>
      <c r="AD1108" s="64"/>
      <c r="AE1108" s="70"/>
      <c r="AF1108" s="70"/>
      <c r="AG1108" s="70"/>
      <c r="AH1108" s="70"/>
    </row>
    <row r="1109" spans="4:34" x14ac:dyDescent="0.2">
      <c r="D1109" s="53"/>
      <c r="E1109" s="70"/>
      <c r="F1109" s="70"/>
      <c r="G1109" s="70"/>
      <c r="H1109" s="70"/>
      <c r="I1109" s="70"/>
      <c r="J1109" s="70"/>
      <c r="K1109" s="70"/>
      <c r="L1109" s="70"/>
      <c r="M1109" s="70"/>
      <c r="N1109" s="70"/>
      <c r="O1109" s="70"/>
      <c r="P1109" s="70"/>
      <c r="Q1109" s="70"/>
      <c r="R1109" s="70"/>
      <c r="S1109" s="70"/>
      <c r="T1109" s="70"/>
      <c r="U1109" s="64"/>
      <c r="V1109" s="64"/>
      <c r="W1109" s="70"/>
      <c r="X1109" s="64"/>
      <c r="Y1109" s="70"/>
      <c r="Z1109" s="70"/>
      <c r="AA1109" s="71"/>
      <c r="AB1109" s="70"/>
      <c r="AC1109" s="70"/>
      <c r="AD1109" s="64"/>
      <c r="AE1109" s="70"/>
      <c r="AF1109" s="70"/>
      <c r="AG1109" s="70"/>
      <c r="AH1109" s="70"/>
    </row>
    <row r="1110" spans="4:34" x14ac:dyDescent="0.2">
      <c r="D1110" s="53"/>
      <c r="E1110" s="70"/>
      <c r="F1110" s="70"/>
      <c r="G1110" s="70"/>
      <c r="H1110" s="70"/>
      <c r="I1110" s="70"/>
      <c r="J1110" s="70"/>
      <c r="K1110" s="70"/>
      <c r="L1110" s="70"/>
      <c r="M1110" s="70"/>
      <c r="N1110" s="70"/>
      <c r="O1110" s="70"/>
      <c r="P1110" s="70"/>
      <c r="Q1110" s="70"/>
      <c r="R1110" s="70"/>
      <c r="S1110" s="70"/>
      <c r="T1110" s="70"/>
      <c r="U1110" s="64"/>
      <c r="V1110" s="64"/>
      <c r="W1110" s="70"/>
      <c r="X1110" s="64"/>
      <c r="Y1110" s="70"/>
      <c r="Z1110" s="70"/>
      <c r="AA1110" s="71"/>
      <c r="AB1110" s="70"/>
      <c r="AC1110" s="70"/>
      <c r="AD1110" s="64"/>
      <c r="AE1110" s="70"/>
      <c r="AF1110" s="70"/>
      <c r="AG1110" s="70"/>
      <c r="AH1110" s="70"/>
    </row>
    <row r="1111" spans="4:34" x14ac:dyDescent="0.2">
      <c r="D1111" s="53"/>
      <c r="E1111" s="70"/>
      <c r="F1111" s="70"/>
      <c r="G1111" s="70"/>
      <c r="H1111" s="70"/>
      <c r="I1111" s="70"/>
      <c r="J1111" s="70"/>
      <c r="K1111" s="70"/>
      <c r="L1111" s="70"/>
      <c r="M1111" s="70"/>
      <c r="N1111" s="70"/>
      <c r="O1111" s="70"/>
      <c r="P1111" s="70"/>
      <c r="Q1111" s="70"/>
      <c r="R1111" s="70"/>
      <c r="S1111" s="70"/>
      <c r="T1111" s="70"/>
      <c r="U1111" s="64"/>
      <c r="V1111" s="64"/>
      <c r="W1111" s="70"/>
      <c r="X1111" s="64"/>
      <c r="Y1111" s="70"/>
      <c r="Z1111" s="70"/>
      <c r="AA1111" s="71"/>
      <c r="AB1111" s="70"/>
      <c r="AC1111" s="70"/>
      <c r="AD1111" s="64"/>
      <c r="AE1111" s="70"/>
      <c r="AF1111" s="70"/>
      <c r="AG1111" s="70"/>
      <c r="AH1111" s="70"/>
    </row>
    <row r="1112" spans="4:34" x14ac:dyDescent="0.2">
      <c r="D1112" s="53"/>
      <c r="E1112" s="70"/>
      <c r="F1112" s="70"/>
      <c r="G1112" s="70"/>
      <c r="H1112" s="70"/>
      <c r="I1112" s="70"/>
      <c r="J1112" s="70"/>
      <c r="K1112" s="70"/>
      <c r="L1112" s="70"/>
      <c r="M1112" s="70"/>
      <c r="N1112" s="70"/>
      <c r="O1112" s="70"/>
      <c r="P1112" s="70"/>
      <c r="Q1112" s="70"/>
      <c r="R1112" s="70"/>
      <c r="S1112" s="70"/>
      <c r="T1112" s="70"/>
      <c r="U1112" s="64"/>
      <c r="V1112" s="64"/>
      <c r="W1112" s="70"/>
      <c r="X1112" s="64"/>
      <c r="Y1112" s="70"/>
      <c r="Z1112" s="70"/>
      <c r="AA1112" s="71"/>
      <c r="AB1112" s="70"/>
      <c r="AC1112" s="70"/>
      <c r="AD1112" s="64"/>
      <c r="AE1112" s="70"/>
      <c r="AF1112" s="70"/>
      <c r="AG1112" s="70"/>
      <c r="AH1112" s="70"/>
    </row>
    <row r="1113" spans="4:34" x14ac:dyDescent="0.2">
      <c r="D1113" s="53"/>
      <c r="E1113" s="70"/>
      <c r="F1113" s="70"/>
      <c r="G1113" s="70"/>
      <c r="H1113" s="70"/>
      <c r="I1113" s="70"/>
      <c r="J1113" s="70"/>
      <c r="K1113" s="70"/>
      <c r="L1113" s="70"/>
      <c r="M1113" s="70"/>
      <c r="N1113" s="70"/>
      <c r="O1113" s="70"/>
      <c r="P1113" s="70"/>
      <c r="Q1113" s="70"/>
      <c r="R1113" s="70"/>
      <c r="S1113" s="70"/>
      <c r="T1113" s="70"/>
      <c r="U1113" s="64"/>
      <c r="V1113" s="64"/>
      <c r="W1113" s="70"/>
      <c r="X1113" s="64"/>
      <c r="Y1113" s="70"/>
      <c r="Z1113" s="70"/>
      <c r="AA1113" s="71"/>
      <c r="AB1113" s="70"/>
      <c r="AC1113" s="70"/>
      <c r="AD1113" s="64"/>
      <c r="AE1113" s="70"/>
      <c r="AF1113" s="70"/>
      <c r="AG1113" s="70"/>
      <c r="AH1113" s="70"/>
    </row>
    <row r="1114" spans="4:34" x14ac:dyDescent="0.2">
      <c r="D1114" s="53"/>
      <c r="E1114" s="70"/>
      <c r="F1114" s="70"/>
      <c r="G1114" s="70"/>
      <c r="H1114" s="70"/>
      <c r="I1114" s="70"/>
      <c r="J1114" s="70"/>
      <c r="K1114" s="70"/>
      <c r="L1114" s="70"/>
      <c r="M1114" s="70"/>
      <c r="N1114" s="70"/>
      <c r="O1114" s="70"/>
      <c r="P1114" s="70"/>
      <c r="Q1114" s="70"/>
      <c r="R1114" s="70"/>
      <c r="S1114" s="70"/>
      <c r="T1114" s="70"/>
      <c r="U1114" s="64"/>
      <c r="V1114" s="64"/>
      <c r="W1114" s="70"/>
      <c r="X1114" s="64"/>
      <c r="Y1114" s="70"/>
      <c r="Z1114" s="70"/>
      <c r="AA1114" s="71"/>
      <c r="AB1114" s="70"/>
      <c r="AC1114" s="70"/>
      <c r="AD1114" s="64"/>
      <c r="AE1114" s="70"/>
      <c r="AF1114" s="70"/>
      <c r="AG1114" s="70"/>
      <c r="AH1114" s="70"/>
    </row>
    <row r="1115" spans="4:34" x14ac:dyDescent="0.2">
      <c r="D1115" s="53"/>
      <c r="E1115" s="70"/>
      <c r="F1115" s="70"/>
      <c r="G1115" s="70"/>
      <c r="H1115" s="70"/>
      <c r="I1115" s="70"/>
      <c r="J1115" s="70"/>
      <c r="K1115" s="70"/>
      <c r="L1115" s="70"/>
      <c r="M1115" s="70"/>
      <c r="N1115" s="70"/>
      <c r="O1115" s="70"/>
      <c r="P1115" s="70"/>
      <c r="Q1115" s="70"/>
      <c r="R1115" s="70"/>
      <c r="S1115" s="70"/>
      <c r="T1115" s="70"/>
      <c r="U1115" s="64"/>
      <c r="V1115" s="64"/>
      <c r="W1115" s="70"/>
      <c r="X1115" s="64"/>
      <c r="Y1115" s="70"/>
      <c r="Z1115" s="70"/>
      <c r="AA1115" s="71"/>
      <c r="AB1115" s="70"/>
      <c r="AC1115" s="70"/>
      <c r="AD1115" s="64"/>
      <c r="AE1115" s="70"/>
      <c r="AF1115" s="70"/>
      <c r="AG1115" s="70"/>
      <c r="AH1115" s="70"/>
    </row>
    <row r="1116" spans="4:34" x14ac:dyDescent="0.2">
      <c r="D1116" s="53"/>
      <c r="E1116" s="70"/>
      <c r="F1116" s="70"/>
      <c r="G1116" s="70"/>
      <c r="H1116" s="70"/>
      <c r="I1116" s="70"/>
      <c r="J1116" s="70"/>
      <c r="K1116" s="70"/>
      <c r="L1116" s="70"/>
      <c r="M1116" s="70"/>
      <c r="N1116" s="70"/>
      <c r="O1116" s="70"/>
      <c r="P1116" s="70"/>
      <c r="Q1116" s="70"/>
      <c r="R1116" s="70"/>
      <c r="S1116" s="70"/>
      <c r="T1116" s="70"/>
      <c r="U1116" s="64"/>
      <c r="V1116" s="64"/>
      <c r="W1116" s="70"/>
      <c r="X1116" s="64"/>
      <c r="Y1116" s="70"/>
      <c r="Z1116" s="70"/>
      <c r="AA1116" s="71"/>
      <c r="AB1116" s="70"/>
      <c r="AC1116" s="70"/>
      <c r="AD1116" s="64"/>
      <c r="AE1116" s="70"/>
      <c r="AF1116" s="70"/>
      <c r="AG1116" s="70"/>
      <c r="AH1116" s="70"/>
    </row>
    <row r="1117" spans="4:34" x14ac:dyDescent="0.2">
      <c r="D1117" s="53"/>
      <c r="E1117" s="70"/>
      <c r="F1117" s="70"/>
      <c r="G1117" s="70"/>
      <c r="H1117" s="70"/>
      <c r="I1117" s="70"/>
      <c r="J1117" s="70"/>
      <c r="K1117" s="70"/>
      <c r="L1117" s="70"/>
      <c r="M1117" s="70"/>
      <c r="N1117" s="70"/>
      <c r="O1117" s="70"/>
      <c r="P1117" s="70"/>
      <c r="Q1117" s="70"/>
      <c r="R1117" s="70"/>
      <c r="S1117" s="70"/>
      <c r="T1117" s="70"/>
      <c r="U1117" s="64"/>
      <c r="V1117" s="64"/>
      <c r="W1117" s="70"/>
      <c r="X1117" s="64"/>
      <c r="Y1117" s="70"/>
      <c r="Z1117" s="70"/>
      <c r="AA1117" s="71"/>
      <c r="AB1117" s="70"/>
      <c r="AC1117" s="70"/>
      <c r="AD1117" s="64"/>
      <c r="AE1117" s="70"/>
      <c r="AF1117" s="70"/>
      <c r="AG1117" s="70"/>
      <c r="AH1117" s="70"/>
    </row>
    <row r="1118" spans="4:34" x14ac:dyDescent="0.2">
      <c r="D1118" s="53"/>
      <c r="E1118" s="70"/>
      <c r="F1118" s="70"/>
      <c r="G1118" s="70"/>
      <c r="H1118" s="70"/>
      <c r="I1118" s="70"/>
      <c r="J1118" s="70"/>
      <c r="K1118" s="70"/>
      <c r="L1118" s="70"/>
      <c r="M1118" s="70"/>
      <c r="N1118" s="70"/>
      <c r="O1118" s="70"/>
      <c r="P1118" s="70"/>
      <c r="Q1118" s="70"/>
      <c r="R1118" s="70"/>
      <c r="S1118" s="70"/>
      <c r="T1118" s="70"/>
      <c r="U1118" s="64"/>
      <c r="V1118" s="64"/>
      <c r="W1118" s="70"/>
      <c r="X1118" s="64"/>
      <c r="Y1118" s="70"/>
      <c r="Z1118" s="70"/>
      <c r="AA1118" s="71"/>
      <c r="AB1118" s="70"/>
      <c r="AC1118" s="70"/>
      <c r="AD1118" s="64"/>
      <c r="AE1118" s="70"/>
      <c r="AF1118" s="70"/>
      <c r="AG1118" s="70"/>
      <c r="AH1118" s="70"/>
    </row>
    <row r="1119" spans="4:34" x14ac:dyDescent="0.2">
      <c r="D1119" s="53"/>
      <c r="E1119" s="70"/>
      <c r="F1119" s="70"/>
      <c r="G1119" s="70"/>
      <c r="H1119" s="70"/>
      <c r="I1119" s="70"/>
      <c r="J1119" s="70"/>
      <c r="K1119" s="70"/>
      <c r="L1119" s="70"/>
      <c r="M1119" s="70"/>
      <c r="N1119" s="70"/>
      <c r="O1119" s="70"/>
      <c r="P1119" s="70"/>
      <c r="Q1119" s="70"/>
      <c r="R1119" s="70"/>
      <c r="S1119" s="70"/>
      <c r="T1119" s="70"/>
      <c r="U1119" s="64"/>
      <c r="V1119" s="64"/>
      <c r="W1119" s="70"/>
      <c r="X1119" s="64"/>
      <c r="Y1119" s="70"/>
      <c r="Z1119" s="70"/>
      <c r="AA1119" s="71"/>
      <c r="AB1119" s="70"/>
      <c r="AC1119" s="70"/>
      <c r="AD1119" s="64"/>
      <c r="AE1119" s="70"/>
      <c r="AF1119" s="70"/>
      <c r="AG1119" s="70"/>
      <c r="AH1119" s="70"/>
    </row>
    <row r="1120" spans="4:34" x14ac:dyDescent="0.2">
      <c r="D1120" s="53"/>
      <c r="E1120" s="70"/>
      <c r="F1120" s="70"/>
      <c r="G1120" s="70"/>
      <c r="H1120" s="70"/>
      <c r="I1120" s="70"/>
      <c r="J1120" s="70"/>
      <c r="K1120" s="70"/>
      <c r="L1120" s="70"/>
      <c r="M1120" s="70"/>
      <c r="N1120" s="70"/>
      <c r="O1120" s="70"/>
      <c r="P1120" s="70"/>
      <c r="Q1120" s="70"/>
      <c r="R1120" s="70"/>
      <c r="S1120" s="70"/>
      <c r="T1120" s="70"/>
      <c r="U1120" s="64"/>
      <c r="V1120" s="64"/>
      <c r="W1120" s="70"/>
      <c r="X1120" s="64"/>
      <c r="Y1120" s="70"/>
      <c r="Z1120" s="70"/>
      <c r="AA1120" s="71"/>
      <c r="AB1120" s="70"/>
      <c r="AC1120" s="70"/>
      <c r="AD1120" s="64"/>
      <c r="AE1120" s="70"/>
      <c r="AF1120" s="70"/>
      <c r="AG1120" s="70"/>
      <c r="AH1120" s="70"/>
    </row>
    <row r="1121" spans="4:34" x14ac:dyDescent="0.2">
      <c r="D1121" s="53"/>
      <c r="E1121" s="70"/>
      <c r="F1121" s="70"/>
      <c r="G1121" s="70"/>
      <c r="H1121" s="70"/>
      <c r="I1121" s="70"/>
      <c r="J1121" s="70"/>
      <c r="K1121" s="70"/>
      <c r="L1121" s="70"/>
      <c r="M1121" s="70"/>
      <c r="N1121" s="70"/>
      <c r="O1121" s="70"/>
      <c r="P1121" s="70"/>
      <c r="Q1121" s="70"/>
      <c r="R1121" s="70"/>
      <c r="S1121" s="70"/>
      <c r="T1121" s="70"/>
      <c r="U1121" s="64"/>
      <c r="V1121" s="64"/>
      <c r="W1121" s="70"/>
      <c r="X1121" s="64"/>
      <c r="Y1121" s="70"/>
      <c r="Z1121" s="70"/>
      <c r="AA1121" s="71"/>
      <c r="AB1121" s="70"/>
      <c r="AC1121" s="70"/>
      <c r="AD1121" s="64"/>
      <c r="AE1121" s="70"/>
      <c r="AF1121" s="70"/>
      <c r="AG1121" s="70"/>
      <c r="AH1121" s="70"/>
    </row>
    <row r="1122" spans="4:34" x14ac:dyDescent="0.2">
      <c r="D1122" s="53"/>
      <c r="E1122" s="70"/>
      <c r="F1122" s="70"/>
      <c r="G1122" s="70"/>
      <c r="H1122" s="70"/>
      <c r="I1122" s="70"/>
      <c r="J1122" s="70"/>
      <c r="K1122" s="70"/>
      <c r="L1122" s="70"/>
      <c r="M1122" s="70"/>
      <c r="N1122" s="70"/>
      <c r="O1122" s="70"/>
      <c r="P1122" s="70"/>
      <c r="Q1122" s="70"/>
      <c r="R1122" s="70"/>
      <c r="S1122" s="70"/>
      <c r="T1122" s="70"/>
      <c r="U1122" s="64"/>
      <c r="V1122" s="64"/>
      <c r="W1122" s="70"/>
      <c r="X1122" s="64"/>
      <c r="Y1122" s="70"/>
      <c r="Z1122" s="70"/>
      <c r="AA1122" s="71"/>
      <c r="AB1122" s="70"/>
      <c r="AC1122" s="70"/>
      <c r="AD1122" s="64"/>
      <c r="AE1122" s="70"/>
      <c r="AF1122" s="70"/>
      <c r="AG1122" s="70"/>
      <c r="AH1122" s="70"/>
    </row>
    <row r="1123" spans="4:34" x14ac:dyDescent="0.2">
      <c r="D1123" s="53"/>
      <c r="E1123" s="70"/>
      <c r="F1123" s="70"/>
      <c r="G1123" s="70"/>
      <c r="H1123" s="70"/>
      <c r="I1123" s="70"/>
      <c r="J1123" s="70"/>
      <c r="K1123" s="70"/>
      <c r="L1123" s="70"/>
      <c r="M1123" s="70"/>
      <c r="N1123" s="70"/>
      <c r="O1123" s="70"/>
      <c r="P1123" s="70"/>
      <c r="Q1123" s="70"/>
      <c r="R1123" s="70"/>
      <c r="S1123" s="70"/>
      <c r="T1123" s="70"/>
      <c r="U1123" s="64"/>
      <c r="V1123" s="64"/>
      <c r="W1123" s="70"/>
      <c r="X1123" s="64"/>
      <c r="Y1123" s="70"/>
      <c r="Z1123" s="70"/>
      <c r="AA1123" s="71"/>
      <c r="AB1123" s="70"/>
      <c r="AC1123" s="70"/>
      <c r="AD1123" s="64"/>
      <c r="AE1123" s="70"/>
      <c r="AF1123" s="70"/>
      <c r="AG1123" s="70"/>
      <c r="AH1123" s="70"/>
    </row>
    <row r="1124" spans="4:34" x14ac:dyDescent="0.2">
      <c r="D1124" s="53"/>
      <c r="E1124" s="70"/>
      <c r="F1124" s="70"/>
      <c r="G1124" s="70"/>
      <c r="H1124" s="70"/>
      <c r="I1124" s="70"/>
      <c r="J1124" s="70"/>
      <c r="K1124" s="70"/>
      <c r="L1124" s="70"/>
      <c r="M1124" s="70"/>
      <c r="N1124" s="70"/>
      <c r="O1124" s="70"/>
      <c r="P1124" s="70"/>
      <c r="Q1124" s="70"/>
      <c r="R1124" s="70"/>
      <c r="S1124" s="70"/>
      <c r="T1124" s="70"/>
      <c r="U1124" s="64"/>
      <c r="V1124" s="64"/>
      <c r="W1124" s="70"/>
      <c r="X1124" s="64"/>
      <c r="Y1124" s="70"/>
      <c r="Z1124" s="70"/>
      <c r="AA1124" s="71"/>
      <c r="AB1124" s="70"/>
      <c r="AC1124" s="70"/>
      <c r="AD1124" s="64"/>
      <c r="AE1124" s="70"/>
      <c r="AF1124" s="70"/>
      <c r="AG1124" s="70"/>
      <c r="AH1124" s="70"/>
    </row>
    <row r="1125" spans="4:34" x14ac:dyDescent="0.2">
      <c r="D1125" s="53"/>
      <c r="E1125" s="70"/>
      <c r="F1125" s="70"/>
      <c r="G1125" s="70"/>
      <c r="H1125" s="70"/>
      <c r="I1125" s="70"/>
      <c r="J1125" s="70"/>
      <c r="K1125" s="70"/>
      <c r="L1125" s="70"/>
      <c r="M1125" s="70"/>
      <c r="N1125" s="70"/>
      <c r="O1125" s="70"/>
      <c r="P1125" s="70"/>
      <c r="Q1125" s="70"/>
      <c r="R1125" s="70"/>
      <c r="S1125" s="70"/>
      <c r="T1125" s="70"/>
      <c r="U1125" s="64"/>
      <c r="V1125" s="64"/>
      <c r="W1125" s="70"/>
      <c r="X1125" s="64"/>
      <c r="Y1125" s="70"/>
      <c r="Z1125" s="70"/>
      <c r="AA1125" s="71"/>
      <c r="AB1125" s="70"/>
      <c r="AC1125" s="70"/>
      <c r="AD1125" s="64"/>
      <c r="AE1125" s="70"/>
      <c r="AF1125" s="70"/>
      <c r="AG1125" s="70"/>
      <c r="AH1125" s="70"/>
    </row>
    <row r="1126" spans="4:34" x14ac:dyDescent="0.2">
      <c r="D1126" s="53"/>
      <c r="E1126" s="70"/>
      <c r="F1126" s="70"/>
      <c r="G1126" s="70"/>
      <c r="H1126" s="70"/>
      <c r="I1126" s="70"/>
      <c r="J1126" s="70"/>
      <c r="K1126" s="70"/>
      <c r="L1126" s="70"/>
      <c r="M1126" s="70"/>
      <c r="N1126" s="70"/>
      <c r="O1126" s="70"/>
      <c r="P1126" s="70"/>
      <c r="Q1126" s="70"/>
      <c r="R1126" s="70"/>
      <c r="S1126" s="70"/>
      <c r="T1126" s="70"/>
      <c r="U1126" s="64"/>
      <c r="V1126" s="64"/>
      <c r="W1126" s="70"/>
      <c r="X1126" s="64"/>
      <c r="Y1126" s="70"/>
      <c r="Z1126" s="70"/>
      <c r="AA1126" s="71"/>
      <c r="AB1126" s="70"/>
      <c r="AC1126" s="70"/>
      <c r="AD1126" s="64"/>
      <c r="AE1126" s="70"/>
      <c r="AF1126" s="70"/>
      <c r="AG1126" s="70"/>
      <c r="AH1126" s="70"/>
    </row>
    <row r="1127" spans="4:34" x14ac:dyDescent="0.2">
      <c r="D1127" s="53"/>
      <c r="E1127" s="70"/>
      <c r="F1127" s="70"/>
      <c r="G1127" s="70"/>
      <c r="H1127" s="70"/>
      <c r="I1127" s="70"/>
      <c r="J1127" s="70"/>
      <c r="K1127" s="70"/>
      <c r="L1127" s="70"/>
      <c r="M1127" s="70"/>
      <c r="N1127" s="70"/>
      <c r="O1127" s="70"/>
      <c r="P1127" s="70"/>
      <c r="Q1127" s="70"/>
      <c r="R1127" s="70"/>
      <c r="S1127" s="70"/>
      <c r="T1127" s="70"/>
      <c r="U1127" s="64"/>
      <c r="V1127" s="64"/>
      <c r="W1127" s="70"/>
      <c r="X1127" s="64"/>
      <c r="Y1127" s="70"/>
      <c r="Z1127" s="70"/>
      <c r="AA1127" s="71"/>
      <c r="AB1127" s="70"/>
      <c r="AC1127" s="70"/>
      <c r="AD1127" s="64"/>
      <c r="AE1127" s="70"/>
      <c r="AF1127" s="70"/>
      <c r="AG1127" s="70"/>
      <c r="AH1127" s="70"/>
    </row>
    <row r="1128" spans="4:34" x14ac:dyDescent="0.2">
      <c r="D1128" s="53"/>
      <c r="E1128" s="70"/>
      <c r="F1128" s="70"/>
      <c r="G1128" s="70"/>
      <c r="H1128" s="70"/>
      <c r="I1128" s="70"/>
      <c r="J1128" s="70"/>
      <c r="K1128" s="70"/>
      <c r="L1128" s="70"/>
      <c r="M1128" s="70"/>
      <c r="N1128" s="70"/>
      <c r="O1128" s="70"/>
      <c r="P1128" s="70"/>
      <c r="Q1128" s="70"/>
      <c r="R1128" s="70"/>
      <c r="S1128" s="70"/>
      <c r="T1128" s="70"/>
      <c r="U1128" s="64"/>
      <c r="V1128" s="64"/>
      <c r="W1128" s="70"/>
      <c r="X1128" s="64"/>
      <c r="Y1128" s="70"/>
      <c r="Z1128" s="70"/>
      <c r="AA1128" s="71"/>
      <c r="AB1128" s="70"/>
      <c r="AC1128" s="70"/>
      <c r="AD1128" s="64"/>
      <c r="AE1128" s="70"/>
      <c r="AF1128" s="70"/>
      <c r="AG1128" s="70"/>
      <c r="AH1128" s="70"/>
    </row>
    <row r="1129" spans="4:34" x14ac:dyDescent="0.2">
      <c r="D1129" s="53"/>
      <c r="E1129" s="70"/>
      <c r="F1129" s="70"/>
      <c r="G1129" s="70"/>
      <c r="H1129" s="70"/>
      <c r="I1129" s="70"/>
      <c r="J1129" s="70"/>
      <c r="K1129" s="70"/>
      <c r="L1129" s="70"/>
      <c r="M1129" s="70"/>
      <c r="N1129" s="70"/>
      <c r="O1129" s="70"/>
      <c r="P1129" s="70"/>
      <c r="Q1129" s="70"/>
      <c r="R1129" s="70"/>
      <c r="S1129" s="70"/>
      <c r="T1129" s="70"/>
      <c r="U1129" s="64"/>
      <c r="V1129" s="64"/>
      <c r="W1129" s="70"/>
      <c r="X1129" s="64"/>
      <c r="Y1129" s="70"/>
      <c r="Z1129" s="70"/>
      <c r="AA1129" s="71"/>
      <c r="AB1129" s="70"/>
      <c r="AC1129" s="70"/>
      <c r="AD1129" s="64"/>
      <c r="AE1129" s="70"/>
      <c r="AF1129" s="70"/>
      <c r="AG1129" s="70"/>
      <c r="AH1129" s="70"/>
    </row>
    <row r="1130" spans="4:34" x14ac:dyDescent="0.2">
      <c r="D1130" s="53"/>
      <c r="E1130" s="70"/>
      <c r="F1130" s="70"/>
      <c r="G1130" s="70"/>
      <c r="H1130" s="70"/>
      <c r="I1130" s="70"/>
      <c r="J1130" s="70"/>
      <c r="K1130" s="70"/>
      <c r="L1130" s="70"/>
      <c r="M1130" s="70"/>
      <c r="N1130" s="70"/>
      <c r="O1130" s="70"/>
      <c r="P1130" s="70"/>
      <c r="Q1130" s="70"/>
      <c r="R1130" s="70"/>
      <c r="S1130" s="70"/>
      <c r="T1130" s="70"/>
      <c r="U1130" s="64"/>
      <c r="V1130" s="64"/>
      <c r="W1130" s="70"/>
      <c r="X1130" s="64"/>
      <c r="Y1130" s="70"/>
      <c r="Z1130" s="70"/>
      <c r="AA1130" s="71"/>
      <c r="AB1130" s="70"/>
      <c r="AC1130" s="70"/>
      <c r="AD1130" s="64"/>
      <c r="AE1130" s="70"/>
      <c r="AF1130" s="70"/>
      <c r="AG1130" s="70"/>
      <c r="AH1130" s="70"/>
    </row>
    <row r="1131" spans="4:34" x14ac:dyDescent="0.2">
      <c r="D1131" s="53"/>
      <c r="E1131" s="70"/>
      <c r="F1131" s="70"/>
      <c r="G1131" s="70"/>
      <c r="H1131" s="70"/>
      <c r="I1131" s="70"/>
      <c r="J1131" s="70"/>
      <c r="K1131" s="70"/>
      <c r="L1131" s="70"/>
      <c r="M1131" s="70"/>
      <c r="N1131" s="70"/>
      <c r="O1131" s="70"/>
      <c r="P1131" s="70"/>
      <c r="Q1131" s="70"/>
      <c r="R1131" s="70"/>
      <c r="S1131" s="70"/>
      <c r="T1131" s="70"/>
      <c r="U1131" s="64"/>
      <c r="V1131" s="64"/>
      <c r="W1131" s="70"/>
      <c r="X1131" s="64"/>
      <c r="Y1131" s="70"/>
      <c r="Z1131" s="70"/>
      <c r="AA1131" s="71"/>
      <c r="AB1131" s="70"/>
      <c r="AC1131" s="70"/>
      <c r="AD1131" s="64"/>
      <c r="AE1131" s="70"/>
      <c r="AF1131" s="70"/>
      <c r="AG1131" s="70"/>
      <c r="AH1131" s="70"/>
    </row>
    <row r="1132" spans="4:34" x14ac:dyDescent="0.2">
      <c r="D1132" s="53"/>
      <c r="E1132" s="70"/>
      <c r="F1132" s="70"/>
      <c r="G1132" s="70"/>
      <c r="H1132" s="70"/>
      <c r="I1132" s="70"/>
      <c r="J1132" s="70"/>
      <c r="K1132" s="70"/>
      <c r="L1132" s="70"/>
      <c r="M1132" s="70"/>
      <c r="N1132" s="70"/>
      <c r="O1132" s="70"/>
      <c r="P1132" s="70"/>
      <c r="Q1132" s="70"/>
      <c r="R1132" s="70"/>
      <c r="S1132" s="70"/>
      <c r="T1132" s="70"/>
      <c r="U1132" s="64"/>
      <c r="V1132" s="64"/>
      <c r="W1132" s="70"/>
      <c r="X1132" s="64"/>
      <c r="Y1132" s="70"/>
      <c r="Z1132" s="70"/>
      <c r="AA1132" s="71"/>
      <c r="AB1132" s="70"/>
      <c r="AC1132" s="70"/>
      <c r="AD1132" s="64"/>
      <c r="AE1132" s="70"/>
      <c r="AF1132" s="70"/>
      <c r="AG1132" s="70"/>
      <c r="AH1132" s="70"/>
    </row>
    <row r="1133" spans="4:34" x14ac:dyDescent="0.2">
      <c r="D1133" s="53"/>
      <c r="E1133" s="70"/>
      <c r="F1133" s="70"/>
      <c r="G1133" s="70"/>
      <c r="H1133" s="70"/>
      <c r="I1133" s="70"/>
      <c r="J1133" s="70"/>
      <c r="K1133" s="70"/>
      <c r="L1133" s="70"/>
      <c r="M1133" s="70"/>
      <c r="N1133" s="70"/>
      <c r="O1133" s="70"/>
      <c r="P1133" s="70"/>
      <c r="Q1133" s="70"/>
      <c r="R1133" s="70"/>
      <c r="S1133" s="70"/>
      <c r="T1133" s="70"/>
      <c r="U1133" s="64"/>
      <c r="V1133" s="64"/>
      <c r="W1133" s="70"/>
      <c r="X1133" s="64"/>
      <c r="Y1133" s="70"/>
      <c r="Z1133" s="70"/>
      <c r="AA1133" s="71"/>
      <c r="AB1133" s="70"/>
      <c r="AC1133" s="70"/>
      <c r="AD1133" s="64"/>
      <c r="AE1133" s="70"/>
      <c r="AF1133" s="70"/>
      <c r="AG1133" s="70"/>
      <c r="AH1133" s="70"/>
    </row>
    <row r="1134" spans="4:34" x14ac:dyDescent="0.2">
      <c r="D1134" s="53"/>
      <c r="E1134" s="70"/>
      <c r="F1134" s="70"/>
      <c r="G1134" s="70"/>
      <c r="H1134" s="70"/>
      <c r="I1134" s="70"/>
      <c r="J1134" s="70"/>
      <c r="K1134" s="70"/>
      <c r="L1134" s="70"/>
      <c r="M1134" s="70"/>
      <c r="N1134" s="70"/>
      <c r="O1134" s="70"/>
      <c r="P1134" s="70"/>
      <c r="Q1134" s="70"/>
      <c r="R1134" s="70"/>
      <c r="S1134" s="70"/>
      <c r="T1134" s="70"/>
      <c r="U1134" s="64"/>
      <c r="V1134" s="64"/>
      <c r="W1134" s="70"/>
      <c r="X1134" s="64"/>
      <c r="Y1134" s="70"/>
      <c r="Z1134" s="70"/>
      <c r="AA1134" s="71"/>
      <c r="AB1134" s="70"/>
      <c r="AC1134" s="70"/>
      <c r="AD1134" s="64"/>
      <c r="AE1134" s="70"/>
      <c r="AF1134" s="70"/>
      <c r="AG1134" s="70"/>
      <c r="AH1134" s="70"/>
    </row>
    <row r="1135" spans="4:34" x14ac:dyDescent="0.2">
      <c r="D1135" s="53"/>
      <c r="E1135" s="70"/>
      <c r="F1135" s="70"/>
      <c r="G1135" s="70"/>
      <c r="H1135" s="70"/>
      <c r="I1135" s="70"/>
      <c r="J1135" s="70"/>
      <c r="K1135" s="70"/>
      <c r="L1135" s="70"/>
      <c r="M1135" s="70"/>
      <c r="N1135" s="70"/>
      <c r="O1135" s="70"/>
      <c r="P1135" s="70"/>
      <c r="Q1135" s="70"/>
      <c r="R1135" s="70"/>
      <c r="S1135" s="70"/>
      <c r="T1135" s="70"/>
      <c r="U1135" s="64"/>
      <c r="V1135" s="64"/>
      <c r="W1135" s="70"/>
      <c r="X1135" s="64"/>
      <c r="Y1135" s="70"/>
      <c r="Z1135" s="70"/>
      <c r="AA1135" s="71"/>
      <c r="AB1135" s="70"/>
      <c r="AC1135" s="70"/>
      <c r="AD1135" s="64"/>
      <c r="AE1135" s="70"/>
      <c r="AF1135" s="70"/>
      <c r="AG1135" s="70"/>
      <c r="AH1135" s="70"/>
    </row>
    <row r="1136" spans="4:34" x14ac:dyDescent="0.2">
      <c r="D1136" s="53"/>
      <c r="E1136" s="70"/>
      <c r="F1136" s="70"/>
      <c r="G1136" s="70"/>
      <c r="H1136" s="70"/>
      <c r="I1136" s="70"/>
      <c r="J1136" s="70"/>
      <c r="K1136" s="70"/>
      <c r="L1136" s="70"/>
      <c r="M1136" s="70"/>
      <c r="N1136" s="70"/>
      <c r="O1136" s="70"/>
      <c r="P1136" s="70"/>
      <c r="Q1136" s="70"/>
      <c r="R1136" s="70"/>
      <c r="S1136" s="70"/>
      <c r="T1136" s="70"/>
      <c r="U1136" s="64"/>
      <c r="V1136" s="64"/>
      <c r="W1136" s="70"/>
      <c r="X1136" s="64"/>
      <c r="Y1136" s="70"/>
      <c r="Z1136" s="70"/>
      <c r="AA1136" s="71"/>
      <c r="AB1136" s="70"/>
      <c r="AC1136" s="70"/>
      <c r="AD1136" s="64"/>
      <c r="AE1136" s="70"/>
      <c r="AF1136" s="70"/>
      <c r="AG1136" s="70"/>
      <c r="AH1136" s="70"/>
    </row>
    <row r="1137" spans="4:34" x14ac:dyDescent="0.2">
      <c r="D1137" s="53"/>
      <c r="E1137" s="70"/>
      <c r="F1137" s="70"/>
      <c r="G1137" s="70"/>
      <c r="H1137" s="70"/>
      <c r="I1137" s="70"/>
      <c r="J1137" s="70"/>
      <c r="K1137" s="70"/>
      <c r="L1137" s="70"/>
      <c r="M1137" s="70"/>
      <c r="N1137" s="70"/>
      <c r="O1137" s="70"/>
      <c r="P1137" s="70"/>
      <c r="Q1137" s="70"/>
      <c r="R1137" s="70"/>
      <c r="S1137" s="70"/>
      <c r="T1137" s="70"/>
      <c r="U1137" s="64"/>
      <c r="V1137" s="64"/>
      <c r="W1137" s="70"/>
      <c r="X1137" s="64"/>
      <c r="Y1137" s="70"/>
      <c r="Z1137" s="70"/>
      <c r="AA1137" s="71"/>
      <c r="AB1137" s="70"/>
      <c r="AC1137" s="70"/>
      <c r="AD1137" s="64"/>
      <c r="AE1137" s="70"/>
      <c r="AF1137" s="70"/>
      <c r="AG1137" s="70"/>
      <c r="AH1137" s="70"/>
    </row>
    <row r="1138" spans="4:34" x14ac:dyDescent="0.2">
      <c r="D1138" s="53"/>
      <c r="E1138" s="70"/>
      <c r="F1138" s="70"/>
      <c r="G1138" s="70"/>
      <c r="H1138" s="70"/>
      <c r="I1138" s="70"/>
      <c r="J1138" s="70"/>
      <c r="K1138" s="70"/>
      <c r="L1138" s="70"/>
      <c r="M1138" s="70"/>
      <c r="N1138" s="70"/>
      <c r="O1138" s="70"/>
      <c r="P1138" s="70"/>
      <c r="Q1138" s="70"/>
      <c r="R1138" s="70"/>
      <c r="S1138" s="70"/>
      <c r="T1138" s="70"/>
      <c r="U1138" s="64"/>
      <c r="V1138" s="64"/>
      <c r="W1138" s="70"/>
      <c r="X1138" s="64"/>
      <c r="Y1138" s="70"/>
      <c r="Z1138" s="70"/>
      <c r="AA1138" s="71"/>
      <c r="AB1138" s="70"/>
      <c r="AC1138" s="70"/>
      <c r="AD1138" s="64"/>
      <c r="AE1138" s="70"/>
      <c r="AF1138" s="70"/>
      <c r="AG1138" s="70"/>
      <c r="AH1138" s="70"/>
    </row>
    <row r="1139" spans="4:34" x14ac:dyDescent="0.2">
      <c r="D1139" s="53"/>
      <c r="E1139" s="70"/>
      <c r="F1139" s="70"/>
      <c r="G1139" s="70"/>
      <c r="H1139" s="70"/>
      <c r="I1139" s="70"/>
      <c r="J1139" s="70"/>
      <c r="K1139" s="70"/>
      <c r="L1139" s="70"/>
      <c r="M1139" s="70"/>
      <c r="N1139" s="70"/>
      <c r="O1139" s="70"/>
      <c r="P1139" s="70"/>
      <c r="Q1139" s="70"/>
      <c r="R1139" s="70"/>
      <c r="S1139" s="70"/>
      <c r="T1139" s="70"/>
      <c r="U1139" s="64"/>
      <c r="V1139" s="64"/>
      <c r="W1139" s="70"/>
      <c r="X1139" s="64"/>
      <c r="Y1139" s="70"/>
      <c r="Z1139" s="70"/>
      <c r="AA1139" s="71"/>
      <c r="AB1139" s="70"/>
      <c r="AC1139" s="70"/>
      <c r="AD1139" s="64"/>
      <c r="AE1139" s="70"/>
      <c r="AF1139" s="70"/>
      <c r="AG1139" s="70"/>
      <c r="AH1139" s="70"/>
    </row>
    <row r="1140" spans="4:34" x14ac:dyDescent="0.2">
      <c r="D1140" s="53"/>
      <c r="E1140" s="70"/>
      <c r="F1140" s="70"/>
      <c r="G1140" s="70"/>
      <c r="H1140" s="70"/>
      <c r="I1140" s="70"/>
      <c r="J1140" s="70"/>
      <c r="K1140" s="70"/>
      <c r="L1140" s="70"/>
      <c r="M1140" s="70"/>
      <c r="N1140" s="70"/>
      <c r="O1140" s="70"/>
      <c r="P1140" s="70"/>
      <c r="Q1140" s="70"/>
      <c r="R1140" s="70"/>
      <c r="S1140" s="70"/>
      <c r="T1140" s="70"/>
      <c r="U1140" s="64"/>
      <c r="V1140" s="64"/>
      <c r="W1140" s="70"/>
      <c r="X1140" s="64"/>
      <c r="Y1140" s="70"/>
      <c r="Z1140" s="70"/>
      <c r="AA1140" s="71"/>
      <c r="AB1140" s="70"/>
      <c r="AC1140" s="70"/>
      <c r="AD1140" s="64"/>
      <c r="AE1140" s="70"/>
      <c r="AF1140" s="70"/>
      <c r="AG1140" s="70"/>
      <c r="AH1140" s="70"/>
    </row>
    <row r="1141" spans="4:34" x14ac:dyDescent="0.2">
      <c r="D1141" s="53"/>
      <c r="E1141" s="70"/>
      <c r="F1141" s="70"/>
      <c r="G1141" s="70"/>
      <c r="H1141" s="70"/>
      <c r="I1141" s="70"/>
      <c r="J1141" s="70"/>
      <c r="K1141" s="70"/>
      <c r="L1141" s="70"/>
      <c r="M1141" s="70"/>
      <c r="N1141" s="70"/>
      <c r="O1141" s="70"/>
      <c r="P1141" s="70"/>
      <c r="Q1141" s="70"/>
      <c r="R1141" s="70"/>
      <c r="S1141" s="70"/>
      <c r="T1141" s="70"/>
      <c r="U1141" s="64"/>
      <c r="V1141" s="64"/>
      <c r="W1141" s="70"/>
      <c r="X1141" s="64"/>
      <c r="Y1141" s="70"/>
      <c r="Z1141" s="70"/>
      <c r="AA1141" s="71"/>
      <c r="AB1141" s="70"/>
      <c r="AC1141" s="70"/>
      <c r="AD1141" s="64"/>
      <c r="AE1141" s="70"/>
      <c r="AF1141" s="70"/>
      <c r="AG1141" s="70"/>
      <c r="AH1141" s="70"/>
    </row>
    <row r="1142" spans="4:34" x14ac:dyDescent="0.2">
      <c r="D1142" s="53"/>
      <c r="E1142" s="70"/>
      <c r="F1142" s="70"/>
      <c r="G1142" s="70"/>
      <c r="H1142" s="70"/>
      <c r="I1142" s="70"/>
      <c r="J1142" s="70"/>
      <c r="K1142" s="70"/>
      <c r="L1142" s="70"/>
      <c r="M1142" s="70"/>
      <c r="N1142" s="70"/>
      <c r="O1142" s="70"/>
      <c r="P1142" s="70"/>
      <c r="Q1142" s="70"/>
      <c r="R1142" s="70"/>
      <c r="S1142" s="70"/>
      <c r="T1142" s="70"/>
      <c r="U1142" s="64"/>
      <c r="V1142" s="64"/>
      <c r="W1142" s="70"/>
      <c r="X1142" s="64"/>
      <c r="Y1142" s="70"/>
      <c r="Z1142" s="70"/>
      <c r="AA1142" s="71"/>
      <c r="AB1142" s="70"/>
      <c r="AC1142" s="70"/>
      <c r="AD1142" s="64"/>
      <c r="AE1142" s="70"/>
      <c r="AF1142" s="70"/>
      <c r="AG1142" s="70"/>
      <c r="AH1142" s="70"/>
    </row>
    <row r="1143" spans="4:34" x14ac:dyDescent="0.2">
      <c r="D1143" s="53"/>
      <c r="E1143" s="70"/>
      <c r="F1143" s="70"/>
      <c r="G1143" s="70"/>
      <c r="H1143" s="70"/>
      <c r="I1143" s="70"/>
      <c r="J1143" s="70"/>
      <c r="K1143" s="70"/>
      <c r="L1143" s="70"/>
      <c r="M1143" s="70"/>
      <c r="N1143" s="70"/>
      <c r="O1143" s="70"/>
      <c r="P1143" s="70"/>
      <c r="Q1143" s="70"/>
      <c r="R1143" s="70"/>
      <c r="S1143" s="70"/>
      <c r="T1143" s="70"/>
      <c r="U1143" s="64"/>
      <c r="V1143" s="64"/>
      <c r="W1143" s="70"/>
      <c r="X1143" s="64"/>
      <c r="Y1143" s="70"/>
      <c r="Z1143" s="70"/>
      <c r="AA1143" s="71"/>
      <c r="AB1143" s="70"/>
      <c r="AC1143" s="70"/>
      <c r="AD1143" s="64"/>
      <c r="AE1143" s="70"/>
      <c r="AF1143" s="70"/>
      <c r="AG1143" s="70"/>
      <c r="AH1143" s="70"/>
    </row>
    <row r="1144" spans="4:34" x14ac:dyDescent="0.2">
      <c r="D1144" s="53"/>
      <c r="E1144" s="70"/>
      <c r="F1144" s="70"/>
      <c r="G1144" s="70"/>
      <c r="H1144" s="70"/>
      <c r="I1144" s="70"/>
      <c r="J1144" s="70"/>
      <c r="K1144" s="70"/>
      <c r="L1144" s="70"/>
      <c r="M1144" s="70"/>
      <c r="N1144" s="70"/>
      <c r="O1144" s="70"/>
      <c r="P1144" s="70"/>
      <c r="Q1144" s="70"/>
      <c r="R1144" s="70"/>
      <c r="S1144" s="70"/>
      <c r="T1144" s="70"/>
      <c r="U1144" s="64"/>
      <c r="V1144" s="64"/>
      <c r="W1144" s="70"/>
      <c r="X1144" s="64"/>
      <c r="Y1144" s="70"/>
      <c r="Z1144" s="70"/>
      <c r="AA1144" s="71"/>
      <c r="AB1144" s="70"/>
      <c r="AC1144" s="70"/>
      <c r="AD1144" s="64"/>
      <c r="AE1144" s="70"/>
      <c r="AF1144" s="70"/>
      <c r="AG1144" s="70"/>
      <c r="AH1144" s="70"/>
    </row>
    <row r="1145" spans="4:34" x14ac:dyDescent="0.2">
      <c r="D1145" s="53"/>
      <c r="E1145" s="70"/>
      <c r="F1145" s="70"/>
      <c r="G1145" s="70"/>
      <c r="H1145" s="70"/>
      <c r="I1145" s="70"/>
      <c r="J1145" s="70"/>
      <c r="K1145" s="70"/>
      <c r="L1145" s="70"/>
      <c r="M1145" s="70"/>
      <c r="N1145" s="70"/>
      <c r="O1145" s="70"/>
      <c r="P1145" s="70"/>
      <c r="Q1145" s="70"/>
      <c r="R1145" s="70"/>
      <c r="S1145" s="70"/>
      <c r="T1145" s="70"/>
      <c r="U1145" s="64"/>
      <c r="V1145" s="64"/>
      <c r="W1145" s="70"/>
      <c r="X1145" s="64"/>
      <c r="Y1145" s="70"/>
      <c r="Z1145" s="70"/>
      <c r="AA1145" s="71"/>
      <c r="AB1145" s="70"/>
      <c r="AC1145" s="70"/>
      <c r="AD1145" s="64"/>
      <c r="AE1145" s="70"/>
      <c r="AF1145" s="70"/>
      <c r="AG1145" s="70"/>
      <c r="AH1145" s="70"/>
    </row>
    <row r="1146" spans="4:34" x14ac:dyDescent="0.2">
      <c r="D1146" s="53"/>
      <c r="E1146" s="70"/>
      <c r="F1146" s="70"/>
      <c r="G1146" s="70"/>
      <c r="H1146" s="70"/>
      <c r="I1146" s="70"/>
      <c r="J1146" s="70"/>
      <c r="K1146" s="70"/>
      <c r="L1146" s="70"/>
      <c r="M1146" s="70"/>
      <c r="N1146" s="70"/>
      <c r="O1146" s="70"/>
      <c r="P1146" s="70"/>
      <c r="Q1146" s="70"/>
      <c r="R1146" s="70"/>
      <c r="S1146" s="70"/>
      <c r="T1146" s="70"/>
      <c r="U1146" s="64"/>
      <c r="V1146" s="64"/>
      <c r="W1146" s="70"/>
      <c r="X1146" s="64"/>
      <c r="Y1146" s="70"/>
      <c r="Z1146" s="70"/>
      <c r="AA1146" s="71"/>
      <c r="AB1146" s="70"/>
      <c r="AC1146" s="70"/>
      <c r="AD1146" s="64"/>
      <c r="AE1146" s="70"/>
      <c r="AF1146" s="70"/>
      <c r="AG1146" s="70"/>
      <c r="AH1146" s="70"/>
    </row>
    <row r="1147" spans="4:34" x14ac:dyDescent="0.2">
      <c r="D1147" s="53"/>
      <c r="E1147" s="70"/>
      <c r="F1147" s="70"/>
      <c r="G1147" s="70"/>
      <c r="H1147" s="70"/>
      <c r="I1147" s="70"/>
      <c r="J1147" s="70"/>
      <c r="K1147" s="70"/>
      <c r="L1147" s="70"/>
      <c r="M1147" s="70"/>
      <c r="N1147" s="70"/>
      <c r="O1147" s="70"/>
      <c r="P1147" s="70"/>
      <c r="Q1147" s="70"/>
      <c r="R1147" s="70"/>
      <c r="S1147" s="70"/>
      <c r="T1147" s="70"/>
      <c r="U1147" s="64"/>
      <c r="V1147" s="64"/>
      <c r="W1147" s="70"/>
      <c r="X1147" s="64"/>
      <c r="Y1147" s="70"/>
      <c r="Z1147" s="70"/>
      <c r="AA1147" s="71"/>
      <c r="AB1147" s="70"/>
      <c r="AC1147" s="70"/>
      <c r="AD1147" s="64"/>
      <c r="AE1147" s="70"/>
      <c r="AF1147" s="70"/>
      <c r="AG1147" s="70"/>
      <c r="AH1147" s="70"/>
    </row>
    <row r="1148" spans="4:34" x14ac:dyDescent="0.2">
      <c r="D1148" s="53"/>
      <c r="E1148" s="70"/>
      <c r="F1148" s="70"/>
      <c r="G1148" s="70"/>
      <c r="H1148" s="70"/>
      <c r="I1148" s="70"/>
      <c r="J1148" s="70"/>
      <c r="K1148" s="70"/>
      <c r="L1148" s="70"/>
      <c r="M1148" s="70"/>
      <c r="N1148" s="70"/>
      <c r="O1148" s="70"/>
      <c r="P1148" s="70"/>
      <c r="Q1148" s="70"/>
      <c r="R1148" s="70"/>
      <c r="S1148" s="70"/>
      <c r="T1148" s="70"/>
      <c r="U1148" s="64"/>
      <c r="V1148" s="64"/>
      <c r="W1148" s="70"/>
      <c r="X1148" s="64"/>
      <c r="Y1148" s="70"/>
      <c r="Z1148" s="70"/>
      <c r="AA1148" s="71"/>
      <c r="AB1148" s="70"/>
      <c r="AC1148" s="70"/>
      <c r="AD1148" s="64"/>
      <c r="AE1148" s="70"/>
      <c r="AF1148" s="70"/>
      <c r="AG1148" s="70"/>
      <c r="AH1148" s="70"/>
    </row>
    <row r="1149" spans="4:34" x14ac:dyDescent="0.2">
      <c r="D1149" s="53"/>
      <c r="E1149" s="70"/>
      <c r="F1149" s="70"/>
      <c r="G1149" s="70"/>
      <c r="H1149" s="70"/>
      <c r="I1149" s="70"/>
      <c r="J1149" s="70"/>
      <c r="K1149" s="70"/>
      <c r="L1149" s="70"/>
      <c r="M1149" s="70"/>
      <c r="N1149" s="70"/>
      <c r="O1149" s="70"/>
      <c r="P1149" s="70"/>
      <c r="Q1149" s="70"/>
      <c r="R1149" s="70"/>
      <c r="S1149" s="70"/>
      <c r="T1149" s="70"/>
      <c r="U1149" s="64"/>
      <c r="V1149" s="64"/>
      <c r="W1149" s="70"/>
      <c r="X1149" s="64"/>
      <c r="Y1149" s="70"/>
      <c r="Z1149" s="70"/>
      <c r="AA1149" s="71"/>
      <c r="AB1149" s="70"/>
      <c r="AC1149" s="70"/>
      <c r="AD1149" s="64"/>
      <c r="AE1149" s="70"/>
      <c r="AF1149" s="70"/>
      <c r="AG1149" s="70"/>
      <c r="AH1149" s="70"/>
    </row>
    <row r="1150" spans="4:34" x14ac:dyDescent="0.2">
      <c r="D1150" s="53"/>
      <c r="E1150" s="70"/>
      <c r="F1150" s="70"/>
      <c r="G1150" s="70"/>
      <c r="H1150" s="70"/>
      <c r="I1150" s="70"/>
      <c r="J1150" s="70"/>
      <c r="K1150" s="70"/>
      <c r="L1150" s="70"/>
      <c r="M1150" s="70"/>
      <c r="N1150" s="70"/>
      <c r="O1150" s="70"/>
      <c r="P1150" s="70"/>
      <c r="Q1150" s="70"/>
      <c r="R1150" s="70"/>
      <c r="S1150" s="70"/>
      <c r="T1150" s="70"/>
      <c r="U1150" s="64"/>
      <c r="V1150" s="64"/>
      <c r="W1150" s="70"/>
      <c r="X1150" s="64"/>
      <c r="Y1150" s="70"/>
      <c r="Z1150" s="70"/>
      <c r="AA1150" s="71"/>
      <c r="AB1150" s="70"/>
      <c r="AC1150" s="70"/>
      <c r="AD1150" s="64"/>
      <c r="AE1150" s="70"/>
      <c r="AF1150" s="70"/>
      <c r="AG1150" s="70"/>
      <c r="AH1150" s="70"/>
    </row>
    <row r="1151" spans="4:34" x14ac:dyDescent="0.2">
      <c r="D1151" s="53"/>
      <c r="E1151" s="70"/>
      <c r="F1151" s="70"/>
      <c r="G1151" s="70"/>
      <c r="H1151" s="70"/>
      <c r="I1151" s="70"/>
      <c r="J1151" s="70"/>
      <c r="K1151" s="70"/>
      <c r="L1151" s="70"/>
      <c r="M1151" s="70"/>
      <c r="N1151" s="70"/>
      <c r="O1151" s="70"/>
      <c r="P1151" s="70"/>
      <c r="Q1151" s="70"/>
      <c r="R1151" s="70"/>
      <c r="S1151" s="70"/>
      <c r="T1151" s="70"/>
      <c r="U1151" s="64"/>
      <c r="V1151" s="64"/>
      <c r="W1151" s="70"/>
      <c r="X1151" s="64"/>
      <c r="Y1151" s="70"/>
      <c r="Z1151" s="70"/>
      <c r="AA1151" s="71"/>
      <c r="AB1151" s="70"/>
      <c r="AC1151" s="70"/>
      <c r="AD1151" s="64"/>
      <c r="AE1151" s="70"/>
      <c r="AF1151" s="70"/>
      <c r="AG1151" s="70"/>
      <c r="AH1151" s="70"/>
    </row>
    <row r="1152" spans="4:34" x14ac:dyDescent="0.2">
      <c r="D1152" s="53"/>
      <c r="E1152" s="70"/>
      <c r="F1152" s="70"/>
      <c r="G1152" s="70"/>
      <c r="H1152" s="70"/>
      <c r="I1152" s="70"/>
      <c r="J1152" s="70"/>
      <c r="K1152" s="70"/>
      <c r="L1152" s="70"/>
      <c r="M1152" s="70"/>
      <c r="N1152" s="70"/>
      <c r="O1152" s="70"/>
      <c r="P1152" s="70"/>
      <c r="Q1152" s="70"/>
      <c r="R1152" s="70"/>
      <c r="S1152" s="70"/>
      <c r="T1152" s="70"/>
      <c r="U1152" s="64"/>
      <c r="V1152" s="64"/>
      <c r="W1152" s="70"/>
      <c r="X1152" s="64"/>
      <c r="Y1152" s="70"/>
      <c r="Z1152" s="70"/>
      <c r="AA1152" s="71"/>
      <c r="AB1152" s="70"/>
      <c r="AC1152" s="70"/>
      <c r="AD1152" s="64"/>
      <c r="AE1152" s="70"/>
      <c r="AF1152" s="70"/>
      <c r="AG1152" s="70"/>
      <c r="AH1152" s="70"/>
    </row>
    <row r="1153" spans="4:34" x14ac:dyDescent="0.2">
      <c r="D1153" s="53"/>
      <c r="E1153" s="70"/>
      <c r="F1153" s="70"/>
      <c r="G1153" s="70"/>
      <c r="H1153" s="70"/>
      <c r="I1153" s="70"/>
      <c r="J1153" s="70"/>
      <c r="K1153" s="70"/>
      <c r="L1153" s="70"/>
      <c r="M1153" s="70"/>
      <c r="N1153" s="70"/>
      <c r="O1153" s="70"/>
      <c r="P1153" s="70"/>
      <c r="Q1153" s="70"/>
      <c r="R1153" s="70"/>
      <c r="S1153" s="70"/>
      <c r="T1153" s="70"/>
      <c r="U1153" s="64"/>
      <c r="V1153" s="64"/>
      <c r="W1153" s="70"/>
      <c r="X1153" s="64"/>
      <c r="Y1153" s="70"/>
      <c r="Z1153" s="70"/>
      <c r="AA1153" s="71"/>
      <c r="AB1153" s="70"/>
      <c r="AC1153" s="70"/>
      <c r="AD1153" s="64"/>
      <c r="AE1153" s="70"/>
      <c r="AF1153" s="70"/>
      <c r="AG1153" s="70"/>
      <c r="AH1153" s="70"/>
    </row>
    <row r="1154" spans="4:34" x14ac:dyDescent="0.2">
      <c r="D1154" s="53"/>
      <c r="E1154" s="70"/>
      <c r="F1154" s="70"/>
      <c r="G1154" s="70"/>
      <c r="H1154" s="70"/>
      <c r="I1154" s="70"/>
      <c r="J1154" s="70"/>
      <c r="K1154" s="70"/>
      <c r="L1154" s="70"/>
      <c r="M1154" s="70"/>
      <c r="N1154" s="70"/>
      <c r="O1154" s="70"/>
      <c r="P1154" s="70"/>
      <c r="Q1154" s="70"/>
      <c r="R1154" s="70"/>
      <c r="S1154" s="70"/>
      <c r="T1154" s="70"/>
      <c r="U1154" s="64"/>
      <c r="V1154" s="64"/>
      <c r="W1154" s="70"/>
      <c r="X1154" s="64"/>
      <c r="Y1154" s="70"/>
      <c r="Z1154" s="70"/>
      <c r="AA1154" s="71"/>
      <c r="AB1154" s="70"/>
      <c r="AC1154" s="70"/>
      <c r="AD1154" s="64"/>
      <c r="AE1154" s="70"/>
      <c r="AF1154" s="70"/>
      <c r="AG1154" s="70"/>
      <c r="AH1154" s="70"/>
    </row>
    <row r="1155" spans="4:34" x14ac:dyDescent="0.2">
      <c r="D1155" s="53"/>
      <c r="E1155" s="70"/>
      <c r="F1155" s="70"/>
      <c r="G1155" s="70"/>
      <c r="H1155" s="70"/>
      <c r="I1155" s="70"/>
      <c r="J1155" s="70"/>
      <c r="K1155" s="70"/>
      <c r="L1155" s="70"/>
      <c r="M1155" s="70"/>
      <c r="N1155" s="70"/>
      <c r="O1155" s="70"/>
      <c r="P1155" s="70"/>
      <c r="Q1155" s="70"/>
      <c r="R1155" s="70"/>
      <c r="S1155" s="70"/>
      <c r="T1155" s="70"/>
      <c r="U1155" s="64"/>
      <c r="V1155" s="64"/>
      <c r="W1155" s="70"/>
      <c r="X1155" s="64"/>
      <c r="Y1155" s="70"/>
      <c r="Z1155" s="70"/>
      <c r="AA1155" s="71"/>
      <c r="AB1155" s="70"/>
      <c r="AC1155" s="70"/>
      <c r="AD1155" s="64"/>
      <c r="AE1155" s="70"/>
      <c r="AF1155" s="70"/>
      <c r="AG1155" s="70"/>
      <c r="AH1155" s="70"/>
    </row>
    <row r="1156" spans="4:34" x14ac:dyDescent="0.2">
      <c r="D1156" s="53"/>
      <c r="E1156" s="70"/>
      <c r="F1156" s="70"/>
      <c r="G1156" s="70"/>
      <c r="H1156" s="70"/>
      <c r="I1156" s="70"/>
      <c r="J1156" s="70"/>
      <c r="K1156" s="70"/>
      <c r="L1156" s="70"/>
      <c r="M1156" s="70"/>
      <c r="N1156" s="70"/>
      <c r="O1156" s="70"/>
      <c r="P1156" s="70"/>
      <c r="Q1156" s="70"/>
      <c r="R1156" s="70"/>
      <c r="S1156" s="70"/>
      <c r="T1156" s="70"/>
      <c r="U1156" s="64"/>
      <c r="V1156" s="64"/>
      <c r="W1156" s="70"/>
      <c r="X1156" s="64"/>
      <c r="Y1156" s="70"/>
      <c r="Z1156" s="70"/>
      <c r="AA1156" s="71"/>
      <c r="AB1156" s="70"/>
      <c r="AC1156" s="70"/>
      <c r="AD1156" s="64"/>
      <c r="AE1156" s="70"/>
      <c r="AF1156" s="70"/>
      <c r="AG1156" s="70"/>
      <c r="AH1156" s="70"/>
    </row>
    <row r="1157" spans="4:34" x14ac:dyDescent="0.2">
      <c r="D1157" s="53"/>
      <c r="E1157" s="70"/>
      <c r="F1157" s="70"/>
      <c r="G1157" s="70"/>
      <c r="H1157" s="70"/>
      <c r="I1157" s="70"/>
      <c r="J1157" s="70"/>
      <c r="K1157" s="70"/>
      <c r="L1157" s="70"/>
      <c r="M1157" s="70"/>
      <c r="N1157" s="70"/>
      <c r="O1157" s="70"/>
      <c r="P1157" s="70"/>
      <c r="Q1157" s="70"/>
      <c r="R1157" s="70"/>
      <c r="S1157" s="70"/>
      <c r="T1157" s="70"/>
      <c r="U1157" s="64"/>
      <c r="V1157" s="64"/>
      <c r="W1157" s="70"/>
      <c r="X1157" s="64"/>
      <c r="Y1157" s="70"/>
      <c r="Z1157" s="70"/>
      <c r="AA1157" s="71"/>
      <c r="AB1157" s="70"/>
      <c r="AC1157" s="70"/>
      <c r="AD1157" s="64"/>
      <c r="AE1157" s="70"/>
      <c r="AF1157" s="70"/>
      <c r="AG1157" s="70"/>
      <c r="AH1157" s="70"/>
    </row>
    <row r="1158" spans="4:34" x14ac:dyDescent="0.2">
      <c r="D1158" s="53"/>
      <c r="E1158" s="70"/>
      <c r="F1158" s="70"/>
      <c r="G1158" s="70"/>
      <c r="H1158" s="70"/>
      <c r="I1158" s="70"/>
      <c r="J1158" s="70"/>
      <c r="K1158" s="70"/>
      <c r="L1158" s="70"/>
      <c r="M1158" s="70"/>
      <c r="N1158" s="70"/>
      <c r="O1158" s="70"/>
      <c r="P1158" s="70"/>
      <c r="Q1158" s="70"/>
      <c r="R1158" s="70"/>
      <c r="S1158" s="70"/>
      <c r="T1158" s="70"/>
      <c r="U1158" s="64"/>
      <c r="V1158" s="64"/>
      <c r="W1158" s="70"/>
      <c r="X1158" s="64"/>
      <c r="Y1158" s="70"/>
      <c r="Z1158" s="70"/>
      <c r="AA1158" s="71"/>
      <c r="AB1158" s="70"/>
      <c r="AC1158" s="70"/>
      <c r="AD1158" s="64"/>
      <c r="AE1158" s="70"/>
      <c r="AF1158" s="70"/>
      <c r="AG1158" s="70"/>
      <c r="AH1158" s="70"/>
    </row>
    <row r="1159" spans="4:34" x14ac:dyDescent="0.2">
      <c r="D1159" s="53"/>
      <c r="E1159" s="70"/>
      <c r="F1159" s="70"/>
      <c r="G1159" s="70"/>
      <c r="H1159" s="70"/>
      <c r="I1159" s="70"/>
      <c r="J1159" s="70"/>
      <c r="K1159" s="70"/>
      <c r="L1159" s="70"/>
      <c r="M1159" s="70"/>
      <c r="N1159" s="70"/>
      <c r="O1159" s="70"/>
      <c r="P1159" s="70"/>
      <c r="Q1159" s="70"/>
      <c r="R1159" s="70"/>
      <c r="S1159" s="70"/>
      <c r="T1159" s="70"/>
      <c r="U1159" s="64"/>
      <c r="V1159" s="64"/>
      <c r="W1159" s="70"/>
      <c r="X1159" s="64"/>
      <c r="Y1159" s="70"/>
      <c r="Z1159" s="70"/>
      <c r="AA1159" s="71"/>
      <c r="AB1159" s="70"/>
      <c r="AC1159" s="70"/>
      <c r="AD1159" s="64"/>
      <c r="AE1159" s="70"/>
      <c r="AF1159" s="70"/>
      <c r="AG1159" s="70"/>
      <c r="AH1159" s="70"/>
    </row>
    <row r="1160" spans="4:34" x14ac:dyDescent="0.2">
      <c r="D1160" s="53"/>
      <c r="E1160" s="70"/>
      <c r="F1160" s="70"/>
      <c r="G1160" s="70"/>
      <c r="H1160" s="70"/>
      <c r="I1160" s="70"/>
      <c r="J1160" s="70"/>
      <c r="K1160" s="70"/>
      <c r="L1160" s="70"/>
      <c r="M1160" s="70"/>
      <c r="N1160" s="70"/>
      <c r="O1160" s="70"/>
      <c r="P1160" s="70"/>
      <c r="Q1160" s="70"/>
      <c r="R1160" s="70"/>
      <c r="S1160" s="70"/>
      <c r="T1160" s="70"/>
      <c r="U1160" s="64"/>
      <c r="V1160" s="64"/>
      <c r="W1160" s="70"/>
      <c r="X1160" s="64"/>
      <c r="Y1160" s="70"/>
      <c r="Z1160" s="70"/>
      <c r="AA1160" s="71"/>
      <c r="AB1160" s="70"/>
      <c r="AC1160" s="70"/>
      <c r="AD1160" s="64"/>
      <c r="AE1160" s="70"/>
      <c r="AF1160" s="70"/>
      <c r="AG1160" s="70"/>
      <c r="AH1160" s="70"/>
    </row>
    <row r="1161" spans="4:34" x14ac:dyDescent="0.2">
      <c r="D1161" s="53"/>
      <c r="E1161" s="70"/>
      <c r="F1161" s="70"/>
      <c r="G1161" s="70"/>
      <c r="H1161" s="70"/>
      <c r="I1161" s="70"/>
      <c r="J1161" s="70"/>
      <c r="K1161" s="70"/>
      <c r="L1161" s="70"/>
      <c r="M1161" s="70"/>
      <c r="N1161" s="70"/>
      <c r="O1161" s="70"/>
      <c r="P1161" s="70"/>
      <c r="Q1161" s="70"/>
      <c r="R1161" s="70"/>
      <c r="S1161" s="70"/>
      <c r="T1161" s="70"/>
      <c r="U1161" s="64"/>
      <c r="V1161" s="64"/>
      <c r="W1161" s="70"/>
      <c r="X1161" s="64"/>
      <c r="Y1161" s="70"/>
      <c r="Z1161" s="70"/>
      <c r="AA1161" s="71"/>
      <c r="AB1161" s="70"/>
      <c r="AC1161" s="70"/>
      <c r="AD1161" s="64"/>
      <c r="AE1161" s="70"/>
      <c r="AF1161" s="70"/>
      <c r="AG1161" s="70"/>
      <c r="AH1161" s="70"/>
    </row>
    <row r="1162" spans="4:34" x14ac:dyDescent="0.2">
      <c r="D1162" s="53"/>
      <c r="E1162" s="70"/>
      <c r="F1162" s="70"/>
      <c r="G1162" s="70"/>
      <c r="H1162" s="70"/>
      <c r="I1162" s="70"/>
      <c r="J1162" s="70"/>
      <c r="K1162" s="70"/>
      <c r="L1162" s="70"/>
      <c r="M1162" s="70"/>
      <c r="N1162" s="70"/>
      <c r="O1162" s="70"/>
      <c r="P1162" s="70"/>
      <c r="Q1162" s="70"/>
      <c r="R1162" s="70"/>
      <c r="S1162" s="70"/>
      <c r="T1162" s="70"/>
      <c r="U1162" s="64"/>
      <c r="V1162" s="64"/>
      <c r="W1162" s="70"/>
      <c r="X1162" s="64"/>
      <c r="Y1162" s="70"/>
      <c r="Z1162" s="70"/>
      <c r="AA1162" s="71"/>
      <c r="AB1162" s="70"/>
      <c r="AC1162" s="70"/>
      <c r="AD1162" s="64"/>
      <c r="AE1162" s="70"/>
      <c r="AF1162" s="70"/>
      <c r="AG1162" s="70"/>
      <c r="AH1162" s="70"/>
    </row>
    <row r="1163" spans="4:34" x14ac:dyDescent="0.2">
      <c r="D1163" s="53"/>
      <c r="E1163" s="70"/>
      <c r="F1163" s="70"/>
      <c r="G1163" s="70"/>
      <c r="H1163" s="70"/>
      <c r="I1163" s="70"/>
      <c r="J1163" s="70"/>
      <c r="K1163" s="70"/>
      <c r="L1163" s="70"/>
      <c r="M1163" s="70"/>
      <c r="N1163" s="70"/>
      <c r="O1163" s="70"/>
      <c r="P1163" s="70"/>
      <c r="Q1163" s="70"/>
      <c r="R1163" s="70"/>
      <c r="S1163" s="70"/>
      <c r="T1163" s="70"/>
      <c r="U1163" s="64"/>
      <c r="V1163" s="64"/>
      <c r="W1163" s="70"/>
      <c r="X1163" s="64"/>
      <c r="Y1163" s="70"/>
      <c r="Z1163" s="70"/>
      <c r="AA1163" s="71"/>
      <c r="AB1163" s="70"/>
      <c r="AC1163" s="70"/>
      <c r="AD1163" s="64"/>
      <c r="AE1163" s="70"/>
      <c r="AF1163" s="70"/>
      <c r="AG1163" s="70"/>
      <c r="AH1163" s="70"/>
    </row>
    <row r="1164" spans="4:34" x14ac:dyDescent="0.2">
      <c r="D1164" s="53"/>
      <c r="E1164" s="70"/>
      <c r="F1164" s="70"/>
      <c r="G1164" s="70"/>
      <c r="H1164" s="70"/>
      <c r="I1164" s="70"/>
      <c r="J1164" s="70"/>
      <c r="K1164" s="70"/>
      <c r="L1164" s="70"/>
      <c r="M1164" s="70"/>
      <c r="N1164" s="70"/>
      <c r="O1164" s="70"/>
      <c r="P1164" s="70"/>
      <c r="Q1164" s="70"/>
      <c r="R1164" s="70"/>
      <c r="S1164" s="70"/>
      <c r="T1164" s="70"/>
      <c r="U1164" s="64"/>
      <c r="V1164" s="64"/>
      <c r="W1164" s="70"/>
      <c r="X1164" s="64"/>
      <c r="Y1164" s="70"/>
      <c r="Z1164" s="70"/>
      <c r="AA1164" s="71"/>
      <c r="AB1164" s="70"/>
      <c r="AC1164" s="70"/>
      <c r="AD1164" s="64"/>
      <c r="AE1164" s="70"/>
      <c r="AF1164" s="70"/>
      <c r="AG1164" s="70"/>
      <c r="AH1164" s="70"/>
    </row>
    <row r="1165" spans="4:34" x14ac:dyDescent="0.2">
      <c r="D1165" s="53"/>
      <c r="E1165" s="70"/>
      <c r="F1165" s="70"/>
      <c r="G1165" s="70"/>
      <c r="H1165" s="70"/>
      <c r="I1165" s="70"/>
      <c r="J1165" s="70"/>
      <c r="K1165" s="70"/>
      <c r="L1165" s="70"/>
      <c r="M1165" s="70"/>
      <c r="N1165" s="70"/>
      <c r="O1165" s="70"/>
      <c r="P1165" s="70"/>
      <c r="Q1165" s="70"/>
      <c r="R1165" s="70"/>
      <c r="S1165" s="70"/>
      <c r="T1165" s="70"/>
      <c r="U1165" s="64"/>
      <c r="V1165" s="64"/>
      <c r="W1165" s="70"/>
      <c r="X1165" s="64"/>
      <c r="Y1165" s="70"/>
      <c r="Z1165" s="70"/>
      <c r="AA1165" s="71"/>
      <c r="AB1165" s="70"/>
      <c r="AC1165" s="70"/>
      <c r="AD1165" s="64"/>
      <c r="AE1165" s="70"/>
      <c r="AF1165" s="70"/>
      <c r="AG1165" s="70"/>
      <c r="AH1165" s="70"/>
    </row>
    <row r="1166" spans="4:34" x14ac:dyDescent="0.2">
      <c r="D1166" s="53"/>
      <c r="E1166" s="70"/>
      <c r="F1166" s="70"/>
      <c r="G1166" s="70"/>
      <c r="H1166" s="70"/>
      <c r="I1166" s="70"/>
      <c r="J1166" s="70"/>
      <c r="K1166" s="70"/>
      <c r="L1166" s="70"/>
      <c r="M1166" s="70"/>
      <c r="N1166" s="70"/>
      <c r="O1166" s="70"/>
      <c r="P1166" s="70"/>
      <c r="Q1166" s="70"/>
      <c r="R1166" s="70"/>
      <c r="S1166" s="70"/>
      <c r="T1166" s="70"/>
      <c r="U1166" s="64"/>
      <c r="V1166" s="64"/>
      <c r="W1166" s="70"/>
      <c r="X1166" s="64"/>
      <c r="Y1166" s="70"/>
      <c r="Z1166" s="70"/>
      <c r="AA1166" s="71"/>
      <c r="AB1166" s="70"/>
      <c r="AC1166" s="70"/>
      <c r="AD1166" s="64"/>
      <c r="AE1166" s="70"/>
      <c r="AF1166" s="70"/>
      <c r="AG1166" s="70"/>
      <c r="AH1166" s="70"/>
    </row>
    <row r="1167" spans="4:34" x14ac:dyDescent="0.2">
      <c r="D1167" s="53"/>
      <c r="E1167" s="70"/>
      <c r="F1167" s="70"/>
      <c r="G1167" s="70"/>
      <c r="H1167" s="70"/>
      <c r="I1167" s="70"/>
      <c r="J1167" s="70"/>
      <c r="K1167" s="70"/>
      <c r="L1167" s="70"/>
      <c r="M1167" s="70"/>
      <c r="N1167" s="70"/>
      <c r="O1167" s="70"/>
      <c r="P1167" s="70"/>
      <c r="Q1167" s="70"/>
      <c r="R1167" s="70"/>
      <c r="S1167" s="70"/>
      <c r="T1167" s="70"/>
      <c r="U1167" s="64"/>
      <c r="V1167" s="64"/>
      <c r="W1167" s="70"/>
      <c r="X1167" s="64"/>
      <c r="Y1167" s="70"/>
      <c r="Z1167" s="70"/>
      <c r="AA1167" s="71"/>
      <c r="AB1167" s="70"/>
      <c r="AC1167" s="70"/>
      <c r="AD1167" s="64"/>
      <c r="AE1167" s="70"/>
      <c r="AF1167" s="70"/>
      <c r="AG1167" s="70"/>
      <c r="AH1167" s="70"/>
    </row>
    <row r="1168" spans="4:34" x14ac:dyDescent="0.2">
      <c r="D1168" s="53"/>
      <c r="E1168" s="70"/>
      <c r="F1168" s="70"/>
      <c r="G1168" s="70"/>
      <c r="H1168" s="70"/>
      <c r="I1168" s="70"/>
      <c r="J1168" s="70"/>
      <c r="K1168" s="70"/>
      <c r="L1168" s="70"/>
      <c r="M1168" s="70"/>
      <c r="N1168" s="70"/>
      <c r="O1168" s="70"/>
      <c r="P1168" s="70"/>
      <c r="Q1168" s="70"/>
      <c r="R1168" s="70"/>
      <c r="S1168" s="70"/>
      <c r="T1168" s="70"/>
      <c r="U1168" s="64"/>
      <c r="V1168" s="64"/>
      <c r="W1168" s="70"/>
      <c r="X1168" s="64"/>
      <c r="Y1168" s="70"/>
      <c r="Z1168" s="70"/>
      <c r="AA1168" s="71"/>
      <c r="AB1168" s="70"/>
      <c r="AC1168" s="70"/>
      <c r="AD1168" s="64"/>
      <c r="AE1168" s="70"/>
      <c r="AF1168" s="70"/>
      <c r="AG1168" s="70"/>
      <c r="AH1168" s="70"/>
    </row>
    <row r="1169" spans="4:34" x14ac:dyDescent="0.2">
      <c r="D1169" s="53"/>
      <c r="E1169" s="70"/>
      <c r="F1169" s="70"/>
      <c r="G1169" s="70"/>
      <c r="H1169" s="70"/>
      <c r="I1169" s="70"/>
      <c r="J1169" s="70"/>
      <c r="K1169" s="70"/>
      <c r="L1169" s="70"/>
      <c r="M1169" s="70"/>
      <c r="N1169" s="70"/>
      <c r="O1169" s="70"/>
      <c r="P1169" s="70"/>
      <c r="Q1169" s="70"/>
      <c r="R1169" s="70"/>
      <c r="S1169" s="70"/>
      <c r="T1169" s="70"/>
      <c r="U1169" s="64"/>
      <c r="V1169" s="64"/>
      <c r="W1169" s="70"/>
      <c r="X1169" s="64"/>
      <c r="Y1169" s="70"/>
      <c r="Z1169" s="70"/>
      <c r="AA1169" s="71"/>
      <c r="AB1169" s="70"/>
      <c r="AC1169" s="70"/>
      <c r="AD1169" s="64"/>
      <c r="AE1169" s="70"/>
      <c r="AF1169" s="70"/>
      <c r="AG1169" s="70"/>
      <c r="AH1169" s="70"/>
    </row>
    <row r="1170" spans="4:34" x14ac:dyDescent="0.2">
      <c r="D1170" s="53"/>
      <c r="E1170" s="70"/>
      <c r="F1170" s="70"/>
      <c r="G1170" s="70"/>
      <c r="H1170" s="70"/>
      <c r="I1170" s="70"/>
      <c r="J1170" s="70"/>
      <c r="K1170" s="70"/>
      <c r="L1170" s="70"/>
      <c r="M1170" s="70"/>
      <c r="N1170" s="70"/>
      <c r="O1170" s="70"/>
      <c r="P1170" s="70"/>
      <c r="Q1170" s="70"/>
      <c r="R1170" s="70"/>
      <c r="S1170" s="70"/>
      <c r="T1170" s="70"/>
      <c r="U1170" s="64"/>
      <c r="V1170" s="64"/>
      <c r="W1170" s="70"/>
      <c r="X1170" s="64"/>
      <c r="Y1170" s="70"/>
      <c r="Z1170" s="70"/>
      <c r="AA1170" s="71"/>
      <c r="AB1170" s="70"/>
      <c r="AC1170" s="70"/>
      <c r="AD1170" s="64"/>
      <c r="AE1170" s="70"/>
      <c r="AF1170" s="70"/>
      <c r="AG1170" s="70"/>
      <c r="AH1170" s="70"/>
    </row>
    <row r="1171" spans="4:34" x14ac:dyDescent="0.2">
      <c r="D1171" s="53"/>
      <c r="E1171" s="70"/>
      <c r="F1171" s="70"/>
      <c r="G1171" s="70"/>
      <c r="H1171" s="70"/>
      <c r="I1171" s="70"/>
      <c r="J1171" s="70"/>
      <c r="K1171" s="70"/>
      <c r="L1171" s="70"/>
      <c r="M1171" s="70"/>
      <c r="N1171" s="70"/>
      <c r="O1171" s="70"/>
      <c r="P1171" s="70"/>
      <c r="Q1171" s="70"/>
      <c r="R1171" s="70"/>
      <c r="S1171" s="70"/>
      <c r="T1171" s="70"/>
      <c r="U1171" s="64"/>
      <c r="V1171" s="64"/>
      <c r="W1171" s="70"/>
      <c r="X1171" s="64"/>
      <c r="Y1171" s="70"/>
      <c r="Z1171" s="70"/>
      <c r="AA1171" s="71"/>
      <c r="AB1171" s="70"/>
      <c r="AC1171" s="70"/>
      <c r="AD1171" s="64"/>
      <c r="AE1171" s="70"/>
      <c r="AF1171" s="70"/>
      <c r="AG1171" s="70"/>
      <c r="AH1171" s="70"/>
    </row>
    <row r="1172" spans="4:34" x14ac:dyDescent="0.2">
      <c r="D1172" s="53"/>
      <c r="E1172" s="70"/>
      <c r="F1172" s="70"/>
      <c r="G1172" s="70"/>
      <c r="H1172" s="70"/>
      <c r="I1172" s="70"/>
      <c r="J1172" s="70"/>
      <c r="K1172" s="70"/>
      <c r="L1172" s="70"/>
      <c r="M1172" s="70"/>
      <c r="N1172" s="70"/>
      <c r="O1172" s="70"/>
      <c r="P1172" s="70"/>
      <c r="Q1172" s="70"/>
      <c r="R1172" s="70"/>
      <c r="S1172" s="70"/>
      <c r="T1172" s="70"/>
      <c r="U1172" s="64"/>
      <c r="V1172" s="64"/>
      <c r="W1172" s="70"/>
      <c r="X1172" s="64"/>
      <c r="Y1172" s="70"/>
      <c r="Z1172" s="70"/>
      <c r="AA1172" s="71"/>
      <c r="AB1172" s="70"/>
      <c r="AC1172" s="70"/>
      <c r="AD1172" s="64"/>
      <c r="AE1172" s="70"/>
      <c r="AF1172" s="70"/>
      <c r="AG1172" s="70"/>
      <c r="AH1172" s="70"/>
    </row>
    <row r="1173" spans="4:34" x14ac:dyDescent="0.2">
      <c r="D1173" s="53"/>
      <c r="E1173" s="70"/>
      <c r="F1173" s="70"/>
      <c r="G1173" s="70"/>
      <c r="H1173" s="70"/>
      <c r="I1173" s="70"/>
      <c r="J1173" s="70"/>
      <c r="K1173" s="70"/>
      <c r="L1173" s="70"/>
      <c r="M1173" s="70"/>
      <c r="N1173" s="70"/>
      <c r="O1173" s="70"/>
      <c r="P1173" s="70"/>
      <c r="Q1173" s="70"/>
      <c r="R1173" s="70"/>
      <c r="S1173" s="70"/>
      <c r="T1173" s="70"/>
      <c r="U1173" s="64"/>
      <c r="V1173" s="64"/>
      <c r="W1173" s="70"/>
      <c r="X1173" s="64"/>
      <c r="Y1173" s="70"/>
      <c r="Z1173" s="70"/>
      <c r="AA1173" s="71"/>
      <c r="AB1173" s="70"/>
      <c r="AC1173" s="70"/>
      <c r="AD1173" s="64"/>
      <c r="AE1173" s="70"/>
      <c r="AF1173" s="70"/>
      <c r="AG1173" s="70"/>
      <c r="AH1173" s="70"/>
    </row>
    <row r="1174" spans="4:34" x14ac:dyDescent="0.2">
      <c r="D1174" s="53"/>
      <c r="E1174" s="70"/>
      <c r="F1174" s="70"/>
      <c r="G1174" s="70"/>
      <c r="H1174" s="70"/>
      <c r="I1174" s="70"/>
      <c r="J1174" s="70"/>
      <c r="K1174" s="70"/>
      <c r="L1174" s="70"/>
      <c r="M1174" s="70"/>
      <c r="N1174" s="70"/>
      <c r="O1174" s="70"/>
      <c r="P1174" s="70"/>
      <c r="Q1174" s="70"/>
      <c r="R1174" s="70"/>
      <c r="S1174" s="70"/>
      <c r="T1174" s="70"/>
      <c r="U1174" s="64"/>
      <c r="V1174" s="64"/>
      <c r="W1174" s="70"/>
      <c r="X1174" s="64"/>
      <c r="Y1174" s="70"/>
      <c r="Z1174" s="70"/>
      <c r="AA1174" s="71"/>
      <c r="AB1174" s="70"/>
      <c r="AC1174" s="70"/>
      <c r="AD1174" s="64"/>
      <c r="AE1174" s="70"/>
      <c r="AF1174" s="70"/>
      <c r="AG1174" s="70"/>
      <c r="AH1174" s="70"/>
    </row>
    <row r="1175" spans="4:34" x14ac:dyDescent="0.2">
      <c r="D1175" s="53"/>
      <c r="E1175" s="70"/>
      <c r="F1175" s="70"/>
      <c r="G1175" s="70"/>
      <c r="H1175" s="70"/>
      <c r="I1175" s="70"/>
      <c r="J1175" s="70"/>
      <c r="K1175" s="70"/>
      <c r="L1175" s="70"/>
      <c r="M1175" s="70"/>
      <c r="N1175" s="70"/>
      <c r="O1175" s="70"/>
      <c r="P1175" s="70"/>
      <c r="Q1175" s="70"/>
      <c r="R1175" s="70"/>
      <c r="S1175" s="70"/>
      <c r="T1175" s="70"/>
      <c r="U1175" s="64"/>
      <c r="V1175" s="64"/>
      <c r="W1175" s="70"/>
      <c r="X1175" s="64"/>
      <c r="Y1175" s="70"/>
      <c r="Z1175" s="70"/>
      <c r="AA1175" s="71"/>
      <c r="AB1175" s="70"/>
      <c r="AC1175" s="70"/>
      <c r="AD1175" s="64"/>
      <c r="AE1175" s="70"/>
      <c r="AF1175" s="70"/>
      <c r="AG1175" s="70"/>
      <c r="AH1175" s="70"/>
    </row>
    <row r="1176" spans="4:34" x14ac:dyDescent="0.2">
      <c r="D1176" s="53"/>
      <c r="E1176" s="70"/>
      <c r="F1176" s="70"/>
      <c r="G1176" s="70"/>
      <c r="H1176" s="70"/>
      <c r="I1176" s="70"/>
      <c r="J1176" s="70"/>
      <c r="K1176" s="70"/>
      <c r="L1176" s="70"/>
      <c r="M1176" s="70"/>
      <c r="N1176" s="70"/>
      <c r="O1176" s="70"/>
      <c r="P1176" s="70"/>
      <c r="Q1176" s="70"/>
      <c r="R1176" s="70"/>
      <c r="S1176" s="70"/>
      <c r="T1176" s="70"/>
      <c r="U1176" s="64"/>
      <c r="V1176" s="64"/>
      <c r="W1176" s="70"/>
      <c r="X1176" s="64"/>
      <c r="Y1176" s="70"/>
      <c r="Z1176" s="70"/>
      <c r="AA1176" s="71"/>
      <c r="AB1176" s="70"/>
      <c r="AC1176" s="70"/>
      <c r="AD1176" s="64"/>
      <c r="AE1176" s="70"/>
      <c r="AF1176" s="70"/>
      <c r="AG1176" s="70"/>
      <c r="AH1176" s="70"/>
    </row>
    <row r="1177" spans="4:34" x14ac:dyDescent="0.2">
      <c r="D1177" s="53"/>
      <c r="E1177" s="70"/>
      <c r="F1177" s="70"/>
      <c r="G1177" s="70"/>
      <c r="H1177" s="70"/>
      <c r="I1177" s="70"/>
      <c r="J1177" s="70"/>
      <c r="K1177" s="70"/>
      <c r="L1177" s="70"/>
      <c r="M1177" s="70"/>
      <c r="N1177" s="70"/>
      <c r="O1177" s="70"/>
      <c r="P1177" s="70"/>
      <c r="Q1177" s="70"/>
      <c r="R1177" s="70"/>
      <c r="S1177" s="70"/>
      <c r="T1177" s="70"/>
      <c r="U1177" s="64"/>
      <c r="V1177" s="64"/>
      <c r="W1177" s="70"/>
      <c r="X1177" s="64"/>
      <c r="Y1177" s="70"/>
      <c r="Z1177" s="70"/>
      <c r="AA1177" s="71"/>
      <c r="AB1177" s="70"/>
      <c r="AC1177" s="70"/>
      <c r="AD1177" s="64"/>
      <c r="AE1177" s="70"/>
      <c r="AF1177" s="70"/>
      <c r="AG1177" s="70"/>
      <c r="AH1177" s="70"/>
    </row>
    <row r="1178" spans="4:34" x14ac:dyDescent="0.2">
      <c r="D1178" s="53"/>
      <c r="E1178" s="70"/>
      <c r="F1178" s="70"/>
      <c r="G1178" s="70"/>
      <c r="H1178" s="70"/>
      <c r="I1178" s="70"/>
      <c r="J1178" s="70"/>
      <c r="K1178" s="70"/>
      <c r="L1178" s="70"/>
      <c r="M1178" s="70"/>
      <c r="N1178" s="70"/>
      <c r="O1178" s="70"/>
      <c r="P1178" s="70"/>
      <c r="Q1178" s="70"/>
      <c r="R1178" s="70"/>
      <c r="S1178" s="70"/>
      <c r="T1178" s="70"/>
      <c r="U1178" s="64"/>
      <c r="V1178" s="64"/>
      <c r="W1178" s="70"/>
      <c r="X1178" s="64"/>
      <c r="Y1178" s="70"/>
      <c r="Z1178" s="70"/>
      <c r="AA1178" s="71"/>
      <c r="AB1178" s="70"/>
      <c r="AC1178" s="70"/>
      <c r="AD1178" s="64"/>
      <c r="AE1178" s="70"/>
      <c r="AF1178" s="70"/>
      <c r="AG1178" s="70"/>
      <c r="AH1178" s="70"/>
    </row>
    <row r="1179" spans="4:34" x14ac:dyDescent="0.2">
      <c r="D1179" s="53"/>
      <c r="E1179" s="70"/>
      <c r="F1179" s="70"/>
      <c r="G1179" s="70"/>
      <c r="H1179" s="70"/>
      <c r="I1179" s="70"/>
      <c r="J1179" s="70"/>
      <c r="K1179" s="70"/>
      <c r="L1179" s="70"/>
      <c r="M1179" s="70"/>
      <c r="N1179" s="70"/>
      <c r="O1179" s="70"/>
      <c r="P1179" s="70"/>
      <c r="Q1179" s="70"/>
      <c r="R1179" s="70"/>
      <c r="S1179" s="70"/>
      <c r="T1179" s="70"/>
      <c r="U1179" s="64"/>
      <c r="V1179" s="64"/>
      <c r="W1179" s="70"/>
      <c r="X1179" s="64"/>
      <c r="Y1179" s="70"/>
      <c r="Z1179" s="70"/>
      <c r="AA1179" s="71"/>
      <c r="AB1179" s="70"/>
      <c r="AC1179" s="70"/>
      <c r="AD1179" s="64"/>
      <c r="AE1179" s="70"/>
      <c r="AF1179" s="70"/>
      <c r="AG1179" s="70"/>
      <c r="AH1179" s="70"/>
    </row>
    <row r="1180" spans="4:34" x14ac:dyDescent="0.2">
      <c r="D1180" s="53"/>
      <c r="E1180" s="70"/>
      <c r="F1180" s="70"/>
      <c r="G1180" s="70"/>
      <c r="H1180" s="70"/>
      <c r="I1180" s="70"/>
      <c r="J1180" s="70"/>
      <c r="K1180" s="70"/>
      <c r="L1180" s="70"/>
      <c r="M1180" s="70"/>
      <c r="N1180" s="70"/>
      <c r="O1180" s="70"/>
      <c r="P1180" s="70"/>
      <c r="Q1180" s="70"/>
      <c r="R1180" s="70"/>
      <c r="S1180" s="70"/>
      <c r="T1180" s="70"/>
      <c r="U1180" s="64"/>
      <c r="V1180" s="64"/>
      <c r="W1180" s="70"/>
      <c r="X1180" s="64"/>
      <c r="Y1180" s="70"/>
      <c r="Z1180" s="70"/>
      <c r="AA1180" s="71"/>
      <c r="AB1180" s="70"/>
      <c r="AC1180" s="70"/>
      <c r="AD1180" s="64"/>
      <c r="AE1180" s="70"/>
      <c r="AF1180" s="70"/>
      <c r="AG1180" s="70"/>
      <c r="AH1180" s="70"/>
    </row>
    <row r="1181" spans="4:34" x14ac:dyDescent="0.2">
      <c r="D1181" s="53"/>
      <c r="E1181" s="70"/>
      <c r="F1181" s="70"/>
      <c r="G1181" s="70"/>
      <c r="H1181" s="70"/>
      <c r="I1181" s="70"/>
      <c r="J1181" s="70"/>
      <c r="K1181" s="70"/>
      <c r="L1181" s="70"/>
      <c r="M1181" s="70"/>
      <c r="N1181" s="70"/>
      <c r="O1181" s="70"/>
      <c r="P1181" s="70"/>
      <c r="Q1181" s="70"/>
      <c r="R1181" s="70"/>
      <c r="S1181" s="70"/>
      <c r="T1181" s="70"/>
      <c r="U1181" s="64"/>
      <c r="V1181" s="64"/>
      <c r="W1181" s="70"/>
      <c r="X1181" s="64"/>
      <c r="Y1181" s="70"/>
      <c r="Z1181" s="70"/>
      <c r="AA1181" s="71"/>
      <c r="AB1181" s="70"/>
      <c r="AC1181" s="70"/>
      <c r="AD1181" s="64"/>
      <c r="AE1181" s="70"/>
      <c r="AF1181" s="70"/>
      <c r="AG1181" s="70"/>
      <c r="AH1181" s="70"/>
    </row>
    <row r="1182" spans="4:34" x14ac:dyDescent="0.2">
      <c r="D1182" s="53"/>
      <c r="E1182" s="70"/>
      <c r="F1182" s="70"/>
      <c r="G1182" s="70"/>
      <c r="H1182" s="70"/>
      <c r="I1182" s="70"/>
      <c r="J1182" s="70"/>
      <c r="K1182" s="70"/>
      <c r="L1182" s="70"/>
      <c r="M1182" s="70"/>
      <c r="N1182" s="70"/>
      <c r="O1182" s="70"/>
      <c r="P1182" s="70"/>
      <c r="Q1182" s="70"/>
      <c r="R1182" s="70"/>
      <c r="S1182" s="70"/>
      <c r="T1182" s="70"/>
      <c r="U1182" s="64"/>
      <c r="V1182" s="64"/>
      <c r="W1182" s="70"/>
      <c r="X1182" s="64"/>
      <c r="Y1182" s="70"/>
      <c r="Z1182" s="70"/>
      <c r="AA1182" s="71"/>
      <c r="AB1182" s="70"/>
      <c r="AC1182" s="70"/>
      <c r="AD1182" s="64"/>
      <c r="AE1182" s="70"/>
      <c r="AF1182" s="70"/>
      <c r="AG1182" s="70"/>
      <c r="AH1182" s="70"/>
    </row>
    <row r="1183" spans="4:34" x14ac:dyDescent="0.2">
      <c r="D1183" s="53"/>
      <c r="E1183" s="70"/>
      <c r="F1183" s="70"/>
      <c r="G1183" s="70"/>
      <c r="H1183" s="70"/>
      <c r="I1183" s="70"/>
      <c r="J1183" s="70"/>
      <c r="K1183" s="70"/>
      <c r="L1183" s="70"/>
      <c r="M1183" s="70"/>
      <c r="N1183" s="70"/>
      <c r="O1183" s="70"/>
      <c r="P1183" s="70"/>
      <c r="Q1183" s="70"/>
      <c r="R1183" s="70"/>
      <c r="S1183" s="70"/>
      <c r="T1183" s="70"/>
      <c r="U1183" s="64"/>
      <c r="V1183" s="64"/>
      <c r="W1183" s="70"/>
      <c r="X1183" s="64"/>
      <c r="Y1183" s="70"/>
      <c r="Z1183" s="70"/>
      <c r="AA1183" s="71"/>
      <c r="AB1183" s="70"/>
      <c r="AC1183" s="70"/>
      <c r="AD1183" s="64"/>
      <c r="AE1183" s="70"/>
      <c r="AF1183" s="70"/>
      <c r="AG1183" s="70"/>
      <c r="AH1183" s="70"/>
    </row>
    <row r="1184" spans="4:34" x14ac:dyDescent="0.2">
      <c r="D1184" s="53"/>
      <c r="E1184" s="70"/>
      <c r="F1184" s="70"/>
      <c r="G1184" s="70"/>
      <c r="H1184" s="70"/>
      <c r="I1184" s="70"/>
      <c r="J1184" s="70"/>
      <c r="K1184" s="70"/>
      <c r="L1184" s="70"/>
      <c r="M1184" s="70"/>
      <c r="N1184" s="70"/>
      <c r="O1184" s="70"/>
      <c r="P1184" s="70"/>
      <c r="Q1184" s="70"/>
      <c r="R1184" s="70"/>
      <c r="S1184" s="70"/>
      <c r="T1184" s="70"/>
      <c r="U1184" s="64"/>
      <c r="V1184" s="64"/>
      <c r="W1184" s="70"/>
      <c r="X1184" s="64"/>
      <c r="Y1184" s="70"/>
      <c r="Z1184" s="70"/>
      <c r="AA1184" s="71"/>
      <c r="AB1184" s="70"/>
      <c r="AC1184" s="70"/>
      <c r="AD1184" s="64"/>
      <c r="AE1184" s="70"/>
      <c r="AF1184" s="70"/>
      <c r="AG1184" s="70"/>
      <c r="AH1184" s="70"/>
    </row>
    <row r="1185" spans="4:34" x14ac:dyDescent="0.2">
      <c r="D1185" s="53"/>
      <c r="E1185" s="70"/>
      <c r="F1185" s="70"/>
      <c r="G1185" s="70"/>
      <c r="H1185" s="70"/>
      <c r="I1185" s="70"/>
      <c r="J1185" s="70"/>
      <c r="K1185" s="70"/>
      <c r="L1185" s="70"/>
      <c r="M1185" s="70"/>
      <c r="N1185" s="70"/>
      <c r="O1185" s="70"/>
      <c r="P1185" s="70"/>
      <c r="Q1185" s="70"/>
      <c r="R1185" s="70"/>
      <c r="S1185" s="70"/>
      <c r="T1185" s="70"/>
      <c r="U1185" s="64"/>
      <c r="V1185" s="64"/>
      <c r="W1185" s="70"/>
      <c r="X1185" s="64"/>
      <c r="Y1185" s="70"/>
      <c r="Z1185" s="70"/>
      <c r="AA1185" s="71"/>
      <c r="AB1185" s="70"/>
      <c r="AC1185" s="70"/>
      <c r="AD1185" s="64"/>
      <c r="AE1185" s="70"/>
      <c r="AF1185" s="70"/>
      <c r="AG1185" s="70"/>
      <c r="AH1185" s="70"/>
    </row>
    <row r="1186" spans="4:34" x14ac:dyDescent="0.2">
      <c r="D1186" s="53"/>
      <c r="E1186" s="70"/>
      <c r="F1186" s="70"/>
      <c r="G1186" s="70"/>
      <c r="H1186" s="70"/>
      <c r="I1186" s="70"/>
      <c r="J1186" s="70"/>
      <c r="K1186" s="70"/>
      <c r="L1186" s="70"/>
      <c r="M1186" s="70"/>
      <c r="N1186" s="70"/>
      <c r="O1186" s="70"/>
      <c r="P1186" s="70"/>
      <c r="Q1186" s="70"/>
      <c r="R1186" s="70"/>
      <c r="S1186" s="70"/>
      <c r="T1186" s="70"/>
      <c r="U1186" s="64"/>
      <c r="V1186" s="64"/>
      <c r="W1186" s="70"/>
      <c r="X1186" s="64"/>
      <c r="Y1186" s="70"/>
      <c r="Z1186" s="70"/>
      <c r="AA1186" s="71"/>
      <c r="AB1186" s="70"/>
      <c r="AC1186" s="70"/>
      <c r="AD1186" s="64"/>
      <c r="AE1186" s="70"/>
      <c r="AF1186" s="70"/>
      <c r="AG1186" s="70"/>
      <c r="AH1186" s="70"/>
    </row>
    <row r="1187" spans="4:34" x14ac:dyDescent="0.2">
      <c r="D1187" s="53"/>
      <c r="E1187" s="70"/>
      <c r="F1187" s="70"/>
      <c r="G1187" s="70"/>
      <c r="H1187" s="70"/>
      <c r="I1187" s="70"/>
      <c r="J1187" s="70"/>
      <c r="K1187" s="70"/>
      <c r="L1187" s="70"/>
      <c r="M1187" s="70"/>
      <c r="N1187" s="70"/>
      <c r="O1187" s="70"/>
      <c r="P1187" s="70"/>
      <c r="Q1187" s="70"/>
      <c r="R1187" s="70"/>
      <c r="S1187" s="70"/>
      <c r="T1187" s="70"/>
      <c r="U1187" s="64"/>
      <c r="V1187" s="64"/>
      <c r="W1187" s="70"/>
      <c r="X1187" s="64"/>
      <c r="Y1187" s="70"/>
      <c r="Z1187" s="70"/>
      <c r="AA1187" s="71"/>
      <c r="AB1187" s="70"/>
      <c r="AC1187" s="70"/>
      <c r="AD1187" s="64"/>
      <c r="AE1187" s="70"/>
      <c r="AF1187" s="70"/>
      <c r="AG1187" s="70"/>
      <c r="AH1187" s="70"/>
    </row>
    <row r="1188" spans="4:34" x14ac:dyDescent="0.2">
      <c r="D1188" s="53"/>
      <c r="E1188" s="70"/>
      <c r="F1188" s="70"/>
      <c r="G1188" s="70"/>
      <c r="H1188" s="70"/>
      <c r="I1188" s="70"/>
      <c r="J1188" s="70"/>
      <c r="K1188" s="70"/>
      <c r="L1188" s="70"/>
      <c r="M1188" s="70"/>
      <c r="N1188" s="70"/>
      <c r="O1188" s="70"/>
      <c r="P1188" s="70"/>
      <c r="Q1188" s="70"/>
      <c r="R1188" s="70"/>
      <c r="S1188" s="70"/>
      <c r="T1188" s="70"/>
      <c r="U1188" s="64"/>
      <c r="V1188" s="64"/>
      <c r="W1188" s="70"/>
      <c r="X1188" s="64"/>
      <c r="Y1188" s="70"/>
      <c r="Z1188" s="70"/>
      <c r="AA1188" s="71"/>
      <c r="AB1188" s="70"/>
      <c r="AC1188" s="70"/>
      <c r="AD1188" s="64"/>
      <c r="AE1188" s="70"/>
      <c r="AF1188" s="70"/>
      <c r="AG1188" s="70"/>
      <c r="AH1188" s="70"/>
    </row>
    <row r="1189" spans="4:34" x14ac:dyDescent="0.2">
      <c r="D1189" s="53"/>
      <c r="E1189" s="70"/>
      <c r="F1189" s="70"/>
      <c r="G1189" s="70"/>
      <c r="H1189" s="70"/>
      <c r="I1189" s="70"/>
      <c r="J1189" s="70"/>
      <c r="K1189" s="70"/>
      <c r="L1189" s="70"/>
      <c r="M1189" s="70"/>
      <c r="N1189" s="70"/>
      <c r="O1189" s="70"/>
      <c r="P1189" s="70"/>
      <c r="Q1189" s="70"/>
      <c r="R1189" s="70"/>
      <c r="S1189" s="70"/>
      <c r="T1189" s="70"/>
      <c r="U1189" s="64"/>
      <c r="V1189" s="64"/>
      <c r="W1189" s="70"/>
      <c r="X1189" s="64"/>
      <c r="Y1189" s="70"/>
      <c r="Z1189" s="70"/>
      <c r="AA1189" s="71"/>
      <c r="AB1189" s="70"/>
      <c r="AC1189" s="70"/>
      <c r="AD1189" s="64"/>
      <c r="AE1189" s="70"/>
      <c r="AF1189" s="70"/>
      <c r="AG1189" s="70"/>
      <c r="AH1189" s="70"/>
    </row>
    <row r="1190" spans="4:34" x14ac:dyDescent="0.2">
      <c r="D1190" s="53"/>
      <c r="E1190" s="70"/>
      <c r="F1190" s="70"/>
      <c r="G1190" s="70"/>
      <c r="H1190" s="70"/>
      <c r="I1190" s="70"/>
      <c r="J1190" s="70"/>
      <c r="K1190" s="70"/>
      <c r="L1190" s="70"/>
      <c r="M1190" s="70"/>
      <c r="N1190" s="70"/>
      <c r="O1190" s="70"/>
      <c r="P1190" s="70"/>
      <c r="Q1190" s="70"/>
      <c r="R1190" s="70"/>
      <c r="S1190" s="70"/>
      <c r="T1190" s="70"/>
      <c r="U1190" s="64"/>
      <c r="V1190" s="64"/>
      <c r="W1190" s="70"/>
      <c r="X1190" s="64"/>
      <c r="Y1190" s="70"/>
      <c r="Z1190" s="70"/>
      <c r="AA1190" s="71"/>
      <c r="AB1190" s="70"/>
      <c r="AC1190" s="70"/>
      <c r="AD1190" s="64"/>
      <c r="AE1190" s="70"/>
      <c r="AF1190" s="70"/>
      <c r="AG1190" s="70"/>
      <c r="AH1190" s="70"/>
    </row>
    <row r="1191" spans="4:34" x14ac:dyDescent="0.2">
      <c r="D1191" s="53"/>
      <c r="E1191" s="70"/>
      <c r="F1191" s="70"/>
      <c r="G1191" s="70"/>
      <c r="H1191" s="70"/>
      <c r="I1191" s="70"/>
      <c r="J1191" s="70"/>
      <c r="K1191" s="70"/>
      <c r="L1191" s="70"/>
      <c r="M1191" s="70"/>
      <c r="N1191" s="70"/>
      <c r="O1191" s="70"/>
      <c r="P1191" s="70"/>
      <c r="Q1191" s="70"/>
      <c r="R1191" s="70"/>
      <c r="S1191" s="70"/>
      <c r="T1191" s="70"/>
      <c r="U1191" s="64"/>
      <c r="V1191" s="64"/>
      <c r="W1191" s="70"/>
      <c r="X1191" s="64"/>
      <c r="Y1191" s="70"/>
      <c r="Z1191" s="70"/>
      <c r="AA1191" s="71"/>
      <c r="AB1191" s="70"/>
      <c r="AC1191" s="70"/>
      <c r="AD1191" s="64"/>
      <c r="AE1191" s="70"/>
      <c r="AF1191" s="70"/>
      <c r="AG1191" s="70"/>
      <c r="AH1191" s="70"/>
    </row>
    <row r="1192" spans="4:34" x14ac:dyDescent="0.2">
      <c r="D1192" s="53"/>
      <c r="E1192" s="70"/>
      <c r="F1192" s="70"/>
      <c r="G1192" s="70"/>
      <c r="H1192" s="70"/>
      <c r="I1192" s="70"/>
      <c r="J1192" s="70"/>
      <c r="K1192" s="70"/>
      <c r="L1192" s="70"/>
      <c r="M1192" s="70"/>
      <c r="N1192" s="70"/>
      <c r="O1192" s="70"/>
      <c r="P1192" s="70"/>
      <c r="Q1192" s="70"/>
      <c r="R1192" s="70"/>
      <c r="S1192" s="70"/>
      <c r="T1192" s="70"/>
      <c r="U1192" s="64"/>
      <c r="V1192" s="64"/>
      <c r="W1192" s="70"/>
      <c r="X1192" s="64"/>
      <c r="Y1192" s="70"/>
      <c r="Z1192" s="70"/>
      <c r="AA1192" s="71"/>
      <c r="AB1192" s="70"/>
      <c r="AC1192" s="70"/>
      <c r="AD1192" s="64"/>
      <c r="AE1192" s="70"/>
      <c r="AF1192" s="70"/>
      <c r="AG1192" s="70"/>
      <c r="AH1192" s="70"/>
    </row>
    <row r="1193" spans="4:34" x14ac:dyDescent="0.2">
      <c r="D1193" s="53"/>
      <c r="E1193" s="70"/>
      <c r="F1193" s="70"/>
      <c r="G1193" s="70"/>
      <c r="H1193" s="70"/>
      <c r="I1193" s="70"/>
      <c r="J1193" s="70"/>
      <c r="K1193" s="70"/>
      <c r="L1193" s="70"/>
      <c r="M1193" s="70"/>
      <c r="N1193" s="70"/>
      <c r="O1193" s="70"/>
      <c r="P1193" s="70"/>
      <c r="Q1193" s="70"/>
      <c r="R1193" s="70"/>
      <c r="S1193" s="70"/>
      <c r="T1193" s="70"/>
      <c r="U1193" s="64"/>
      <c r="V1193" s="64"/>
      <c r="W1193" s="70"/>
      <c r="X1193" s="64"/>
      <c r="Y1193" s="70"/>
      <c r="Z1193" s="70"/>
      <c r="AA1193" s="71"/>
      <c r="AB1193" s="70"/>
      <c r="AC1193" s="70"/>
      <c r="AD1193" s="64"/>
      <c r="AE1193" s="70"/>
      <c r="AF1193" s="70"/>
      <c r="AG1193" s="70"/>
      <c r="AH1193" s="70"/>
    </row>
    <row r="1194" spans="4:34" x14ac:dyDescent="0.2">
      <c r="D1194" s="53"/>
      <c r="E1194" s="70"/>
      <c r="F1194" s="70"/>
      <c r="G1194" s="70"/>
      <c r="H1194" s="70"/>
      <c r="I1194" s="70"/>
      <c r="J1194" s="70"/>
      <c r="K1194" s="70"/>
      <c r="L1194" s="70"/>
      <c r="M1194" s="70"/>
      <c r="N1194" s="70"/>
      <c r="O1194" s="70"/>
      <c r="P1194" s="70"/>
      <c r="Q1194" s="70"/>
      <c r="R1194" s="70"/>
      <c r="S1194" s="70"/>
      <c r="T1194" s="70"/>
      <c r="U1194" s="64"/>
      <c r="V1194" s="64"/>
      <c r="W1194" s="70"/>
      <c r="X1194" s="64"/>
      <c r="Y1194" s="70"/>
      <c r="Z1194" s="70"/>
      <c r="AA1194" s="71"/>
      <c r="AB1194" s="70"/>
      <c r="AC1194" s="70"/>
      <c r="AD1194" s="64"/>
      <c r="AE1194" s="70"/>
      <c r="AF1194" s="70"/>
      <c r="AG1194" s="70"/>
      <c r="AH1194" s="70"/>
    </row>
    <row r="1195" spans="4:34" x14ac:dyDescent="0.2">
      <c r="D1195" s="53"/>
      <c r="E1195" s="70"/>
      <c r="F1195" s="70"/>
      <c r="G1195" s="70"/>
      <c r="H1195" s="70"/>
      <c r="I1195" s="70"/>
      <c r="J1195" s="70"/>
      <c r="K1195" s="70"/>
      <c r="L1195" s="70"/>
      <c r="M1195" s="70"/>
      <c r="N1195" s="70"/>
      <c r="O1195" s="70"/>
      <c r="P1195" s="70"/>
      <c r="Q1195" s="70"/>
      <c r="R1195" s="70"/>
      <c r="S1195" s="70"/>
      <c r="T1195" s="70"/>
      <c r="U1195" s="64"/>
      <c r="V1195" s="64"/>
      <c r="W1195" s="70"/>
      <c r="X1195" s="64"/>
      <c r="Y1195" s="70"/>
      <c r="Z1195" s="70"/>
      <c r="AA1195" s="71"/>
      <c r="AB1195" s="70"/>
      <c r="AC1195" s="70"/>
      <c r="AD1195" s="64"/>
      <c r="AE1195" s="70"/>
      <c r="AF1195" s="70"/>
      <c r="AG1195" s="70"/>
      <c r="AH1195" s="70"/>
    </row>
    <row r="1196" spans="4:34" x14ac:dyDescent="0.2">
      <c r="D1196" s="53"/>
      <c r="E1196" s="70"/>
      <c r="F1196" s="70"/>
      <c r="G1196" s="70"/>
      <c r="H1196" s="70"/>
      <c r="I1196" s="70"/>
      <c r="J1196" s="70"/>
      <c r="K1196" s="70"/>
      <c r="L1196" s="70"/>
      <c r="M1196" s="70"/>
      <c r="N1196" s="70"/>
      <c r="O1196" s="70"/>
      <c r="P1196" s="70"/>
      <c r="Q1196" s="70"/>
      <c r="R1196" s="70"/>
      <c r="S1196" s="70"/>
      <c r="T1196" s="70"/>
      <c r="U1196" s="64"/>
      <c r="V1196" s="64"/>
      <c r="W1196" s="70"/>
      <c r="X1196" s="64"/>
      <c r="Y1196" s="70"/>
      <c r="Z1196" s="70"/>
      <c r="AA1196" s="71"/>
      <c r="AB1196" s="70"/>
      <c r="AC1196" s="70"/>
      <c r="AD1196" s="64"/>
      <c r="AE1196" s="70"/>
      <c r="AF1196" s="70"/>
      <c r="AG1196" s="70"/>
      <c r="AH1196" s="70"/>
    </row>
    <row r="1197" spans="4:34" x14ac:dyDescent="0.2">
      <c r="D1197" s="53"/>
      <c r="E1197" s="70"/>
      <c r="F1197" s="70"/>
      <c r="G1197" s="70"/>
      <c r="H1197" s="70"/>
      <c r="I1197" s="70"/>
      <c r="J1197" s="70"/>
      <c r="K1197" s="70"/>
      <c r="L1197" s="70"/>
      <c r="M1197" s="70"/>
      <c r="N1197" s="70"/>
      <c r="O1197" s="70"/>
      <c r="P1197" s="70"/>
      <c r="Q1197" s="70"/>
      <c r="R1197" s="70"/>
      <c r="S1197" s="70"/>
      <c r="T1197" s="70"/>
      <c r="U1197" s="64"/>
      <c r="V1197" s="64"/>
      <c r="W1197" s="70"/>
      <c r="X1197" s="64"/>
      <c r="Y1197" s="70"/>
      <c r="Z1197" s="70"/>
      <c r="AA1197" s="71"/>
      <c r="AB1197" s="70"/>
      <c r="AC1197" s="70"/>
      <c r="AD1197" s="64"/>
      <c r="AE1197" s="70"/>
      <c r="AF1197" s="70"/>
      <c r="AG1197" s="70"/>
      <c r="AH1197" s="70"/>
    </row>
    <row r="1198" spans="4:34" x14ac:dyDescent="0.2">
      <c r="D1198" s="53"/>
      <c r="E1198" s="70"/>
      <c r="F1198" s="70"/>
      <c r="G1198" s="70"/>
      <c r="H1198" s="70"/>
      <c r="I1198" s="70"/>
      <c r="J1198" s="70"/>
      <c r="K1198" s="70"/>
      <c r="L1198" s="70"/>
      <c r="M1198" s="70"/>
      <c r="N1198" s="70"/>
      <c r="O1198" s="70"/>
      <c r="P1198" s="70"/>
      <c r="Q1198" s="70"/>
      <c r="R1198" s="70"/>
      <c r="S1198" s="70"/>
      <c r="T1198" s="70"/>
      <c r="U1198" s="64"/>
      <c r="V1198" s="64"/>
      <c r="W1198" s="70"/>
      <c r="X1198" s="64"/>
      <c r="Y1198" s="70"/>
      <c r="Z1198" s="70"/>
      <c r="AA1198" s="71"/>
      <c r="AB1198" s="70"/>
      <c r="AC1198" s="70"/>
      <c r="AD1198" s="64"/>
      <c r="AE1198" s="70"/>
      <c r="AF1198" s="70"/>
      <c r="AG1198" s="70"/>
      <c r="AH1198" s="70"/>
    </row>
    <row r="1199" spans="4:34" x14ac:dyDescent="0.2">
      <c r="D1199" s="53"/>
      <c r="E1199" s="70"/>
      <c r="F1199" s="70"/>
      <c r="G1199" s="70"/>
      <c r="H1199" s="70"/>
      <c r="I1199" s="70"/>
      <c r="J1199" s="70"/>
      <c r="K1199" s="70"/>
      <c r="L1199" s="70"/>
      <c r="M1199" s="70"/>
      <c r="N1199" s="70"/>
      <c r="O1199" s="70"/>
      <c r="P1199" s="70"/>
      <c r="Q1199" s="70"/>
      <c r="R1199" s="70"/>
      <c r="S1199" s="70"/>
      <c r="T1199" s="70"/>
      <c r="U1199" s="64"/>
      <c r="V1199" s="64"/>
      <c r="W1199" s="70"/>
      <c r="X1199" s="64"/>
      <c r="Y1199" s="70"/>
      <c r="Z1199" s="70"/>
      <c r="AA1199" s="71"/>
      <c r="AB1199" s="70"/>
      <c r="AC1199" s="70"/>
      <c r="AD1199" s="64"/>
      <c r="AE1199" s="70"/>
      <c r="AF1199" s="70"/>
      <c r="AG1199" s="70"/>
      <c r="AH1199" s="70"/>
    </row>
    <row r="1200" spans="4:34" x14ac:dyDescent="0.2">
      <c r="D1200" s="53"/>
      <c r="E1200" s="70"/>
      <c r="F1200" s="70"/>
      <c r="G1200" s="70"/>
      <c r="H1200" s="70"/>
      <c r="I1200" s="70"/>
      <c r="J1200" s="70"/>
      <c r="K1200" s="70"/>
      <c r="L1200" s="70"/>
      <c r="M1200" s="70"/>
      <c r="N1200" s="70"/>
      <c r="O1200" s="70"/>
      <c r="P1200" s="70"/>
      <c r="Q1200" s="70"/>
      <c r="R1200" s="70"/>
      <c r="S1200" s="70"/>
      <c r="T1200" s="70"/>
      <c r="U1200" s="64"/>
      <c r="V1200" s="64"/>
      <c r="W1200" s="70"/>
      <c r="X1200" s="64"/>
      <c r="Y1200" s="70"/>
      <c r="Z1200" s="70"/>
      <c r="AA1200" s="71"/>
      <c r="AB1200" s="70"/>
      <c r="AC1200" s="70"/>
      <c r="AD1200" s="64"/>
      <c r="AE1200" s="70"/>
      <c r="AF1200" s="70"/>
      <c r="AG1200" s="70"/>
      <c r="AH1200" s="70"/>
    </row>
    <row r="1201" spans="4:34" x14ac:dyDescent="0.2">
      <c r="D1201" s="53"/>
      <c r="E1201" s="70"/>
      <c r="F1201" s="70"/>
      <c r="G1201" s="70"/>
      <c r="H1201" s="70"/>
      <c r="I1201" s="70"/>
      <c r="J1201" s="70"/>
      <c r="K1201" s="70"/>
      <c r="L1201" s="70"/>
      <c r="M1201" s="70"/>
      <c r="N1201" s="70"/>
      <c r="O1201" s="70"/>
      <c r="P1201" s="70"/>
      <c r="Q1201" s="70"/>
      <c r="R1201" s="70"/>
      <c r="S1201" s="70"/>
      <c r="T1201" s="70"/>
      <c r="U1201" s="64"/>
      <c r="V1201" s="64"/>
      <c r="W1201" s="70"/>
      <c r="X1201" s="64"/>
      <c r="Y1201" s="70"/>
      <c r="Z1201" s="70"/>
      <c r="AA1201" s="71"/>
      <c r="AB1201" s="70"/>
      <c r="AC1201" s="70"/>
      <c r="AD1201" s="64"/>
      <c r="AE1201" s="70"/>
      <c r="AF1201" s="70"/>
      <c r="AG1201" s="70"/>
      <c r="AH1201" s="70"/>
    </row>
    <row r="1202" spans="4:34" x14ac:dyDescent="0.2">
      <c r="D1202" s="53"/>
      <c r="E1202" s="70"/>
      <c r="F1202" s="70"/>
      <c r="G1202" s="70"/>
      <c r="H1202" s="70"/>
      <c r="I1202" s="70"/>
      <c r="J1202" s="70"/>
      <c r="K1202" s="70"/>
      <c r="L1202" s="70"/>
      <c r="M1202" s="70"/>
      <c r="N1202" s="70"/>
      <c r="O1202" s="70"/>
      <c r="P1202" s="70"/>
      <c r="Q1202" s="70"/>
      <c r="R1202" s="70"/>
      <c r="S1202" s="70"/>
      <c r="T1202" s="70"/>
      <c r="U1202" s="64"/>
      <c r="V1202" s="64"/>
      <c r="W1202" s="70"/>
      <c r="X1202" s="64"/>
      <c r="Y1202" s="70"/>
      <c r="Z1202" s="70"/>
      <c r="AA1202" s="71"/>
      <c r="AB1202" s="70"/>
      <c r="AC1202" s="70"/>
      <c r="AD1202" s="64"/>
      <c r="AE1202" s="70"/>
      <c r="AF1202" s="70"/>
      <c r="AG1202" s="70"/>
      <c r="AH1202" s="70"/>
    </row>
    <row r="1203" spans="4:34" x14ac:dyDescent="0.2">
      <c r="D1203" s="53"/>
      <c r="E1203" s="70"/>
      <c r="F1203" s="70"/>
      <c r="G1203" s="70"/>
      <c r="H1203" s="70"/>
      <c r="I1203" s="70"/>
      <c r="J1203" s="70"/>
      <c r="K1203" s="70"/>
      <c r="L1203" s="70"/>
      <c r="M1203" s="70"/>
      <c r="N1203" s="70"/>
      <c r="O1203" s="70"/>
      <c r="P1203" s="70"/>
      <c r="Q1203" s="70"/>
      <c r="R1203" s="70"/>
      <c r="S1203" s="70"/>
      <c r="T1203" s="70"/>
      <c r="U1203" s="64"/>
      <c r="V1203" s="64"/>
      <c r="W1203" s="70"/>
      <c r="X1203" s="64"/>
      <c r="Y1203" s="70"/>
      <c r="Z1203" s="70"/>
      <c r="AA1203" s="71"/>
      <c r="AB1203" s="70"/>
      <c r="AC1203" s="70"/>
      <c r="AD1203" s="64"/>
      <c r="AE1203" s="70"/>
      <c r="AF1203" s="70"/>
      <c r="AG1203" s="70"/>
      <c r="AH1203" s="70"/>
    </row>
    <row r="1204" spans="4:34" x14ac:dyDescent="0.2">
      <c r="D1204" s="53"/>
      <c r="E1204" s="70"/>
      <c r="F1204" s="70"/>
      <c r="G1204" s="70"/>
      <c r="H1204" s="70"/>
      <c r="I1204" s="70"/>
      <c r="J1204" s="70"/>
      <c r="K1204" s="70"/>
      <c r="L1204" s="70"/>
      <c r="M1204" s="70"/>
      <c r="N1204" s="70"/>
      <c r="O1204" s="70"/>
      <c r="P1204" s="70"/>
      <c r="Q1204" s="70"/>
      <c r="R1204" s="70"/>
      <c r="S1204" s="70"/>
      <c r="T1204" s="70"/>
      <c r="U1204" s="64"/>
      <c r="V1204" s="64"/>
      <c r="W1204" s="70"/>
      <c r="X1204" s="64"/>
      <c r="Y1204" s="70"/>
      <c r="Z1204" s="70"/>
      <c r="AA1204" s="71"/>
      <c r="AB1204" s="70"/>
      <c r="AC1204" s="70"/>
      <c r="AD1204" s="64"/>
      <c r="AE1204" s="70"/>
      <c r="AF1204" s="70"/>
      <c r="AG1204" s="70"/>
      <c r="AH1204" s="70"/>
    </row>
    <row r="1205" spans="4:34" x14ac:dyDescent="0.2">
      <c r="D1205" s="53"/>
      <c r="E1205" s="70"/>
      <c r="F1205" s="70"/>
      <c r="G1205" s="70"/>
      <c r="H1205" s="70"/>
      <c r="I1205" s="70"/>
      <c r="J1205" s="70"/>
      <c r="K1205" s="70"/>
      <c r="L1205" s="70"/>
      <c r="M1205" s="70"/>
      <c r="N1205" s="70"/>
      <c r="O1205" s="70"/>
      <c r="P1205" s="70"/>
      <c r="Q1205" s="70"/>
      <c r="R1205" s="70"/>
      <c r="S1205" s="70"/>
      <c r="T1205" s="70"/>
      <c r="U1205" s="64"/>
      <c r="V1205" s="64"/>
      <c r="W1205" s="70"/>
      <c r="X1205" s="64"/>
      <c r="Y1205" s="70"/>
      <c r="Z1205" s="70"/>
      <c r="AA1205" s="71"/>
      <c r="AB1205" s="70"/>
      <c r="AC1205" s="70"/>
      <c r="AD1205" s="64"/>
      <c r="AE1205" s="70"/>
      <c r="AF1205" s="70"/>
      <c r="AG1205" s="70"/>
      <c r="AH1205" s="70"/>
    </row>
    <row r="1206" spans="4:34" x14ac:dyDescent="0.2">
      <c r="D1206" s="53"/>
      <c r="E1206" s="70"/>
      <c r="F1206" s="70"/>
      <c r="G1206" s="70"/>
      <c r="H1206" s="70"/>
      <c r="I1206" s="70"/>
      <c r="J1206" s="70"/>
      <c r="K1206" s="70"/>
      <c r="L1206" s="70"/>
      <c r="M1206" s="70"/>
      <c r="N1206" s="70"/>
      <c r="O1206" s="70"/>
      <c r="P1206" s="70"/>
      <c r="Q1206" s="70"/>
      <c r="R1206" s="70"/>
      <c r="S1206" s="70"/>
      <c r="T1206" s="70"/>
      <c r="U1206" s="64"/>
      <c r="V1206" s="64"/>
      <c r="W1206" s="70"/>
      <c r="X1206" s="64"/>
      <c r="Y1206" s="70"/>
      <c r="Z1206" s="70"/>
      <c r="AA1206" s="71"/>
      <c r="AB1206" s="70"/>
      <c r="AC1206" s="70"/>
      <c r="AD1206" s="64"/>
      <c r="AE1206" s="70"/>
      <c r="AF1206" s="70"/>
      <c r="AG1206" s="70"/>
      <c r="AH1206" s="70"/>
    </row>
    <row r="1207" spans="4:34" x14ac:dyDescent="0.2">
      <c r="D1207" s="53"/>
      <c r="E1207" s="70"/>
      <c r="F1207" s="70"/>
      <c r="G1207" s="70"/>
      <c r="H1207" s="70"/>
      <c r="I1207" s="70"/>
      <c r="J1207" s="70"/>
      <c r="K1207" s="70"/>
      <c r="L1207" s="70"/>
      <c r="M1207" s="70"/>
      <c r="N1207" s="70"/>
      <c r="O1207" s="70"/>
      <c r="P1207" s="70"/>
      <c r="Q1207" s="70"/>
      <c r="R1207" s="70"/>
      <c r="S1207" s="70"/>
      <c r="T1207" s="70"/>
      <c r="U1207" s="64"/>
      <c r="V1207" s="64"/>
      <c r="W1207" s="70"/>
      <c r="X1207" s="64"/>
      <c r="Y1207" s="70"/>
      <c r="Z1207" s="70"/>
      <c r="AA1207" s="71"/>
      <c r="AB1207" s="70"/>
      <c r="AC1207" s="70"/>
      <c r="AD1207" s="64"/>
      <c r="AE1207" s="70"/>
      <c r="AF1207" s="70"/>
      <c r="AG1207" s="70"/>
      <c r="AH1207" s="70"/>
    </row>
    <row r="1208" spans="4:34" x14ac:dyDescent="0.2">
      <c r="D1208" s="53"/>
      <c r="E1208" s="70"/>
      <c r="F1208" s="70"/>
      <c r="G1208" s="70"/>
      <c r="H1208" s="70"/>
      <c r="I1208" s="70"/>
      <c r="J1208" s="70"/>
      <c r="K1208" s="70"/>
      <c r="L1208" s="70"/>
      <c r="M1208" s="70"/>
      <c r="N1208" s="70"/>
      <c r="O1208" s="70"/>
      <c r="P1208" s="70"/>
      <c r="Q1208" s="70"/>
      <c r="R1208" s="70"/>
      <c r="S1208" s="70"/>
      <c r="T1208" s="70"/>
      <c r="U1208" s="64"/>
      <c r="V1208" s="64"/>
      <c r="W1208" s="70"/>
      <c r="X1208" s="64"/>
      <c r="Y1208" s="70"/>
      <c r="Z1208" s="70"/>
      <c r="AA1208" s="71"/>
      <c r="AB1208" s="70"/>
      <c r="AC1208" s="70"/>
      <c r="AD1208" s="64"/>
      <c r="AE1208" s="70"/>
      <c r="AF1208" s="70"/>
      <c r="AG1208" s="70"/>
      <c r="AH1208" s="70"/>
    </row>
    <row r="1209" spans="4:34" x14ac:dyDescent="0.2">
      <c r="D1209" s="53"/>
      <c r="E1209" s="70"/>
      <c r="F1209" s="70"/>
      <c r="G1209" s="70"/>
      <c r="H1209" s="70"/>
      <c r="I1209" s="70"/>
      <c r="J1209" s="70"/>
      <c r="K1209" s="70"/>
      <c r="L1209" s="70"/>
      <c r="M1209" s="70"/>
      <c r="N1209" s="70"/>
      <c r="O1209" s="70"/>
      <c r="P1209" s="70"/>
      <c r="Q1209" s="70"/>
      <c r="R1209" s="70"/>
      <c r="S1209" s="70"/>
      <c r="T1209" s="70"/>
      <c r="U1209" s="64"/>
      <c r="V1209" s="64"/>
      <c r="W1209" s="70"/>
      <c r="X1209" s="64"/>
      <c r="Y1209" s="70"/>
      <c r="Z1209" s="70"/>
      <c r="AA1209" s="71"/>
      <c r="AB1209" s="70"/>
      <c r="AC1209" s="70"/>
      <c r="AD1209" s="64"/>
      <c r="AE1209" s="70"/>
      <c r="AF1209" s="70"/>
      <c r="AG1209" s="70"/>
      <c r="AH1209" s="70"/>
    </row>
    <row r="1210" spans="4:34" x14ac:dyDescent="0.2">
      <c r="D1210" s="53"/>
      <c r="E1210" s="70"/>
      <c r="F1210" s="70"/>
      <c r="G1210" s="70"/>
      <c r="H1210" s="70"/>
      <c r="I1210" s="70"/>
      <c r="J1210" s="70"/>
      <c r="K1210" s="70"/>
      <c r="L1210" s="70"/>
      <c r="M1210" s="70"/>
      <c r="N1210" s="70"/>
      <c r="O1210" s="70"/>
      <c r="P1210" s="70"/>
      <c r="Q1210" s="70"/>
      <c r="R1210" s="70"/>
      <c r="S1210" s="70"/>
      <c r="T1210" s="70"/>
      <c r="U1210" s="64"/>
      <c r="V1210" s="64"/>
      <c r="W1210" s="70"/>
      <c r="X1210" s="64"/>
      <c r="Y1210" s="70"/>
      <c r="Z1210" s="70"/>
      <c r="AA1210" s="71"/>
      <c r="AB1210" s="70"/>
      <c r="AC1210" s="70"/>
      <c r="AD1210" s="64"/>
      <c r="AE1210" s="70"/>
      <c r="AF1210" s="70"/>
      <c r="AG1210" s="70"/>
      <c r="AH1210" s="70"/>
    </row>
    <row r="1211" spans="4:34" x14ac:dyDescent="0.2">
      <c r="D1211" s="53"/>
      <c r="E1211" s="70"/>
      <c r="F1211" s="70"/>
      <c r="G1211" s="70"/>
      <c r="H1211" s="70"/>
      <c r="I1211" s="70"/>
      <c r="J1211" s="70"/>
      <c r="K1211" s="70"/>
      <c r="L1211" s="70"/>
      <c r="M1211" s="70"/>
      <c r="N1211" s="70"/>
      <c r="O1211" s="70"/>
      <c r="P1211" s="70"/>
      <c r="Q1211" s="70"/>
      <c r="R1211" s="70"/>
      <c r="S1211" s="70"/>
      <c r="T1211" s="70"/>
      <c r="U1211" s="64"/>
      <c r="V1211" s="64"/>
      <c r="W1211" s="70"/>
      <c r="X1211" s="64"/>
      <c r="Y1211" s="70"/>
      <c r="Z1211" s="70"/>
      <c r="AA1211" s="71"/>
      <c r="AB1211" s="70"/>
      <c r="AC1211" s="70"/>
      <c r="AD1211" s="64"/>
      <c r="AE1211" s="70"/>
      <c r="AF1211" s="70"/>
      <c r="AG1211" s="70"/>
      <c r="AH1211" s="70"/>
    </row>
    <row r="1212" spans="4:34" x14ac:dyDescent="0.2">
      <c r="D1212" s="53"/>
      <c r="E1212" s="70"/>
      <c r="F1212" s="70"/>
      <c r="G1212" s="70"/>
      <c r="H1212" s="70"/>
      <c r="I1212" s="70"/>
      <c r="J1212" s="70"/>
      <c r="K1212" s="70"/>
      <c r="L1212" s="70"/>
      <c r="M1212" s="70"/>
      <c r="N1212" s="70"/>
      <c r="O1212" s="70"/>
      <c r="P1212" s="70"/>
      <c r="Q1212" s="70"/>
      <c r="R1212" s="70"/>
      <c r="S1212" s="70"/>
      <c r="T1212" s="70"/>
      <c r="U1212" s="64"/>
      <c r="V1212" s="64"/>
      <c r="W1212" s="70"/>
      <c r="X1212" s="64"/>
      <c r="Y1212" s="70"/>
      <c r="Z1212" s="70"/>
      <c r="AA1212" s="71"/>
      <c r="AB1212" s="70"/>
      <c r="AC1212" s="70"/>
      <c r="AD1212" s="64"/>
      <c r="AE1212" s="70"/>
      <c r="AF1212" s="70"/>
      <c r="AG1212" s="70"/>
      <c r="AH1212" s="70"/>
    </row>
    <row r="1213" spans="4:34" x14ac:dyDescent="0.2">
      <c r="D1213" s="53"/>
      <c r="E1213" s="70"/>
      <c r="F1213" s="70"/>
      <c r="G1213" s="70"/>
      <c r="H1213" s="70"/>
      <c r="I1213" s="70"/>
      <c r="J1213" s="70"/>
      <c r="K1213" s="70"/>
      <c r="L1213" s="70"/>
      <c r="M1213" s="70"/>
      <c r="N1213" s="70"/>
      <c r="O1213" s="70"/>
      <c r="P1213" s="70"/>
      <c r="Q1213" s="70"/>
      <c r="R1213" s="70"/>
      <c r="S1213" s="70"/>
      <c r="T1213" s="70"/>
      <c r="U1213" s="64"/>
      <c r="V1213" s="64"/>
      <c r="W1213" s="70"/>
      <c r="X1213" s="64"/>
      <c r="Y1213" s="70"/>
      <c r="Z1213" s="70"/>
      <c r="AA1213" s="71"/>
      <c r="AB1213" s="70"/>
      <c r="AC1213" s="70"/>
      <c r="AD1213" s="64"/>
      <c r="AE1213" s="70"/>
      <c r="AF1213" s="70"/>
      <c r="AG1213" s="70"/>
      <c r="AH1213" s="70"/>
    </row>
    <row r="1214" spans="4:34" x14ac:dyDescent="0.2">
      <c r="D1214" s="53"/>
      <c r="E1214" s="70"/>
      <c r="F1214" s="70"/>
      <c r="G1214" s="70"/>
      <c r="H1214" s="70"/>
      <c r="I1214" s="70"/>
      <c r="J1214" s="70"/>
      <c r="K1214" s="70"/>
      <c r="L1214" s="70"/>
      <c r="M1214" s="70"/>
      <c r="N1214" s="70"/>
      <c r="O1214" s="70"/>
      <c r="P1214" s="70"/>
      <c r="Q1214" s="70"/>
      <c r="R1214" s="70"/>
      <c r="S1214" s="70"/>
      <c r="T1214" s="70"/>
      <c r="U1214" s="64"/>
      <c r="V1214" s="64"/>
      <c r="W1214" s="70"/>
      <c r="X1214" s="64"/>
      <c r="Y1214" s="70"/>
      <c r="Z1214" s="70"/>
      <c r="AA1214" s="71"/>
      <c r="AB1214" s="70"/>
      <c r="AC1214" s="70"/>
      <c r="AD1214" s="64"/>
      <c r="AE1214" s="70"/>
      <c r="AF1214" s="70"/>
      <c r="AG1214" s="70"/>
      <c r="AH1214" s="70"/>
    </row>
    <row r="1215" spans="4:34" x14ac:dyDescent="0.2">
      <c r="D1215" s="53"/>
      <c r="E1215" s="70"/>
      <c r="F1215" s="70"/>
      <c r="G1215" s="70"/>
      <c r="H1215" s="70"/>
      <c r="I1215" s="70"/>
      <c r="J1215" s="70"/>
      <c r="K1215" s="70"/>
      <c r="L1215" s="70"/>
      <c r="M1215" s="70"/>
      <c r="N1215" s="70"/>
      <c r="O1215" s="70"/>
      <c r="P1215" s="70"/>
      <c r="Q1215" s="70"/>
      <c r="R1215" s="70"/>
      <c r="S1215" s="70"/>
      <c r="T1215" s="70"/>
      <c r="U1215" s="64"/>
      <c r="V1215" s="64"/>
      <c r="W1215" s="70"/>
      <c r="X1215" s="64"/>
      <c r="Y1215" s="70"/>
      <c r="Z1215" s="70"/>
      <c r="AA1215" s="71"/>
      <c r="AB1215" s="70"/>
      <c r="AC1215" s="70"/>
      <c r="AD1215" s="64"/>
      <c r="AE1215" s="70"/>
      <c r="AF1215" s="70"/>
      <c r="AG1215" s="70"/>
      <c r="AH1215" s="70"/>
    </row>
    <row r="1216" spans="4:34" x14ac:dyDescent="0.2">
      <c r="D1216" s="53"/>
      <c r="E1216" s="70"/>
      <c r="F1216" s="70"/>
      <c r="G1216" s="70"/>
      <c r="H1216" s="70"/>
      <c r="I1216" s="70"/>
      <c r="J1216" s="70"/>
      <c r="K1216" s="70"/>
      <c r="L1216" s="70"/>
      <c r="M1216" s="70"/>
      <c r="N1216" s="70"/>
      <c r="O1216" s="70"/>
      <c r="P1216" s="70"/>
      <c r="Q1216" s="70"/>
      <c r="R1216" s="70"/>
      <c r="S1216" s="70"/>
      <c r="T1216" s="70"/>
      <c r="U1216" s="64"/>
      <c r="V1216" s="64"/>
      <c r="W1216" s="70"/>
      <c r="X1216" s="64"/>
      <c r="Y1216" s="70"/>
      <c r="Z1216" s="70"/>
      <c r="AA1216" s="71"/>
      <c r="AB1216" s="70"/>
      <c r="AC1216" s="70"/>
      <c r="AD1216" s="64"/>
      <c r="AE1216" s="70"/>
      <c r="AF1216" s="70"/>
      <c r="AG1216" s="70"/>
      <c r="AH1216" s="70"/>
    </row>
    <row r="1217" spans="4:34" x14ac:dyDescent="0.2">
      <c r="D1217" s="53"/>
      <c r="E1217" s="70"/>
      <c r="F1217" s="70"/>
      <c r="G1217" s="70"/>
      <c r="H1217" s="70"/>
      <c r="I1217" s="70"/>
      <c r="J1217" s="70"/>
      <c r="K1217" s="70"/>
      <c r="L1217" s="70"/>
      <c r="M1217" s="70"/>
      <c r="N1217" s="70"/>
      <c r="O1217" s="70"/>
      <c r="P1217" s="70"/>
      <c r="Q1217" s="70"/>
      <c r="R1217" s="70"/>
      <c r="S1217" s="70"/>
      <c r="T1217" s="70"/>
      <c r="U1217" s="64"/>
      <c r="V1217" s="64"/>
      <c r="W1217" s="70"/>
      <c r="X1217" s="64"/>
      <c r="Y1217" s="70"/>
      <c r="Z1217" s="70"/>
      <c r="AA1217" s="71"/>
      <c r="AB1217" s="70"/>
      <c r="AC1217" s="70"/>
      <c r="AD1217" s="64"/>
      <c r="AE1217" s="70"/>
      <c r="AF1217" s="70"/>
      <c r="AG1217" s="70"/>
      <c r="AH1217" s="70"/>
    </row>
    <row r="1218" spans="4:34" x14ac:dyDescent="0.2">
      <c r="D1218" s="53"/>
      <c r="E1218" s="70"/>
      <c r="F1218" s="70"/>
      <c r="G1218" s="70"/>
      <c r="H1218" s="70"/>
      <c r="I1218" s="70"/>
      <c r="J1218" s="70"/>
      <c r="K1218" s="70"/>
      <c r="L1218" s="70"/>
      <c r="M1218" s="70"/>
      <c r="N1218" s="70"/>
      <c r="O1218" s="70"/>
      <c r="P1218" s="70"/>
      <c r="Q1218" s="70"/>
      <c r="R1218" s="70"/>
      <c r="S1218" s="70"/>
      <c r="T1218" s="70"/>
      <c r="U1218" s="64"/>
      <c r="V1218" s="64"/>
      <c r="W1218" s="70"/>
      <c r="X1218" s="64"/>
      <c r="Y1218" s="70"/>
      <c r="Z1218" s="70"/>
      <c r="AA1218" s="71"/>
      <c r="AB1218" s="70"/>
      <c r="AC1218" s="70"/>
      <c r="AD1218" s="64"/>
      <c r="AE1218" s="70"/>
      <c r="AF1218" s="70"/>
      <c r="AG1218" s="70"/>
      <c r="AH1218" s="70"/>
    </row>
    <row r="1219" spans="4:34" x14ac:dyDescent="0.2">
      <c r="D1219" s="53"/>
      <c r="E1219" s="70"/>
      <c r="F1219" s="70"/>
      <c r="G1219" s="70"/>
      <c r="H1219" s="70"/>
      <c r="I1219" s="70"/>
      <c r="J1219" s="70"/>
      <c r="K1219" s="70"/>
      <c r="L1219" s="70"/>
      <c r="M1219" s="70"/>
      <c r="N1219" s="70"/>
      <c r="O1219" s="70"/>
      <c r="P1219" s="70"/>
      <c r="Q1219" s="70"/>
      <c r="R1219" s="70"/>
      <c r="S1219" s="70"/>
      <c r="T1219" s="70"/>
      <c r="U1219" s="64"/>
      <c r="V1219" s="64"/>
      <c r="W1219" s="70"/>
      <c r="X1219" s="64"/>
      <c r="Y1219" s="70"/>
      <c r="Z1219" s="70"/>
      <c r="AA1219" s="71"/>
      <c r="AB1219" s="70"/>
      <c r="AC1219" s="70"/>
      <c r="AD1219" s="64"/>
      <c r="AE1219" s="70"/>
      <c r="AF1219" s="70"/>
      <c r="AG1219" s="70"/>
      <c r="AH1219" s="70"/>
    </row>
    <row r="1220" spans="4:34" x14ac:dyDescent="0.2">
      <c r="D1220" s="53"/>
      <c r="E1220" s="70"/>
      <c r="F1220" s="70"/>
      <c r="G1220" s="70"/>
      <c r="H1220" s="70"/>
      <c r="I1220" s="70"/>
      <c r="J1220" s="70"/>
      <c r="K1220" s="70"/>
      <c r="L1220" s="70"/>
      <c r="M1220" s="70"/>
      <c r="N1220" s="70"/>
      <c r="O1220" s="70"/>
      <c r="P1220" s="70"/>
      <c r="Q1220" s="70"/>
      <c r="R1220" s="70"/>
      <c r="S1220" s="70"/>
      <c r="T1220" s="70"/>
      <c r="U1220" s="64"/>
      <c r="V1220" s="64"/>
      <c r="W1220" s="70"/>
      <c r="X1220" s="64"/>
      <c r="Y1220" s="70"/>
      <c r="Z1220" s="70"/>
      <c r="AA1220" s="71"/>
      <c r="AB1220" s="70"/>
      <c r="AC1220" s="70"/>
      <c r="AD1220" s="64"/>
      <c r="AE1220" s="70"/>
      <c r="AF1220" s="70"/>
      <c r="AG1220" s="70"/>
      <c r="AH1220" s="70"/>
    </row>
    <row r="1221" spans="4:34" x14ac:dyDescent="0.2">
      <c r="D1221" s="53"/>
      <c r="E1221" s="70"/>
      <c r="F1221" s="70"/>
      <c r="G1221" s="70"/>
      <c r="H1221" s="70"/>
      <c r="I1221" s="70"/>
      <c r="J1221" s="70"/>
      <c r="K1221" s="70"/>
      <c r="L1221" s="70"/>
      <c r="M1221" s="70"/>
      <c r="N1221" s="70"/>
      <c r="O1221" s="70"/>
      <c r="P1221" s="70"/>
      <c r="Q1221" s="70"/>
      <c r="R1221" s="70"/>
      <c r="S1221" s="70"/>
      <c r="T1221" s="70"/>
      <c r="U1221" s="64"/>
      <c r="V1221" s="64"/>
      <c r="W1221" s="70"/>
      <c r="X1221" s="64"/>
      <c r="Y1221" s="70"/>
      <c r="Z1221" s="70"/>
      <c r="AA1221" s="71"/>
      <c r="AB1221" s="70"/>
      <c r="AC1221" s="70"/>
      <c r="AD1221" s="64"/>
      <c r="AE1221" s="70"/>
      <c r="AF1221" s="70"/>
      <c r="AG1221" s="70"/>
      <c r="AH1221" s="70"/>
    </row>
    <row r="1222" spans="4:34" x14ac:dyDescent="0.2">
      <c r="D1222" s="53"/>
      <c r="E1222" s="70"/>
      <c r="F1222" s="70"/>
      <c r="G1222" s="70"/>
      <c r="H1222" s="70"/>
      <c r="I1222" s="70"/>
      <c r="J1222" s="70"/>
      <c r="K1222" s="70"/>
      <c r="L1222" s="70"/>
      <c r="M1222" s="70"/>
      <c r="N1222" s="70"/>
      <c r="O1222" s="70"/>
      <c r="P1222" s="70"/>
      <c r="Q1222" s="70"/>
      <c r="R1222" s="70"/>
      <c r="S1222" s="70"/>
      <c r="T1222" s="70"/>
      <c r="U1222" s="64"/>
      <c r="V1222" s="64"/>
      <c r="W1222" s="70"/>
      <c r="X1222" s="64"/>
      <c r="Y1222" s="70"/>
      <c r="Z1222" s="70"/>
      <c r="AA1222" s="71"/>
      <c r="AB1222" s="70"/>
      <c r="AC1222" s="70"/>
      <c r="AD1222" s="64"/>
      <c r="AE1222" s="70"/>
      <c r="AF1222" s="70"/>
      <c r="AG1222" s="70"/>
      <c r="AH1222" s="70"/>
    </row>
    <row r="1223" spans="4:34" x14ac:dyDescent="0.2">
      <c r="D1223" s="53"/>
      <c r="E1223" s="70"/>
      <c r="F1223" s="70"/>
      <c r="G1223" s="70"/>
      <c r="H1223" s="70"/>
      <c r="I1223" s="70"/>
      <c r="J1223" s="70"/>
      <c r="K1223" s="70"/>
      <c r="L1223" s="70"/>
      <c r="M1223" s="70"/>
      <c r="N1223" s="70"/>
      <c r="O1223" s="70"/>
      <c r="P1223" s="70"/>
      <c r="Q1223" s="70"/>
      <c r="R1223" s="70"/>
      <c r="S1223" s="70"/>
      <c r="T1223" s="70"/>
      <c r="U1223" s="64"/>
      <c r="V1223" s="64"/>
      <c r="W1223" s="70"/>
      <c r="X1223" s="64"/>
      <c r="Y1223" s="70"/>
      <c r="Z1223" s="70"/>
      <c r="AA1223" s="71"/>
      <c r="AB1223" s="70"/>
      <c r="AC1223" s="70"/>
      <c r="AD1223" s="64"/>
      <c r="AE1223" s="70"/>
      <c r="AF1223" s="70"/>
      <c r="AG1223" s="70"/>
      <c r="AH1223" s="70"/>
    </row>
    <row r="1224" spans="4:34" x14ac:dyDescent="0.2">
      <c r="D1224" s="53"/>
      <c r="E1224" s="70"/>
      <c r="F1224" s="70"/>
      <c r="G1224" s="70"/>
      <c r="H1224" s="70"/>
      <c r="I1224" s="70"/>
      <c r="J1224" s="70"/>
      <c r="K1224" s="70"/>
      <c r="L1224" s="70"/>
      <c r="M1224" s="70"/>
      <c r="N1224" s="70"/>
      <c r="O1224" s="70"/>
      <c r="P1224" s="70"/>
      <c r="Q1224" s="70"/>
      <c r="R1224" s="70"/>
      <c r="S1224" s="70"/>
      <c r="T1224" s="70"/>
      <c r="U1224" s="64"/>
      <c r="V1224" s="64"/>
      <c r="W1224" s="70"/>
      <c r="X1224" s="64"/>
      <c r="Y1224" s="70"/>
      <c r="Z1224" s="70"/>
      <c r="AA1224" s="71"/>
      <c r="AB1224" s="70"/>
      <c r="AC1224" s="70"/>
      <c r="AD1224" s="64"/>
      <c r="AE1224" s="70"/>
      <c r="AF1224" s="70"/>
      <c r="AG1224" s="70"/>
      <c r="AH1224" s="70"/>
    </row>
    <row r="1225" spans="4:34" x14ac:dyDescent="0.2">
      <c r="D1225" s="53"/>
      <c r="E1225" s="70"/>
      <c r="F1225" s="70"/>
      <c r="G1225" s="70"/>
      <c r="H1225" s="70"/>
      <c r="I1225" s="70"/>
      <c r="J1225" s="70"/>
      <c r="K1225" s="70"/>
      <c r="L1225" s="70"/>
      <c r="M1225" s="70"/>
      <c r="N1225" s="70"/>
      <c r="O1225" s="70"/>
      <c r="P1225" s="70"/>
      <c r="Q1225" s="70"/>
      <c r="R1225" s="70"/>
      <c r="S1225" s="70"/>
      <c r="T1225" s="70"/>
      <c r="U1225" s="64"/>
      <c r="V1225" s="64"/>
      <c r="W1225" s="70"/>
      <c r="X1225" s="64"/>
      <c r="Y1225" s="70"/>
      <c r="Z1225" s="70"/>
      <c r="AA1225" s="71"/>
      <c r="AB1225" s="70"/>
      <c r="AC1225" s="70"/>
      <c r="AD1225" s="64"/>
      <c r="AE1225" s="70"/>
      <c r="AF1225" s="70"/>
      <c r="AG1225" s="70"/>
      <c r="AH1225" s="70"/>
    </row>
    <row r="1226" spans="4:34" x14ac:dyDescent="0.2">
      <c r="D1226" s="53"/>
      <c r="E1226" s="70"/>
      <c r="F1226" s="70"/>
      <c r="G1226" s="70"/>
      <c r="H1226" s="70"/>
      <c r="I1226" s="70"/>
      <c r="J1226" s="70"/>
      <c r="K1226" s="70"/>
      <c r="L1226" s="70"/>
      <c r="M1226" s="70"/>
      <c r="N1226" s="70"/>
      <c r="O1226" s="70"/>
      <c r="P1226" s="70"/>
      <c r="Q1226" s="70"/>
      <c r="R1226" s="70"/>
      <c r="S1226" s="70"/>
      <c r="T1226" s="70"/>
      <c r="U1226" s="64"/>
      <c r="V1226" s="64"/>
      <c r="W1226" s="70"/>
      <c r="X1226" s="64"/>
      <c r="Y1226" s="70"/>
      <c r="Z1226" s="70"/>
      <c r="AA1226" s="71"/>
      <c r="AB1226" s="70"/>
      <c r="AC1226" s="70"/>
      <c r="AD1226" s="64"/>
      <c r="AE1226" s="70"/>
      <c r="AF1226" s="70"/>
      <c r="AG1226" s="70"/>
      <c r="AH1226" s="70"/>
    </row>
    <row r="1227" spans="4:34" x14ac:dyDescent="0.2">
      <c r="D1227" s="53"/>
      <c r="E1227" s="70"/>
      <c r="F1227" s="70"/>
      <c r="G1227" s="70"/>
      <c r="H1227" s="70"/>
      <c r="I1227" s="70"/>
      <c r="J1227" s="70"/>
      <c r="K1227" s="70"/>
      <c r="L1227" s="70"/>
      <c r="M1227" s="70"/>
      <c r="N1227" s="70"/>
      <c r="O1227" s="70"/>
      <c r="P1227" s="70"/>
      <c r="Q1227" s="70"/>
      <c r="R1227" s="70"/>
      <c r="S1227" s="70"/>
      <c r="T1227" s="70"/>
      <c r="U1227" s="64"/>
      <c r="V1227" s="64"/>
      <c r="W1227" s="70"/>
      <c r="X1227" s="64"/>
      <c r="Y1227" s="70"/>
      <c r="Z1227" s="70"/>
      <c r="AA1227" s="71"/>
      <c r="AB1227" s="70"/>
      <c r="AC1227" s="70"/>
      <c r="AD1227" s="64"/>
      <c r="AE1227" s="70"/>
      <c r="AF1227" s="70"/>
      <c r="AG1227" s="70"/>
      <c r="AH1227" s="70"/>
    </row>
    <row r="1228" spans="4:34" x14ac:dyDescent="0.2">
      <c r="D1228" s="53"/>
      <c r="E1228" s="70"/>
      <c r="F1228" s="70"/>
      <c r="G1228" s="70"/>
      <c r="H1228" s="70"/>
      <c r="I1228" s="70"/>
      <c r="J1228" s="70"/>
      <c r="K1228" s="70"/>
      <c r="L1228" s="70"/>
      <c r="M1228" s="70"/>
      <c r="N1228" s="70"/>
      <c r="O1228" s="70"/>
      <c r="P1228" s="70"/>
      <c r="Q1228" s="70"/>
      <c r="R1228" s="70"/>
      <c r="S1228" s="70"/>
      <c r="T1228" s="70"/>
      <c r="U1228" s="64"/>
      <c r="V1228" s="64"/>
      <c r="W1228" s="70"/>
      <c r="X1228" s="64"/>
      <c r="Y1228" s="70"/>
      <c r="Z1228" s="70"/>
      <c r="AA1228" s="71"/>
      <c r="AB1228" s="70"/>
      <c r="AC1228" s="70"/>
      <c r="AD1228" s="64"/>
      <c r="AE1228" s="70"/>
      <c r="AF1228" s="70"/>
      <c r="AG1228" s="70"/>
      <c r="AH1228" s="70"/>
    </row>
    <row r="1229" spans="4:34" x14ac:dyDescent="0.2">
      <c r="D1229" s="53"/>
      <c r="E1229" s="70"/>
      <c r="F1229" s="70"/>
      <c r="G1229" s="70"/>
      <c r="H1229" s="70"/>
      <c r="I1229" s="70"/>
      <c r="J1229" s="70"/>
      <c r="K1229" s="70"/>
      <c r="L1229" s="70"/>
      <c r="M1229" s="70"/>
      <c r="N1229" s="70"/>
      <c r="O1229" s="70"/>
      <c r="P1229" s="70"/>
      <c r="Q1229" s="70"/>
      <c r="R1229" s="70"/>
      <c r="S1229" s="70"/>
      <c r="T1229" s="70"/>
      <c r="U1229" s="64"/>
      <c r="V1229" s="64"/>
      <c r="W1229" s="70"/>
      <c r="X1229" s="64"/>
      <c r="Y1229" s="70"/>
      <c r="Z1229" s="70"/>
      <c r="AA1229" s="71"/>
      <c r="AB1229" s="70"/>
      <c r="AC1229" s="70"/>
      <c r="AD1229" s="64"/>
      <c r="AE1229" s="70"/>
      <c r="AF1229" s="70"/>
      <c r="AG1229" s="70"/>
      <c r="AH1229" s="70"/>
    </row>
    <row r="1230" spans="4:34" x14ac:dyDescent="0.2">
      <c r="D1230" s="53"/>
      <c r="E1230" s="70"/>
      <c r="F1230" s="70"/>
      <c r="G1230" s="70"/>
      <c r="H1230" s="70"/>
      <c r="I1230" s="70"/>
      <c r="J1230" s="70"/>
      <c r="K1230" s="70"/>
      <c r="L1230" s="70"/>
      <c r="M1230" s="70"/>
      <c r="N1230" s="70"/>
      <c r="O1230" s="70"/>
      <c r="P1230" s="70"/>
      <c r="Q1230" s="70"/>
      <c r="R1230" s="70"/>
      <c r="S1230" s="70"/>
      <c r="T1230" s="70"/>
      <c r="U1230" s="64"/>
      <c r="V1230" s="64"/>
      <c r="W1230" s="70"/>
      <c r="X1230" s="64"/>
      <c r="Y1230" s="70"/>
      <c r="Z1230" s="70"/>
      <c r="AA1230" s="71"/>
      <c r="AB1230" s="70"/>
      <c r="AC1230" s="70"/>
      <c r="AD1230" s="64"/>
      <c r="AE1230" s="70"/>
      <c r="AF1230" s="70"/>
      <c r="AG1230" s="70"/>
      <c r="AH1230" s="70"/>
    </row>
    <row r="1231" spans="4:34" x14ac:dyDescent="0.2">
      <c r="D1231" s="53"/>
      <c r="E1231" s="70"/>
      <c r="F1231" s="70"/>
      <c r="G1231" s="70"/>
      <c r="H1231" s="70"/>
      <c r="I1231" s="70"/>
      <c r="J1231" s="70"/>
      <c r="K1231" s="70"/>
      <c r="L1231" s="70"/>
      <c r="M1231" s="70"/>
      <c r="N1231" s="70"/>
      <c r="O1231" s="70"/>
      <c r="P1231" s="70"/>
      <c r="Q1231" s="70"/>
      <c r="R1231" s="70"/>
      <c r="S1231" s="70"/>
      <c r="T1231" s="70"/>
      <c r="U1231" s="64"/>
      <c r="V1231" s="64"/>
      <c r="W1231" s="70"/>
      <c r="X1231" s="64"/>
      <c r="Y1231" s="70"/>
      <c r="Z1231" s="70"/>
      <c r="AA1231" s="71"/>
      <c r="AB1231" s="70"/>
      <c r="AC1231" s="70"/>
      <c r="AD1231" s="64"/>
      <c r="AE1231" s="70"/>
      <c r="AF1231" s="70"/>
      <c r="AG1231" s="70"/>
      <c r="AH1231" s="70"/>
    </row>
    <row r="1232" spans="4:34" x14ac:dyDescent="0.2">
      <c r="D1232" s="53"/>
      <c r="E1232" s="70"/>
      <c r="F1232" s="70"/>
      <c r="G1232" s="70"/>
      <c r="H1232" s="70"/>
      <c r="I1232" s="70"/>
      <c r="J1232" s="70"/>
      <c r="K1232" s="70"/>
      <c r="L1232" s="70"/>
      <c r="M1232" s="70"/>
      <c r="N1232" s="70"/>
      <c r="O1232" s="70"/>
      <c r="P1232" s="70"/>
      <c r="Q1232" s="70"/>
      <c r="R1232" s="70"/>
      <c r="S1232" s="70"/>
      <c r="T1232" s="70"/>
      <c r="U1232" s="64"/>
      <c r="V1232" s="64"/>
      <c r="W1232" s="70"/>
      <c r="X1232" s="64"/>
      <c r="Y1232" s="70"/>
      <c r="Z1232" s="70"/>
      <c r="AA1232" s="71"/>
      <c r="AB1232" s="70"/>
      <c r="AC1232" s="70"/>
      <c r="AD1232" s="64"/>
      <c r="AE1232" s="70"/>
      <c r="AF1232" s="70"/>
      <c r="AG1232" s="70"/>
      <c r="AH1232" s="70"/>
    </row>
    <row r="1233" spans="4:34" x14ac:dyDescent="0.2">
      <c r="D1233" s="53"/>
      <c r="E1233" s="70"/>
      <c r="F1233" s="70"/>
      <c r="G1233" s="70"/>
      <c r="H1233" s="70"/>
      <c r="I1233" s="70"/>
      <c r="J1233" s="70"/>
      <c r="K1233" s="70"/>
      <c r="L1233" s="70"/>
      <c r="M1233" s="70"/>
      <c r="N1233" s="70"/>
      <c r="O1233" s="70"/>
      <c r="P1233" s="70"/>
      <c r="Q1233" s="70"/>
      <c r="R1233" s="70"/>
      <c r="S1233" s="70"/>
      <c r="T1233" s="70"/>
      <c r="U1233" s="64"/>
      <c r="V1233" s="64"/>
      <c r="W1233" s="70"/>
      <c r="X1233" s="64"/>
      <c r="Y1233" s="70"/>
      <c r="Z1233" s="70"/>
      <c r="AA1233" s="71"/>
      <c r="AB1233" s="70"/>
      <c r="AC1233" s="70"/>
      <c r="AD1233" s="64"/>
      <c r="AE1233" s="70"/>
      <c r="AF1233" s="70"/>
      <c r="AG1233" s="70"/>
      <c r="AH1233" s="70"/>
    </row>
    <row r="1234" spans="4:34" x14ac:dyDescent="0.2">
      <c r="D1234" s="53"/>
      <c r="E1234" s="70"/>
      <c r="F1234" s="70"/>
      <c r="G1234" s="70"/>
      <c r="H1234" s="70"/>
      <c r="I1234" s="70"/>
      <c r="J1234" s="70"/>
      <c r="K1234" s="70"/>
      <c r="L1234" s="70"/>
      <c r="M1234" s="70"/>
      <c r="N1234" s="70"/>
      <c r="O1234" s="70"/>
      <c r="P1234" s="70"/>
      <c r="Q1234" s="70"/>
      <c r="R1234" s="70"/>
      <c r="S1234" s="70"/>
      <c r="T1234" s="70"/>
      <c r="U1234" s="64"/>
      <c r="V1234" s="64"/>
      <c r="W1234" s="70"/>
      <c r="X1234" s="64"/>
      <c r="Y1234" s="70"/>
      <c r="Z1234" s="70"/>
      <c r="AA1234" s="71"/>
      <c r="AB1234" s="70"/>
      <c r="AC1234" s="70"/>
      <c r="AD1234" s="64"/>
      <c r="AE1234" s="70"/>
      <c r="AF1234" s="70"/>
      <c r="AG1234" s="70"/>
      <c r="AH1234" s="70"/>
    </row>
    <row r="1235" spans="4:34" x14ac:dyDescent="0.2">
      <c r="D1235" s="53"/>
      <c r="E1235" s="70"/>
      <c r="F1235" s="70"/>
      <c r="G1235" s="70"/>
      <c r="H1235" s="70"/>
      <c r="I1235" s="70"/>
      <c r="J1235" s="70"/>
      <c r="K1235" s="70"/>
      <c r="L1235" s="70"/>
      <c r="M1235" s="70"/>
      <c r="N1235" s="70"/>
      <c r="O1235" s="70"/>
      <c r="P1235" s="70"/>
      <c r="Q1235" s="70"/>
      <c r="R1235" s="70"/>
      <c r="S1235" s="70"/>
      <c r="T1235" s="70"/>
      <c r="U1235" s="64"/>
      <c r="V1235" s="64"/>
      <c r="W1235" s="70"/>
      <c r="X1235" s="64"/>
      <c r="Y1235" s="70"/>
      <c r="Z1235" s="70"/>
      <c r="AA1235" s="71"/>
      <c r="AB1235" s="70"/>
      <c r="AC1235" s="70"/>
      <c r="AD1235" s="64"/>
      <c r="AE1235" s="70"/>
      <c r="AF1235" s="70"/>
      <c r="AG1235" s="70"/>
      <c r="AH1235" s="70"/>
    </row>
    <row r="1236" spans="4:34" x14ac:dyDescent="0.2">
      <c r="D1236" s="53"/>
      <c r="E1236" s="70"/>
      <c r="F1236" s="70"/>
      <c r="G1236" s="70"/>
      <c r="H1236" s="70"/>
      <c r="I1236" s="70"/>
      <c r="J1236" s="70"/>
      <c r="K1236" s="70"/>
      <c r="L1236" s="70"/>
      <c r="M1236" s="70"/>
      <c r="N1236" s="70"/>
      <c r="O1236" s="70"/>
      <c r="P1236" s="70"/>
      <c r="Q1236" s="70"/>
      <c r="R1236" s="70"/>
      <c r="S1236" s="70"/>
      <c r="T1236" s="70"/>
      <c r="U1236" s="64"/>
      <c r="V1236" s="64"/>
      <c r="W1236" s="70"/>
      <c r="X1236" s="64"/>
      <c r="Y1236" s="70"/>
      <c r="Z1236" s="70"/>
      <c r="AA1236" s="71"/>
      <c r="AB1236" s="70"/>
      <c r="AC1236" s="70"/>
      <c r="AD1236" s="64"/>
      <c r="AE1236" s="70"/>
      <c r="AF1236" s="70"/>
      <c r="AG1236" s="70"/>
      <c r="AH1236" s="70"/>
    </row>
    <row r="1237" spans="4:34" x14ac:dyDescent="0.2">
      <c r="D1237" s="53"/>
      <c r="E1237" s="70"/>
      <c r="F1237" s="70"/>
      <c r="G1237" s="70"/>
      <c r="H1237" s="70"/>
      <c r="I1237" s="70"/>
      <c r="J1237" s="70"/>
      <c r="K1237" s="70"/>
      <c r="L1237" s="70"/>
      <c r="M1237" s="70"/>
      <c r="N1237" s="70"/>
      <c r="O1237" s="70"/>
      <c r="P1237" s="70"/>
      <c r="Q1237" s="70"/>
      <c r="R1237" s="70"/>
      <c r="S1237" s="70"/>
      <c r="T1237" s="70"/>
      <c r="U1237" s="64"/>
      <c r="V1237" s="64"/>
      <c r="W1237" s="70"/>
      <c r="X1237" s="64"/>
      <c r="Y1237" s="70"/>
      <c r="Z1237" s="70"/>
      <c r="AA1237" s="71"/>
      <c r="AB1237" s="70"/>
      <c r="AC1237" s="70"/>
      <c r="AD1237" s="64"/>
      <c r="AE1237" s="70"/>
      <c r="AF1237" s="70"/>
      <c r="AG1237" s="70"/>
      <c r="AH1237" s="70"/>
    </row>
    <row r="1238" spans="4:34" x14ac:dyDescent="0.2">
      <c r="D1238" s="53"/>
      <c r="E1238" s="70"/>
      <c r="F1238" s="70"/>
      <c r="G1238" s="70"/>
      <c r="H1238" s="70"/>
      <c r="I1238" s="70"/>
      <c r="J1238" s="70"/>
      <c r="K1238" s="70"/>
      <c r="L1238" s="70"/>
      <c r="M1238" s="70"/>
      <c r="N1238" s="70"/>
      <c r="O1238" s="70"/>
      <c r="P1238" s="70"/>
      <c r="Q1238" s="70"/>
      <c r="R1238" s="70"/>
      <c r="S1238" s="70"/>
      <c r="T1238" s="70"/>
      <c r="U1238" s="64"/>
      <c r="V1238" s="64"/>
      <c r="W1238" s="70"/>
      <c r="X1238" s="64"/>
      <c r="Y1238" s="70"/>
      <c r="Z1238" s="70"/>
      <c r="AA1238" s="71"/>
      <c r="AB1238" s="70"/>
      <c r="AC1238" s="70"/>
      <c r="AD1238" s="64"/>
      <c r="AE1238" s="70"/>
      <c r="AF1238" s="70"/>
      <c r="AG1238" s="70"/>
      <c r="AH1238" s="70"/>
    </row>
    <row r="1239" spans="4:34" x14ac:dyDescent="0.2">
      <c r="D1239" s="53"/>
      <c r="E1239" s="70"/>
      <c r="F1239" s="70"/>
      <c r="G1239" s="70"/>
      <c r="H1239" s="70"/>
      <c r="I1239" s="70"/>
      <c r="J1239" s="70"/>
      <c r="K1239" s="70"/>
      <c r="L1239" s="70"/>
      <c r="M1239" s="70"/>
      <c r="N1239" s="70"/>
      <c r="O1239" s="70"/>
      <c r="P1239" s="70"/>
      <c r="Q1239" s="70"/>
      <c r="R1239" s="70"/>
      <c r="S1239" s="70"/>
      <c r="T1239" s="70"/>
      <c r="U1239" s="64"/>
      <c r="V1239" s="64"/>
      <c r="W1239" s="70"/>
      <c r="X1239" s="64"/>
      <c r="Y1239" s="70"/>
      <c r="Z1239" s="70"/>
      <c r="AA1239" s="71"/>
      <c r="AB1239" s="70"/>
      <c r="AC1239" s="70"/>
      <c r="AD1239" s="64"/>
      <c r="AE1239" s="70"/>
      <c r="AF1239" s="70"/>
      <c r="AG1239" s="70"/>
      <c r="AH1239" s="70"/>
    </row>
    <row r="1240" spans="4:34" x14ac:dyDescent="0.2">
      <c r="D1240" s="53"/>
      <c r="E1240" s="70"/>
      <c r="F1240" s="70"/>
      <c r="G1240" s="70"/>
      <c r="H1240" s="70"/>
      <c r="I1240" s="70"/>
      <c r="J1240" s="70"/>
      <c r="K1240" s="70"/>
      <c r="L1240" s="70"/>
      <c r="M1240" s="70"/>
      <c r="N1240" s="70"/>
      <c r="O1240" s="70"/>
      <c r="P1240" s="70"/>
      <c r="Q1240" s="70"/>
      <c r="R1240" s="70"/>
      <c r="S1240" s="70"/>
      <c r="T1240" s="70"/>
      <c r="U1240" s="64"/>
      <c r="V1240" s="64"/>
      <c r="W1240" s="70"/>
      <c r="X1240" s="64"/>
      <c r="Y1240" s="70"/>
      <c r="Z1240" s="70"/>
      <c r="AA1240" s="71"/>
      <c r="AB1240" s="70"/>
      <c r="AC1240" s="70"/>
      <c r="AD1240" s="64"/>
      <c r="AE1240" s="70"/>
      <c r="AF1240" s="70"/>
      <c r="AG1240" s="70"/>
      <c r="AH1240" s="70"/>
    </row>
    <row r="1241" spans="4:34" x14ac:dyDescent="0.2">
      <c r="D1241" s="53"/>
      <c r="E1241" s="70"/>
      <c r="F1241" s="70"/>
      <c r="G1241" s="70"/>
      <c r="H1241" s="70"/>
      <c r="I1241" s="70"/>
      <c r="J1241" s="70"/>
      <c r="K1241" s="70"/>
      <c r="L1241" s="70"/>
      <c r="M1241" s="70"/>
      <c r="N1241" s="70"/>
      <c r="O1241" s="70"/>
      <c r="P1241" s="70"/>
      <c r="Q1241" s="70"/>
      <c r="R1241" s="70"/>
      <c r="S1241" s="70"/>
      <c r="T1241" s="70"/>
      <c r="U1241" s="64"/>
      <c r="V1241" s="64"/>
      <c r="W1241" s="70"/>
      <c r="X1241" s="64"/>
      <c r="Y1241" s="70"/>
      <c r="Z1241" s="70"/>
      <c r="AA1241" s="71"/>
      <c r="AB1241" s="70"/>
      <c r="AC1241" s="70"/>
      <c r="AD1241" s="64"/>
      <c r="AE1241" s="70"/>
      <c r="AF1241" s="70"/>
      <c r="AG1241" s="70"/>
      <c r="AH1241" s="70"/>
    </row>
    <row r="1242" spans="4:34" x14ac:dyDescent="0.2">
      <c r="D1242" s="53"/>
      <c r="E1242" s="70"/>
      <c r="F1242" s="70"/>
      <c r="G1242" s="70"/>
      <c r="H1242" s="70"/>
      <c r="I1242" s="70"/>
      <c r="J1242" s="70"/>
      <c r="K1242" s="70"/>
      <c r="L1242" s="70"/>
      <c r="M1242" s="70"/>
      <c r="N1242" s="70"/>
      <c r="O1242" s="70"/>
      <c r="P1242" s="70"/>
      <c r="Q1242" s="70"/>
      <c r="R1242" s="70"/>
      <c r="S1242" s="70"/>
      <c r="T1242" s="70"/>
      <c r="U1242" s="64"/>
      <c r="V1242" s="64"/>
      <c r="W1242" s="70"/>
      <c r="X1242" s="64"/>
      <c r="Y1242" s="70"/>
      <c r="Z1242" s="70"/>
      <c r="AA1242" s="71"/>
      <c r="AB1242" s="70"/>
      <c r="AC1242" s="70"/>
      <c r="AD1242" s="64"/>
      <c r="AE1242" s="70"/>
      <c r="AF1242" s="70"/>
      <c r="AG1242" s="70"/>
      <c r="AH1242" s="70"/>
    </row>
    <row r="1243" spans="4:34" x14ac:dyDescent="0.2">
      <c r="D1243" s="53"/>
      <c r="E1243" s="70"/>
      <c r="F1243" s="70"/>
      <c r="G1243" s="70"/>
      <c r="H1243" s="70"/>
      <c r="I1243" s="70"/>
      <c r="J1243" s="70"/>
      <c r="K1243" s="70"/>
      <c r="L1243" s="70"/>
      <c r="M1243" s="70"/>
      <c r="N1243" s="70"/>
      <c r="O1243" s="70"/>
      <c r="P1243" s="70"/>
      <c r="Q1243" s="70"/>
      <c r="R1243" s="70"/>
      <c r="S1243" s="70"/>
      <c r="T1243" s="70"/>
      <c r="U1243" s="64"/>
      <c r="V1243" s="64"/>
      <c r="W1243" s="70"/>
      <c r="X1243" s="64"/>
      <c r="Y1243" s="70"/>
      <c r="Z1243" s="70"/>
      <c r="AA1243" s="71"/>
      <c r="AB1243" s="70"/>
      <c r="AC1243" s="70"/>
      <c r="AD1243" s="64"/>
      <c r="AE1243" s="70"/>
      <c r="AF1243" s="70"/>
      <c r="AG1243" s="70"/>
      <c r="AH1243" s="70"/>
    </row>
    <row r="1244" spans="4:34" x14ac:dyDescent="0.2">
      <c r="D1244" s="53"/>
      <c r="E1244" s="70"/>
      <c r="F1244" s="70"/>
      <c r="G1244" s="70"/>
      <c r="H1244" s="70"/>
      <c r="I1244" s="70"/>
      <c r="J1244" s="70"/>
      <c r="K1244" s="70"/>
      <c r="L1244" s="70"/>
      <c r="M1244" s="70"/>
      <c r="N1244" s="70"/>
      <c r="O1244" s="70"/>
      <c r="P1244" s="70"/>
      <c r="Q1244" s="70"/>
      <c r="R1244" s="70"/>
      <c r="S1244" s="70"/>
      <c r="T1244" s="70"/>
      <c r="U1244" s="64"/>
      <c r="V1244" s="64"/>
      <c r="W1244" s="70"/>
      <c r="X1244" s="64"/>
      <c r="Y1244" s="70"/>
      <c r="Z1244" s="70"/>
      <c r="AA1244" s="71"/>
      <c r="AB1244" s="70"/>
      <c r="AC1244" s="70"/>
      <c r="AD1244" s="64"/>
      <c r="AE1244" s="70"/>
      <c r="AF1244" s="70"/>
      <c r="AG1244" s="70"/>
      <c r="AH1244" s="70"/>
    </row>
    <row r="1245" spans="4:34" x14ac:dyDescent="0.2">
      <c r="D1245" s="53"/>
      <c r="E1245" s="70"/>
      <c r="F1245" s="70"/>
      <c r="G1245" s="70"/>
      <c r="H1245" s="70"/>
      <c r="I1245" s="70"/>
      <c r="J1245" s="70"/>
      <c r="K1245" s="70"/>
      <c r="L1245" s="70"/>
      <c r="M1245" s="70"/>
      <c r="N1245" s="70"/>
      <c r="O1245" s="70"/>
      <c r="P1245" s="70"/>
      <c r="Q1245" s="70"/>
      <c r="R1245" s="70"/>
      <c r="S1245" s="70"/>
      <c r="T1245" s="70"/>
      <c r="U1245" s="64"/>
      <c r="V1245" s="64"/>
      <c r="W1245" s="70"/>
      <c r="X1245" s="64"/>
      <c r="Y1245" s="70"/>
      <c r="Z1245" s="70"/>
      <c r="AA1245" s="71"/>
      <c r="AB1245" s="70"/>
      <c r="AC1245" s="70"/>
      <c r="AD1245" s="64"/>
      <c r="AE1245" s="70"/>
      <c r="AF1245" s="70"/>
      <c r="AG1245" s="70"/>
      <c r="AH1245" s="70"/>
    </row>
    <row r="1246" spans="4:34" x14ac:dyDescent="0.2">
      <c r="D1246" s="53"/>
      <c r="E1246" s="70"/>
      <c r="F1246" s="70"/>
      <c r="G1246" s="70"/>
      <c r="H1246" s="70"/>
      <c r="I1246" s="70"/>
      <c r="J1246" s="70"/>
      <c r="K1246" s="70"/>
      <c r="L1246" s="70"/>
      <c r="M1246" s="70"/>
      <c r="N1246" s="70"/>
      <c r="O1246" s="70"/>
      <c r="P1246" s="70"/>
      <c r="Q1246" s="70"/>
      <c r="R1246" s="70"/>
      <c r="S1246" s="70"/>
      <c r="T1246" s="70"/>
      <c r="U1246" s="64"/>
      <c r="V1246" s="64"/>
      <c r="W1246" s="70"/>
      <c r="X1246" s="64"/>
      <c r="Y1246" s="70"/>
      <c r="Z1246" s="70"/>
      <c r="AA1246" s="71"/>
      <c r="AB1246" s="70"/>
      <c r="AC1246" s="70"/>
      <c r="AD1246" s="64"/>
      <c r="AE1246" s="70"/>
      <c r="AF1246" s="70"/>
      <c r="AG1246" s="70"/>
      <c r="AH1246" s="70"/>
    </row>
    <row r="1247" spans="4:34" x14ac:dyDescent="0.2">
      <c r="D1247" s="53"/>
      <c r="E1247" s="70"/>
      <c r="F1247" s="70"/>
      <c r="G1247" s="70"/>
      <c r="H1247" s="70"/>
      <c r="I1247" s="70"/>
      <c r="J1247" s="70"/>
      <c r="K1247" s="70"/>
      <c r="L1247" s="70"/>
      <c r="M1247" s="70"/>
      <c r="N1247" s="70"/>
      <c r="O1247" s="70"/>
      <c r="P1247" s="70"/>
      <c r="Q1247" s="70"/>
      <c r="R1247" s="70"/>
      <c r="S1247" s="70"/>
      <c r="T1247" s="70"/>
      <c r="U1247" s="64"/>
      <c r="V1247" s="64"/>
      <c r="W1247" s="70"/>
      <c r="X1247" s="64"/>
      <c r="Y1247" s="70"/>
      <c r="Z1247" s="70"/>
      <c r="AA1247" s="71"/>
      <c r="AB1247" s="70"/>
      <c r="AC1247" s="70"/>
      <c r="AD1247" s="64"/>
      <c r="AE1247" s="70"/>
      <c r="AF1247" s="70"/>
      <c r="AG1247" s="70"/>
      <c r="AH1247" s="70"/>
    </row>
    <row r="1248" spans="4:34" x14ac:dyDescent="0.2">
      <c r="D1248" s="53"/>
      <c r="E1248" s="70"/>
      <c r="F1248" s="70"/>
      <c r="G1248" s="70"/>
      <c r="H1248" s="70"/>
      <c r="I1248" s="70"/>
      <c r="J1248" s="70"/>
      <c r="K1248" s="70"/>
      <c r="L1248" s="70"/>
      <c r="M1248" s="70"/>
      <c r="N1248" s="70"/>
      <c r="O1248" s="70"/>
      <c r="P1248" s="70"/>
      <c r="Q1248" s="70"/>
      <c r="R1248" s="70"/>
      <c r="S1248" s="70"/>
      <c r="T1248" s="70"/>
      <c r="U1248" s="64"/>
      <c r="V1248" s="64"/>
      <c r="W1248" s="70"/>
      <c r="X1248" s="64"/>
      <c r="Y1248" s="70"/>
      <c r="Z1248" s="70"/>
      <c r="AA1248" s="71"/>
      <c r="AB1248" s="70"/>
      <c r="AC1248" s="70"/>
      <c r="AD1248" s="64"/>
      <c r="AE1248" s="70"/>
      <c r="AF1248" s="70"/>
      <c r="AG1248" s="70"/>
      <c r="AH1248" s="70"/>
    </row>
    <row r="1249" spans="4:34" x14ac:dyDescent="0.2">
      <c r="D1249" s="53"/>
      <c r="E1249" s="70"/>
      <c r="F1249" s="70"/>
      <c r="G1249" s="70"/>
      <c r="H1249" s="70"/>
      <c r="I1249" s="70"/>
      <c r="J1249" s="70"/>
      <c r="K1249" s="70"/>
      <c r="L1249" s="70"/>
      <c r="M1249" s="70"/>
      <c r="N1249" s="70"/>
      <c r="O1249" s="70"/>
      <c r="P1249" s="70"/>
      <c r="Q1249" s="70"/>
      <c r="R1249" s="70"/>
      <c r="S1249" s="70"/>
      <c r="T1249" s="70"/>
      <c r="U1249" s="64"/>
      <c r="V1249" s="64"/>
      <c r="W1249" s="70"/>
      <c r="X1249" s="64"/>
      <c r="Y1249" s="70"/>
      <c r="Z1249" s="70"/>
      <c r="AA1249" s="71"/>
      <c r="AB1249" s="70"/>
      <c r="AC1249" s="70"/>
      <c r="AD1249" s="64"/>
      <c r="AE1249" s="70"/>
      <c r="AF1249" s="70"/>
      <c r="AG1249" s="70"/>
      <c r="AH1249" s="70"/>
    </row>
    <row r="1250" spans="4:34" x14ac:dyDescent="0.2">
      <c r="D1250" s="53"/>
      <c r="E1250" s="70"/>
      <c r="F1250" s="70"/>
      <c r="G1250" s="70"/>
      <c r="H1250" s="70"/>
      <c r="I1250" s="70"/>
      <c r="J1250" s="70"/>
      <c r="K1250" s="70"/>
      <c r="L1250" s="70"/>
      <c r="M1250" s="70"/>
      <c r="N1250" s="70"/>
      <c r="O1250" s="70"/>
      <c r="P1250" s="70"/>
      <c r="Q1250" s="70"/>
      <c r="R1250" s="70"/>
      <c r="S1250" s="70"/>
      <c r="T1250" s="70"/>
      <c r="U1250" s="64"/>
      <c r="V1250" s="64"/>
      <c r="W1250" s="70"/>
      <c r="X1250" s="64"/>
      <c r="Y1250" s="70"/>
      <c r="Z1250" s="70"/>
      <c r="AA1250" s="71"/>
      <c r="AB1250" s="70"/>
      <c r="AC1250" s="70"/>
      <c r="AD1250" s="64"/>
      <c r="AE1250" s="70"/>
      <c r="AF1250" s="70"/>
      <c r="AG1250" s="70"/>
      <c r="AH1250" s="70"/>
    </row>
    <row r="1251" spans="4:34" x14ac:dyDescent="0.2">
      <c r="D1251" s="53"/>
      <c r="E1251" s="70"/>
      <c r="F1251" s="70"/>
      <c r="G1251" s="70"/>
      <c r="H1251" s="70"/>
      <c r="I1251" s="70"/>
      <c r="J1251" s="70"/>
      <c r="K1251" s="70"/>
      <c r="L1251" s="70"/>
      <c r="M1251" s="70"/>
      <c r="N1251" s="70"/>
      <c r="O1251" s="70"/>
      <c r="P1251" s="70"/>
      <c r="Q1251" s="70"/>
      <c r="R1251" s="70"/>
      <c r="S1251" s="70"/>
      <c r="T1251" s="70"/>
      <c r="U1251" s="64"/>
      <c r="V1251" s="64"/>
      <c r="W1251" s="70"/>
      <c r="X1251" s="64"/>
      <c r="Y1251" s="70"/>
      <c r="Z1251" s="70"/>
      <c r="AA1251" s="71"/>
      <c r="AB1251" s="70"/>
      <c r="AC1251" s="70"/>
      <c r="AD1251" s="64"/>
      <c r="AE1251" s="70"/>
      <c r="AF1251" s="70"/>
      <c r="AG1251" s="70"/>
      <c r="AH1251" s="70"/>
    </row>
    <row r="1252" spans="4:34" x14ac:dyDescent="0.2">
      <c r="D1252" s="53"/>
      <c r="E1252" s="70"/>
      <c r="F1252" s="70"/>
      <c r="G1252" s="70"/>
      <c r="H1252" s="70"/>
      <c r="I1252" s="70"/>
      <c r="J1252" s="70"/>
      <c r="K1252" s="70"/>
      <c r="L1252" s="70"/>
      <c r="M1252" s="70"/>
      <c r="N1252" s="70"/>
      <c r="O1252" s="70"/>
      <c r="P1252" s="70"/>
      <c r="Q1252" s="70"/>
      <c r="R1252" s="70"/>
      <c r="S1252" s="70"/>
      <c r="T1252" s="70"/>
      <c r="U1252" s="64"/>
      <c r="V1252" s="64"/>
      <c r="W1252" s="70"/>
      <c r="X1252" s="64"/>
      <c r="Y1252" s="70"/>
      <c r="Z1252" s="70"/>
      <c r="AA1252" s="71"/>
      <c r="AB1252" s="70"/>
      <c r="AC1252" s="70"/>
      <c r="AD1252" s="64"/>
      <c r="AE1252" s="70"/>
      <c r="AF1252" s="70"/>
      <c r="AG1252" s="70"/>
      <c r="AH1252" s="70"/>
    </row>
    <row r="1253" spans="4:34" x14ac:dyDescent="0.2">
      <c r="D1253" s="53"/>
      <c r="E1253" s="70"/>
      <c r="F1253" s="70"/>
      <c r="G1253" s="70"/>
      <c r="H1253" s="70"/>
      <c r="I1253" s="70"/>
      <c r="J1253" s="70"/>
      <c r="K1253" s="70"/>
      <c r="L1253" s="70"/>
      <c r="M1253" s="70"/>
      <c r="N1253" s="70"/>
      <c r="O1253" s="70"/>
      <c r="P1253" s="70"/>
      <c r="Q1253" s="70"/>
      <c r="R1253" s="70"/>
      <c r="S1253" s="70"/>
      <c r="T1253" s="70"/>
      <c r="U1253" s="64"/>
      <c r="V1253" s="64"/>
      <c r="W1253" s="70"/>
      <c r="X1253" s="64"/>
      <c r="Y1253" s="70"/>
      <c r="Z1253" s="70"/>
      <c r="AA1253" s="71"/>
      <c r="AB1253" s="70"/>
      <c r="AC1253" s="70"/>
      <c r="AD1253" s="64"/>
      <c r="AE1253" s="70"/>
      <c r="AF1253" s="70"/>
      <c r="AG1253" s="70"/>
      <c r="AH1253" s="70"/>
    </row>
    <row r="1254" spans="4:34" x14ac:dyDescent="0.2">
      <c r="D1254" s="53"/>
      <c r="E1254" s="70"/>
      <c r="F1254" s="70"/>
      <c r="G1254" s="70"/>
      <c r="H1254" s="70"/>
      <c r="I1254" s="70"/>
      <c r="J1254" s="70"/>
      <c r="K1254" s="70"/>
      <c r="L1254" s="70"/>
      <c r="M1254" s="70"/>
      <c r="N1254" s="70"/>
      <c r="O1254" s="70"/>
      <c r="P1254" s="70"/>
      <c r="Q1254" s="70"/>
      <c r="R1254" s="70"/>
      <c r="S1254" s="70"/>
      <c r="T1254" s="70"/>
      <c r="U1254" s="64"/>
      <c r="V1254" s="64"/>
      <c r="W1254" s="70"/>
      <c r="X1254" s="64"/>
      <c r="Y1254" s="70"/>
      <c r="Z1254" s="70"/>
      <c r="AA1254" s="71"/>
      <c r="AB1254" s="70"/>
      <c r="AC1254" s="70"/>
      <c r="AD1254" s="64"/>
      <c r="AE1254" s="70"/>
      <c r="AF1254" s="70"/>
      <c r="AG1254" s="70"/>
      <c r="AH1254" s="70"/>
    </row>
    <row r="1255" spans="4:34" x14ac:dyDescent="0.2">
      <c r="D1255" s="53"/>
      <c r="E1255" s="70"/>
      <c r="F1255" s="70"/>
      <c r="G1255" s="70"/>
      <c r="H1255" s="70"/>
      <c r="I1255" s="70"/>
      <c r="J1255" s="70"/>
      <c r="K1255" s="70"/>
      <c r="L1255" s="70"/>
      <c r="M1255" s="70"/>
      <c r="N1255" s="70"/>
      <c r="O1255" s="70"/>
      <c r="P1255" s="70"/>
      <c r="Q1255" s="70"/>
      <c r="R1255" s="70"/>
      <c r="S1255" s="70"/>
      <c r="T1255" s="70"/>
      <c r="U1255" s="64"/>
      <c r="V1255" s="64"/>
      <c r="W1255" s="70"/>
      <c r="X1255" s="64"/>
      <c r="Y1255" s="70"/>
      <c r="Z1255" s="70"/>
      <c r="AA1255" s="71"/>
      <c r="AB1255" s="70"/>
      <c r="AC1255" s="70"/>
      <c r="AD1255" s="64"/>
      <c r="AE1255" s="70"/>
      <c r="AF1255" s="70"/>
      <c r="AG1255" s="70"/>
      <c r="AH1255" s="70"/>
    </row>
    <row r="1256" spans="4:34" x14ac:dyDescent="0.2">
      <c r="D1256" s="53"/>
      <c r="E1256" s="70"/>
      <c r="F1256" s="70"/>
      <c r="G1256" s="70"/>
      <c r="H1256" s="70"/>
      <c r="I1256" s="70"/>
      <c r="J1256" s="70"/>
      <c r="K1256" s="70"/>
      <c r="L1256" s="70"/>
      <c r="M1256" s="70"/>
      <c r="N1256" s="70"/>
      <c r="O1256" s="70"/>
      <c r="P1256" s="70"/>
      <c r="Q1256" s="70"/>
      <c r="R1256" s="70"/>
      <c r="S1256" s="70"/>
      <c r="T1256" s="70"/>
      <c r="U1256" s="64"/>
      <c r="V1256" s="64"/>
      <c r="W1256" s="70"/>
      <c r="X1256" s="64"/>
      <c r="Y1256" s="70"/>
      <c r="Z1256" s="70"/>
      <c r="AA1256" s="71"/>
      <c r="AB1256" s="70"/>
      <c r="AC1256" s="70"/>
      <c r="AD1256" s="64"/>
      <c r="AE1256" s="70"/>
      <c r="AF1256" s="70"/>
      <c r="AG1256" s="70"/>
      <c r="AH1256" s="70"/>
    </row>
    <row r="1257" spans="4:34" x14ac:dyDescent="0.2">
      <c r="D1257" s="53"/>
      <c r="E1257" s="70"/>
      <c r="F1257" s="70"/>
      <c r="G1257" s="70"/>
      <c r="H1257" s="70"/>
      <c r="I1257" s="70"/>
      <c r="J1257" s="70"/>
      <c r="K1257" s="70"/>
      <c r="L1257" s="70"/>
      <c r="M1257" s="70"/>
      <c r="N1257" s="70"/>
      <c r="O1257" s="70"/>
      <c r="P1257" s="70"/>
      <c r="Q1257" s="70"/>
      <c r="R1257" s="70"/>
      <c r="S1257" s="70"/>
      <c r="T1257" s="70"/>
      <c r="U1257" s="64"/>
      <c r="V1257" s="64"/>
      <c r="W1257" s="70"/>
      <c r="X1257" s="64"/>
      <c r="Y1257" s="70"/>
      <c r="Z1257" s="70"/>
      <c r="AA1257" s="71"/>
      <c r="AB1257" s="70"/>
      <c r="AC1257" s="70"/>
      <c r="AD1257" s="64"/>
      <c r="AE1257" s="70"/>
      <c r="AF1257" s="70"/>
      <c r="AG1257" s="70"/>
      <c r="AH1257" s="70"/>
    </row>
    <row r="1258" spans="4:34" x14ac:dyDescent="0.2">
      <c r="D1258" s="53"/>
      <c r="E1258" s="70"/>
      <c r="F1258" s="70"/>
      <c r="G1258" s="70"/>
      <c r="H1258" s="70"/>
      <c r="I1258" s="70"/>
      <c r="J1258" s="70"/>
      <c r="K1258" s="70"/>
      <c r="L1258" s="70"/>
      <c r="M1258" s="70"/>
      <c r="N1258" s="70"/>
      <c r="O1258" s="70"/>
      <c r="P1258" s="70"/>
      <c r="Q1258" s="70"/>
      <c r="R1258" s="70"/>
      <c r="S1258" s="70"/>
      <c r="T1258" s="70"/>
      <c r="U1258" s="64"/>
      <c r="V1258" s="64"/>
      <c r="W1258" s="70"/>
      <c r="X1258" s="64"/>
      <c r="Y1258" s="70"/>
      <c r="Z1258" s="70"/>
      <c r="AA1258" s="71"/>
      <c r="AB1258" s="70"/>
      <c r="AC1258" s="70"/>
      <c r="AD1258" s="64"/>
      <c r="AE1258" s="70"/>
      <c r="AF1258" s="70"/>
      <c r="AG1258" s="70"/>
      <c r="AH1258" s="70"/>
    </row>
    <row r="1259" spans="4:34" x14ac:dyDescent="0.2">
      <c r="D1259" s="53"/>
      <c r="E1259" s="70"/>
      <c r="F1259" s="70"/>
      <c r="G1259" s="70"/>
      <c r="H1259" s="70"/>
      <c r="I1259" s="70"/>
      <c r="J1259" s="70"/>
      <c r="K1259" s="70"/>
      <c r="L1259" s="70"/>
      <c r="M1259" s="70"/>
      <c r="N1259" s="70"/>
      <c r="O1259" s="70"/>
      <c r="P1259" s="70"/>
      <c r="Q1259" s="70"/>
      <c r="R1259" s="70"/>
      <c r="S1259" s="70"/>
      <c r="T1259" s="70"/>
      <c r="U1259" s="64"/>
      <c r="V1259" s="64"/>
      <c r="W1259" s="70"/>
      <c r="X1259" s="64"/>
      <c r="Y1259" s="70"/>
      <c r="Z1259" s="70"/>
      <c r="AA1259" s="71"/>
      <c r="AB1259" s="70"/>
      <c r="AC1259" s="70"/>
      <c r="AD1259" s="64"/>
      <c r="AE1259" s="70"/>
      <c r="AF1259" s="70"/>
      <c r="AG1259" s="70"/>
      <c r="AH1259" s="70"/>
    </row>
    <row r="1260" spans="4:34" x14ac:dyDescent="0.2">
      <c r="D1260" s="53"/>
      <c r="E1260" s="70"/>
      <c r="F1260" s="70"/>
      <c r="G1260" s="70"/>
      <c r="H1260" s="70"/>
      <c r="I1260" s="70"/>
      <c r="J1260" s="70"/>
      <c r="K1260" s="70"/>
      <c r="L1260" s="70"/>
      <c r="M1260" s="70"/>
      <c r="N1260" s="70"/>
      <c r="O1260" s="70"/>
      <c r="P1260" s="70"/>
      <c r="Q1260" s="70"/>
      <c r="R1260" s="70"/>
      <c r="S1260" s="70"/>
      <c r="T1260" s="70"/>
      <c r="U1260" s="64"/>
      <c r="V1260" s="64"/>
      <c r="W1260" s="70"/>
      <c r="X1260" s="64"/>
      <c r="Y1260" s="70"/>
      <c r="Z1260" s="70"/>
      <c r="AA1260" s="71"/>
      <c r="AB1260" s="70"/>
      <c r="AC1260" s="70"/>
      <c r="AD1260" s="64"/>
      <c r="AE1260" s="70"/>
      <c r="AF1260" s="70"/>
      <c r="AG1260" s="70"/>
      <c r="AH1260" s="70"/>
    </row>
    <row r="1261" spans="4:34" x14ac:dyDescent="0.2">
      <c r="D1261" s="53"/>
      <c r="E1261" s="70"/>
      <c r="F1261" s="70"/>
      <c r="G1261" s="70"/>
      <c r="H1261" s="70"/>
      <c r="I1261" s="70"/>
      <c r="J1261" s="70"/>
      <c r="K1261" s="70"/>
      <c r="L1261" s="70"/>
      <c r="M1261" s="70"/>
      <c r="N1261" s="70"/>
      <c r="O1261" s="70"/>
      <c r="P1261" s="70"/>
      <c r="Q1261" s="70"/>
      <c r="R1261" s="70"/>
      <c r="S1261" s="70"/>
      <c r="T1261" s="70"/>
      <c r="U1261" s="64"/>
      <c r="V1261" s="64"/>
      <c r="W1261" s="70"/>
      <c r="X1261" s="64"/>
      <c r="Y1261" s="70"/>
      <c r="Z1261" s="70"/>
      <c r="AA1261" s="71"/>
      <c r="AB1261" s="70"/>
      <c r="AC1261" s="70"/>
      <c r="AD1261" s="64"/>
      <c r="AE1261" s="70"/>
      <c r="AF1261" s="70"/>
      <c r="AG1261" s="70"/>
      <c r="AH1261" s="70"/>
    </row>
    <row r="1262" spans="4:34" x14ac:dyDescent="0.2">
      <c r="D1262" s="53"/>
      <c r="E1262" s="70"/>
      <c r="F1262" s="70"/>
      <c r="G1262" s="70"/>
      <c r="H1262" s="70"/>
      <c r="I1262" s="70"/>
      <c r="J1262" s="70"/>
      <c r="K1262" s="70"/>
      <c r="L1262" s="70"/>
      <c r="M1262" s="70"/>
      <c r="N1262" s="70"/>
      <c r="O1262" s="70"/>
      <c r="P1262" s="70"/>
      <c r="Q1262" s="70"/>
      <c r="R1262" s="70"/>
      <c r="S1262" s="70"/>
      <c r="T1262" s="70"/>
      <c r="U1262" s="64"/>
      <c r="V1262" s="64"/>
      <c r="W1262" s="70"/>
      <c r="X1262" s="64"/>
      <c r="Y1262" s="70"/>
      <c r="Z1262" s="70"/>
      <c r="AA1262" s="71"/>
      <c r="AB1262" s="70"/>
      <c r="AC1262" s="70"/>
      <c r="AD1262" s="64"/>
      <c r="AE1262" s="70"/>
      <c r="AF1262" s="70"/>
      <c r="AG1262" s="70"/>
      <c r="AH1262" s="70"/>
    </row>
    <row r="1263" spans="4:34" x14ac:dyDescent="0.2">
      <c r="D1263" s="53"/>
      <c r="E1263" s="70"/>
      <c r="F1263" s="70"/>
      <c r="G1263" s="70"/>
      <c r="H1263" s="70"/>
      <c r="I1263" s="70"/>
      <c r="J1263" s="70"/>
      <c r="K1263" s="70"/>
      <c r="L1263" s="70"/>
      <c r="M1263" s="70"/>
      <c r="N1263" s="70"/>
      <c r="O1263" s="70"/>
      <c r="P1263" s="70"/>
      <c r="Q1263" s="70"/>
      <c r="R1263" s="70"/>
      <c r="S1263" s="70"/>
      <c r="T1263" s="70"/>
      <c r="U1263" s="64"/>
      <c r="V1263" s="64"/>
      <c r="W1263" s="70"/>
      <c r="X1263" s="64"/>
      <c r="Y1263" s="70"/>
      <c r="Z1263" s="70"/>
      <c r="AA1263" s="71"/>
      <c r="AB1263" s="70"/>
      <c r="AC1263" s="70"/>
      <c r="AD1263" s="64"/>
      <c r="AE1263" s="70"/>
      <c r="AF1263" s="70"/>
      <c r="AG1263" s="70"/>
      <c r="AH1263" s="70"/>
    </row>
    <row r="1264" spans="4:34" x14ac:dyDescent="0.2">
      <c r="D1264" s="53"/>
      <c r="E1264" s="70"/>
      <c r="F1264" s="70"/>
      <c r="G1264" s="70"/>
      <c r="H1264" s="70"/>
      <c r="I1264" s="70"/>
      <c r="J1264" s="70"/>
      <c r="K1264" s="70"/>
      <c r="L1264" s="70"/>
      <c r="M1264" s="70"/>
      <c r="N1264" s="70"/>
      <c r="O1264" s="70"/>
      <c r="P1264" s="70"/>
      <c r="Q1264" s="70"/>
      <c r="R1264" s="70"/>
      <c r="S1264" s="70"/>
      <c r="T1264" s="70"/>
      <c r="U1264" s="64"/>
      <c r="V1264" s="64"/>
      <c r="W1264" s="70"/>
      <c r="X1264" s="64"/>
      <c r="Y1264" s="70"/>
      <c r="Z1264" s="70"/>
      <c r="AA1264" s="71"/>
      <c r="AB1264" s="70"/>
      <c r="AC1264" s="70"/>
      <c r="AD1264" s="64"/>
      <c r="AE1264" s="70"/>
      <c r="AF1264" s="70"/>
      <c r="AG1264" s="70"/>
      <c r="AH1264" s="70"/>
    </row>
    <row r="1265" spans="4:34" x14ac:dyDescent="0.2">
      <c r="D1265" s="53"/>
      <c r="E1265" s="70"/>
      <c r="F1265" s="70"/>
      <c r="G1265" s="70"/>
      <c r="H1265" s="70"/>
      <c r="I1265" s="70"/>
      <c r="J1265" s="70"/>
      <c r="K1265" s="70"/>
      <c r="L1265" s="70"/>
      <c r="M1265" s="70"/>
      <c r="N1265" s="70"/>
      <c r="O1265" s="70"/>
      <c r="P1265" s="70"/>
      <c r="Q1265" s="70"/>
      <c r="R1265" s="70"/>
      <c r="S1265" s="70"/>
      <c r="T1265" s="70"/>
      <c r="U1265" s="64"/>
      <c r="V1265" s="64"/>
      <c r="W1265" s="70"/>
      <c r="X1265" s="64"/>
      <c r="Y1265" s="70"/>
      <c r="Z1265" s="70"/>
      <c r="AA1265" s="71"/>
      <c r="AB1265" s="70"/>
      <c r="AC1265" s="70"/>
      <c r="AD1265" s="64"/>
      <c r="AE1265" s="70"/>
      <c r="AF1265" s="70"/>
      <c r="AG1265" s="70"/>
      <c r="AH1265" s="70"/>
    </row>
    <row r="1266" spans="4:34" x14ac:dyDescent="0.2">
      <c r="D1266" s="53"/>
      <c r="E1266" s="70"/>
      <c r="F1266" s="70"/>
      <c r="G1266" s="70"/>
      <c r="H1266" s="70"/>
      <c r="I1266" s="70"/>
      <c r="J1266" s="70"/>
      <c r="K1266" s="70"/>
      <c r="L1266" s="70"/>
      <c r="M1266" s="70"/>
      <c r="N1266" s="70"/>
      <c r="O1266" s="70"/>
      <c r="P1266" s="70"/>
      <c r="Q1266" s="70"/>
      <c r="R1266" s="70"/>
      <c r="S1266" s="70"/>
      <c r="T1266" s="70"/>
      <c r="U1266" s="64"/>
      <c r="V1266" s="64"/>
      <c r="W1266" s="70"/>
      <c r="X1266" s="64"/>
      <c r="Y1266" s="70"/>
      <c r="Z1266" s="70"/>
      <c r="AA1266" s="71"/>
      <c r="AB1266" s="70"/>
      <c r="AC1266" s="70"/>
      <c r="AD1266" s="64"/>
      <c r="AE1266" s="70"/>
      <c r="AF1266" s="70"/>
      <c r="AG1266" s="70"/>
      <c r="AH1266" s="70"/>
    </row>
    <row r="1267" spans="4:34" x14ac:dyDescent="0.2">
      <c r="D1267" s="53"/>
      <c r="E1267" s="70"/>
      <c r="F1267" s="70"/>
      <c r="G1267" s="70"/>
      <c r="H1267" s="70"/>
      <c r="I1267" s="70"/>
      <c r="J1267" s="70"/>
      <c r="K1267" s="70"/>
      <c r="L1267" s="70"/>
      <c r="M1267" s="70"/>
      <c r="N1267" s="70"/>
      <c r="O1267" s="70"/>
      <c r="P1267" s="70"/>
      <c r="Q1267" s="70"/>
      <c r="R1267" s="70"/>
      <c r="S1267" s="70"/>
      <c r="T1267" s="70"/>
      <c r="U1267" s="64"/>
      <c r="V1267" s="64"/>
      <c r="W1267" s="70"/>
      <c r="X1267" s="64"/>
      <c r="Y1267" s="70"/>
      <c r="Z1267" s="70"/>
      <c r="AA1267" s="71"/>
      <c r="AB1267" s="70"/>
      <c r="AC1267" s="70"/>
      <c r="AD1267" s="64"/>
      <c r="AE1267" s="70"/>
      <c r="AF1267" s="70"/>
      <c r="AG1267" s="70"/>
      <c r="AH1267" s="70"/>
    </row>
    <row r="1268" spans="4:34" x14ac:dyDescent="0.2">
      <c r="D1268" s="53"/>
      <c r="E1268" s="70"/>
      <c r="F1268" s="70"/>
      <c r="G1268" s="70"/>
      <c r="H1268" s="70"/>
      <c r="I1268" s="70"/>
      <c r="J1268" s="70"/>
      <c r="K1268" s="70"/>
      <c r="L1268" s="70"/>
      <c r="M1268" s="70"/>
      <c r="N1268" s="70"/>
      <c r="O1268" s="70"/>
      <c r="P1268" s="70"/>
      <c r="Q1268" s="70"/>
      <c r="R1268" s="70"/>
      <c r="S1268" s="70"/>
      <c r="T1268" s="70"/>
      <c r="U1268" s="64"/>
      <c r="V1268" s="64"/>
      <c r="W1268" s="70"/>
      <c r="X1268" s="64"/>
      <c r="Y1268" s="70"/>
      <c r="Z1268" s="70"/>
      <c r="AA1268" s="71"/>
      <c r="AB1268" s="70"/>
      <c r="AC1268" s="70"/>
      <c r="AD1268" s="64"/>
      <c r="AE1268" s="70"/>
      <c r="AF1268" s="70"/>
      <c r="AG1268" s="70"/>
      <c r="AH1268" s="70"/>
    </row>
    <row r="1269" spans="4:34" x14ac:dyDescent="0.2">
      <c r="D1269" s="53"/>
      <c r="E1269" s="70"/>
      <c r="F1269" s="70"/>
      <c r="G1269" s="70"/>
      <c r="H1269" s="70"/>
      <c r="I1269" s="70"/>
      <c r="J1269" s="70"/>
      <c r="K1269" s="70"/>
      <c r="L1269" s="70"/>
      <c r="M1269" s="70"/>
      <c r="N1269" s="70"/>
      <c r="O1269" s="70"/>
      <c r="P1269" s="70"/>
      <c r="Q1269" s="70"/>
      <c r="R1269" s="70"/>
      <c r="S1269" s="70"/>
      <c r="T1269" s="70"/>
      <c r="U1269" s="64"/>
      <c r="V1269" s="64"/>
      <c r="W1269" s="70"/>
      <c r="X1269" s="64"/>
      <c r="Y1269" s="70"/>
      <c r="Z1269" s="70"/>
      <c r="AA1269" s="71"/>
      <c r="AB1269" s="70"/>
      <c r="AC1269" s="70"/>
      <c r="AD1269" s="64"/>
      <c r="AE1269" s="70"/>
      <c r="AF1269" s="70"/>
      <c r="AG1269" s="70"/>
      <c r="AH1269" s="70"/>
    </row>
    <row r="1270" spans="4:34" x14ac:dyDescent="0.2">
      <c r="D1270" s="53"/>
      <c r="E1270" s="70"/>
      <c r="F1270" s="70"/>
      <c r="G1270" s="70"/>
      <c r="H1270" s="70"/>
      <c r="I1270" s="70"/>
      <c r="J1270" s="70"/>
      <c r="K1270" s="70"/>
      <c r="L1270" s="70"/>
      <c r="M1270" s="70"/>
      <c r="N1270" s="70"/>
      <c r="O1270" s="70"/>
      <c r="P1270" s="70"/>
      <c r="Q1270" s="70"/>
      <c r="R1270" s="70"/>
      <c r="S1270" s="70"/>
      <c r="T1270" s="70"/>
      <c r="U1270" s="64"/>
      <c r="V1270" s="64"/>
      <c r="W1270" s="70"/>
      <c r="X1270" s="64"/>
      <c r="Y1270" s="70"/>
      <c r="Z1270" s="70"/>
      <c r="AA1270" s="71"/>
      <c r="AB1270" s="70"/>
      <c r="AC1270" s="70"/>
      <c r="AD1270" s="64"/>
      <c r="AE1270" s="70"/>
      <c r="AF1270" s="70"/>
      <c r="AG1270" s="70"/>
      <c r="AH1270" s="70"/>
    </row>
    <row r="1271" spans="4:34" x14ac:dyDescent="0.2">
      <c r="D1271" s="53"/>
      <c r="E1271" s="70"/>
      <c r="F1271" s="70"/>
      <c r="G1271" s="70"/>
      <c r="H1271" s="70"/>
      <c r="I1271" s="70"/>
      <c r="J1271" s="70"/>
      <c r="K1271" s="70"/>
      <c r="L1271" s="70"/>
      <c r="M1271" s="70"/>
      <c r="N1271" s="70"/>
      <c r="O1271" s="70"/>
      <c r="P1271" s="70"/>
      <c r="Q1271" s="70"/>
      <c r="R1271" s="70"/>
      <c r="S1271" s="70"/>
      <c r="T1271" s="70"/>
      <c r="U1271" s="64"/>
      <c r="V1271" s="64"/>
      <c r="W1271" s="70"/>
      <c r="X1271" s="64"/>
      <c r="Y1271" s="70"/>
      <c r="Z1271" s="70"/>
      <c r="AA1271" s="71"/>
      <c r="AB1271" s="70"/>
      <c r="AC1271" s="70"/>
      <c r="AD1271" s="64"/>
      <c r="AE1271" s="70"/>
      <c r="AF1271" s="70"/>
      <c r="AG1271" s="70"/>
      <c r="AH1271" s="70"/>
    </row>
    <row r="1272" spans="4:34" x14ac:dyDescent="0.2">
      <c r="D1272" s="53"/>
      <c r="E1272" s="70"/>
      <c r="F1272" s="70"/>
      <c r="G1272" s="70"/>
      <c r="H1272" s="70"/>
      <c r="I1272" s="70"/>
      <c r="J1272" s="70"/>
      <c r="K1272" s="70"/>
      <c r="L1272" s="70"/>
      <c r="M1272" s="70"/>
      <c r="N1272" s="70"/>
      <c r="O1272" s="70"/>
      <c r="P1272" s="70"/>
      <c r="Q1272" s="70"/>
      <c r="R1272" s="70"/>
      <c r="S1272" s="70"/>
      <c r="T1272" s="70"/>
      <c r="U1272" s="64"/>
      <c r="V1272" s="64"/>
      <c r="W1272" s="70"/>
      <c r="X1272" s="64"/>
      <c r="Y1272" s="70"/>
      <c r="Z1272" s="70"/>
      <c r="AA1272" s="71"/>
      <c r="AB1272" s="70"/>
      <c r="AC1272" s="70"/>
      <c r="AD1272" s="64"/>
      <c r="AE1272" s="70"/>
      <c r="AF1272" s="70"/>
      <c r="AG1272" s="70"/>
      <c r="AH1272" s="70"/>
    </row>
    <row r="1273" spans="4:34" x14ac:dyDescent="0.2">
      <c r="D1273" s="53"/>
      <c r="E1273" s="70"/>
      <c r="F1273" s="70"/>
      <c r="G1273" s="70"/>
      <c r="H1273" s="70"/>
      <c r="I1273" s="70"/>
      <c r="J1273" s="70"/>
      <c r="K1273" s="70"/>
      <c r="L1273" s="70"/>
      <c r="M1273" s="70"/>
      <c r="N1273" s="70"/>
      <c r="O1273" s="70"/>
      <c r="P1273" s="70"/>
      <c r="Q1273" s="70"/>
      <c r="R1273" s="70"/>
      <c r="S1273" s="70"/>
      <c r="T1273" s="70"/>
      <c r="U1273" s="64"/>
      <c r="V1273" s="64"/>
      <c r="W1273" s="70"/>
      <c r="X1273" s="64"/>
      <c r="Y1273" s="70"/>
      <c r="Z1273" s="70"/>
      <c r="AA1273" s="71"/>
      <c r="AB1273" s="70"/>
      <c r="AC1273" s="70"/>
      <c r="AD1273" s="64"/>
      <c r="AE1273" s="70"/>
      <c r="AF1273" s="70"/>
      <c r="AG1273" s="70"/>
      <c r="AH1273" s="70"/>
    </row>
    <row r="1274" spans="4:34" x14ac:dyDescent="0.2">
      <c r="D1274" s="53"/>
      <c r="E1274" s="70"/>
      <c r="F1274" s="70"/>
      <c r="G1274" s="70"/>
      <c r="H1274" s="70"/>
      <c r="I1274" s="70"/>
      <c r="J1274" s="70"/>
      <c r="K1274" s="70"/>
      <c r="L1274" s="70"/>
      <c r="M1274" s="70"/>
      <c r="N1274" s="70"/>
      <c r="O1274" s="70"/>
      <c r="P1274" s="70"/>
      <c r="Q1274" s="70"/>
      <c r="R1274" s="70"/>
      <c r="S1274" s="70"/>
      <c r="T1274" s="70"/>
      <c r="U1274" s="64"/>
      <c r="V1274" s="64"/>
      <c r="W1274" s="70"/>
      <c r="X1274" s="64"/>
      <c r="Y1274" s="70"/>
      <c r="Z1274" s="70"/>
      <c r="AA1274" s="71"/>
      <c r="AB1274" s="70"/>
      <c r="AC1274" s="70"/>
      <c r="AD1274" s="64"/>
      <c r="AE1274" s="70"/>
      <c r="AF1274" s="70"/>
      <c r="AG1274" s="70"/>
      <c r="AH1274" s="70"/>
    </row>
    <row r="1275" spans="4:34" x14ac:dyDescent="0.2">
      <c r="D1275" s="53"/>
      <c r="E1275" s="70"/>
      <c r="F1275" s="70"/>
      <c r="G1275" s="70"/>
      <c r="H1275" s="70"/>
      <c r="I1275" s="70"/>
      <c r="J1275" s="70"/>
      <c r="K1275" s="70"/>
      <c r="L1275" s="70"/>
      <c r="M1275" s="70"/>
      <c r="N1275" s="70"/>
      <c r="O1275" s="70"/>
      <c r="P1275" s="70"/>
      <c r="Q1275" s="70"/>
      <c r="R1275" s="70"/>
      <c r="S1275" s="70"/>
      <c r="T1275" s="70"/>
      <c r="U1275" s="64"/>
      <c r="V1275" s="64"/>
      <c r="W1275" s="70"/>
      <c r="X1275" s="64"/>
      <c r="Y1275" s="70"/>
      <c r="Z1275" s="70"/>
      <c r="AA1275" s="71"/>
      <c r="AB1275" s="70"/>
      <c r="AC1275" s="70"/>
      <c r="AD1275" s="64"/>
      <c r="AE1275" s="70"/>
      <c r="AF1275" s="70"/>
      <c r="AG1275" s="70"/>
      <c r="AH1275" s="70"/>
    </row>
    <row r="1276" spans="4:34" x14ac:dyDescent="0.2">
      <c r="D1276" s="53"/>
      <c r="E1276" s="70"/>
      <c r="F1276" s="70"/>
      <c r="G1276" s="70"/>
      <c r="H1276" s="70"/>
      <c r="I1276" s="70"/>
      <c r="J1276" s="70"/>
      <c r="K1276" s="70"/>
      <c r="L1276" s="70"/>
      <c r="M1276" s="70"/>
      <c r="N1276" s="70"/>
      <c r="O1276" s="70"/>
      <c r="P1276" s="70"/>
      <c r="Q1276" s="70"/>
      <c r="R1276" s="70"/>
      <c r="S1276" s="70"/>
      <c r="T1276" s="70"/>
      <c r="U1276" s="64"/>
      <c r="V1276" s="64"/>
      <c r="W1276" s="70"/>
      <c r="X1276" s="64"/>
      <c r="Y1276" s="70"/>
      <c r="Z1276" s="70"/>
      <c r="AA1276" s="71"/>
      <c r="AB1276" s="70"/>
      <c r="AC1276" s="70"/>
      <c r="AD1276" s="64"/>
      <c r="AE1276" s="70"/>
      <c r="AF1276" s="70"/>
      <c r="AG1276" s="70"/>
      <c r="AH1276" s="70"/>
    </row>
    <row r="1277" spans="4:34" x14ac:dyDescent="0.2">
      <c r="D1277" s="53"/>
      <c r="E1277" s="70"/>
      <c r="F1277" s="70"/>
      <c r="G1277" s="70"/>
      <c r="H1277" s="70"/>
      <c r="I1277" s="70"/>
      <c r="J1277" s="70"/>
      <c r="K1277" s="70"/>
      <c r="L1277" s="70"/>
      <c r="M1277" s="70"/>
      <c r="N1277" s="70"/>
      <c r="O1277" s="70"/>
      <c r="P1277" s="70"/>
      <c r="Q1277" s="70"/>
      <c r="R1277" s="70"/>
      <c r="S1277" s="70"/>
      <c r="T1277" s="70"/>
      <c r="U1277" s="64"/>
      <c r="V1277" s="64"/>
      <c r="W1277" s="70"/>
      <c r="X1277" s="64"/>
      <c r="Y1277" s="70"/>
      <c r="Z1277" s="70"/>
      <c r="AA1277" s="71"/>
      <c r="AB1277" s="70"/>
      <c r="AC1277" s="70"/>
      <c r="AD1277" s="64"/>
      <c r="AE1277" s="70"/>
      <c r="AF1277" s="70"/>
      <c r="AG1277" s="70"/>
      <c r="AH1277" s="70"/>
    </row>
    <row r="1278" spans="4:34" x14ac:dyDescent="0.2">
      <c r="D1278" s="53"/>
      <c r="E1278" s="70"/>
      <c r="F1278" s="70"/>
      <c r="G1278" s="70"/>
      <c r="H1278" s="70"/>
      <c r="I1278" s="70"/>
      <c r="J1278" s="70"/>
      <c r="K1278" s="70"/>
      <c r="L1278" s="70"/>
      <c r="M1278" s="70"/>
      <c r="N1278" s="70"/>
      <c r="O1278" s="70"/>
      <c r="P1278" s="70"/>
      <c r="Q1278" s="70"/>
      <c r="R1278" s="70"/>
      <c r="S1278" s="70"/>
      <c r="T1278" s="70"/>
      <c r="U1278" s="64"/>
      <c r="V1278" s="64"/>
      <c r="W1278" s="70"/>
      <c r="X1278" s="64"/>
      <c r="Y1278" s="70"/>
      <c r="Z1278" s="70"/>
      <c r="AA1278" s="71"/>
      <c r="AB1278" s="70"/>
      <c r="AC1278" s="70"/>
      <c r="AD1278" s="64"/>
      <c r="AE1278" s="70"/>
      <c r="AF1278" s="70"/>
      <c r="AG1278" s="70"/>
      <c r="AH1278" s="70"/>
    </row>
    <row r="1279" spans="4:34" x14ac:dyDescent="0.2">
      <c r="D1279" s="53"/>
      <c r="E1279" s="70"/>
      <c r="F1279" s="70"/>
      <c r="G1279" s="70"/>
      <c r="H1279" s="70"/>
      <c r="I1279" s="70"/>
      <c r="J1279" s="70"/>
      <c r="K1279" s="70"/>
      <c r="L1279" s="70"/>
      <c r="M1279" s="70"/>
      <c r="N1279" s="70"/>
      <c r="O1279" s="70"/>
      <c r="P1279" s="70"/>
      <c r="Q1279" s="70"/>
      <c r="R1279" s="70"/>
      <c r="S1279" s="70"/>
      <c r="T1279" s="70"/>
      <c r="U1279" s="64"/>
      <c r="V1279" s="64"/>
      <c r="W1279" s="70"/>
      <c r="X1279" s="64"/>
      <c r="Y1279" s="70"/>
      <c r="Z1279" s="70"/>
      <c r="AA1279" s="71"/>
      <c r="AB1279" s="70"/>
      <c r="AC1279" s="70"/>
      <c r="AD1279" s="64"/>
      <c r="AE1279" s="70"/>
      <c r="AF1279" s="70"/>
      <c r="AG1279" s="70"/>
      <c r="AH1279" s="70"/>
    </row>
    <row r="1280" spans="4:34" x14ac:dyDescent="0.2">
      <c r="D1280" s="53"/>
      <c r="E1280" s="70"/>
      <c r="F1280" s="70"/>
      <c r="G1280" s="70"/>
      <c r="H1280" s="70"/>
      <c r="I1280" s="70"/>
      <c r="J1280" s="70"/>
      <c r="K1280" s="70"/>
      <c r="L1280" s="70"/>
      <c r="M1280" s="70"/>
      <c r="N1280" s="70"/>
      <c r="O1280" s="70"/>
      <c r="P1280" s="70"/>
      <c r="Q1280" s="70"/>
      <c r="R1280" s="70"/>
      <c r="S1280" s="70"/>
      <c r="T1280" s="70"/>
      <c r="U1280" s="64"/>
      <c r="V1280" s="64"/>
      <c r="W1280" s="70"/>
      <c r="X1280" s="64"/>
      <c r="Y1280" s="70"/>
      <c r="Z1280" s="70"/>
      <c r="AA1280" s="71"/>
      <c r="AB1280" s="70"/>
      <c r="AC1280" s="70"/>
      <c r="AD1280" s="64"/>
      <c r="AE1280" s="70"/>
      <c r="AF1280" s="70"/>
      <c r="AG1280" s="70"/>
      <c r="AH1280" s="70"/>
    </row>
    <row r="1281" spans="4:34" x14ac:dyDescent="0.2">
      <c r="D1281" s="53"/>
      <c r="E1281" s="70"/>
      <c r="F1281" s="70"/>
      <c r="G1281" s="70"/>
      <c r="H1281" s="70"/>
      <c r="I1281" s="70"/>
      <c r="J1281" s="70"/>
      <c r="K1281" s="70"/>
      <c r="L1281" s="70"/>
      <c r="M1281" s="70"/>
      <c r="N1281" s="70"/>
      <c r="O1281" s="70"/>
      <c r="P1281" s="70"/>
      <c r="Q1281" s="70"/>
      <c r="R1281" s="70"/>
      <c r="S1281" s="70"/>
      <c r="T1281" s="70"/>
      <c r="U1281" s="64"/>
      <c r="V1281" s="64"/>
      <c r="W1281" s="70"/>
      <c r="X1281" s="64"/>
      <c r="Y1281" s="70"/>
      <c r="Z1281" s="70"/>
      <c r="AA1281" s="71"/>
      <c r="AB1281" s="70"/>
      <c r="AC1281" s="70"/>
      <c r="AD1281" s="64"/>
      <c r="AE1281" s="70"/>
      <c r="AF1281" s="70"/>
      <c r="AG1281" s="70"/>
      <c r="AH1281" s="70"/>
    </row>
    <row r="1282" spans="4:34" x14ac:dyDescent="0.2">
      <c r="D1282" s="53"/>
      <c r="E1282" s="70"/>
      <c r="F1282" s="70"/>
      <c r="G1282" s="70"/>
      <c r="H1282" s="70"/>
      <c r="I1282" s="70"/>
      <c r="J1282" s="70"/>
      <c r="K1282" s="70"/>
      <c r="L1282" s="70"/>
      <c r="M1282" s="70"/>
      <c r="N1282" s="70"/>
      <c r="O1282" s="70"/>
      <c r="P1282" s="70"/>
      <c r="Q1282" s="70"/>
      <c r="R1282" s="70"/>
      <c r="S1282" s="70"/>
      <c r="T1282" s="70"/>
      <c r="U1282" s="64"/>
      <c r="V1282" s="64"/>
      <c r="W1282" s="70"/>
      <c r="X1282" s="64"/>
      <c r="Y1282" s="70"/>
      <c r="Z1282" s="70"/>
      <c r="AA1282" s="71"/>
      <c r="AB1282" s="70"/>
      <c r="AC1282" s="70"/>
      <c r="AD1282" s="64"/>
      <c r="AE1282" s="70"/>
      <c r="AF1282" s="70"/>
      <c r="AG1282" s="70"/>
      <c r="AH1282" s="70"/>
    </row>
    <row r="1283" spans="4:34" x14ac:dyDescent="0.2">
      <c r="D1283" s="53"/>
      <c r="E1283" s="70"/>
      <c r="F1283" s="70"/>
      <c r="G1283" s="70"/>
      <c r="H1283" s="70"/>
      <c r="I1283" s="70"/>
      <c r="J1283" s="70"/>
      <c r="K1283" s="70"/>
      <c r="L1283" s="70"/>
      <c r="M1283" s="70"/>
      <c r="N1283" s="70"/>
      <c r="O1283" s="70"/>
      <c r="P1283" s="70"/>
      <c r="Q1283" s="70"/>
      <c r="R1283" s="70"/>
      <c r="S1283" s="70"/>
      <c r="T1283" s="70"/>
      <c r="U1283" s="64"/>
      <c r="V1283" s="64"/>
      <c r="W1283" s="70"/>
      <c r="X1283" s="64"/>
      <c r="Y1283" s="70"/>
      <c r="Z1283" s="70"/>
      <c r="AA1283" s="71"/>
      <c r="AB1283" s="70"/>
      <c r="AC1283" s="70"/>
      <c r="AD1283" s="64"/>
      <c r="AE1283" s="70"/>
      <c r="AF1283" s="70"/>
      <c r="AG1283" s="70"/>
      <c r="AH1283" s="70"/>
    </row>
    <row r="1284" spans="4:34" x14ac:dyDescent="0.2">
      <c r="D1284" s="53"/>
      <c r="E1284" s="70"/>
      <c r="F1284" s="70"/>
      <c r="G1284" s="70"/>
      <c r="H1284" s="70"/>
      <c r="I1284" s="70"/>
      <c r="J1284" s="70"/>
      <c r="K1284" s="70"/>
      <c r="L1284" s="70"/>
      <c r="M1284" s="70"/>
      <c r="N1284" s="70"/>
      <c r="O1284" s="70"/>
      <c r="P1284" s="70"/>
      <c r="Q1284" s="70"/>
      <c r="R1284" s="70"/>
      <c r="S1284" s="70"/>
      <c r="T1284" s="70"/>
      <c r="U1284" s="64"/>
      <c r="V1284" s="64"/>
      <c r="W1284" s="70"/>
      <c r="X1284" s="64"/>
      <c r="Y1284" s="70"/>
      <c r="Z1284" s="70"/>
      <c r="AA1284" s="71"/>
      <c r="AB1284" s="70"/>
      <c r="AC1284" s="70"/>
      <c r="AD1284" s="64"/>
      <c r="AE1284" s="70"/>
      <c r="AF1284" s="70"/>
      <c r="AG1284" s="70"/>
      <c r="AH1284" s="70"/>
    </row>
    <row r="1285" spans="4:34" x14ac:dyDescent="0.2">
      <c r="D1285" s="53"/>
      <c r="E1285" s="70"/>
      <c r="F1285" s="70"/>
      <c r="G1285" s="70"/>
      <c r="H1285" s="70"/>
      <c r="I1285" s="70"/>
      <c r="J1285" s="70"/>
      <c r="K1285" s="70"/>
      <c r="L1285" s="70"/>
      <c r="M1285" s="70"/>
      <c r="N1285" s="70"/>
      <c r="O1285" s="70"/>
      <c r="P1285" s="70"/>
      <c r="Q1285" s="70"/>
      <c r="R1285" s="70"/>
      <c r="S1285" s="70"/>
      <c r="T1285" s="70"/>
      <c r="U1285" s="64"/>
      <c r="V1285" s="64"/>
      <c r="W1285" s="70"/>
      <c r="X1285" s="64"/>
      <c r="Y1285" s="70"/>
      <c r="Z1285" s="70"/>
      <c r="AA1285" s="71"/>
      <c r="AB1285" s="70"/>
      <c r="AC1285" s="70"/>
      <c r="AD1285" s="64"/>
      <c r="AE1285" s="70"/>
      <c r="AF1285" s="70"/>
      <c r="AG1285" s="70"/>
      <c r="AH1285" s="70"/>
    </row>
    <row r="1286" spans="4:34" x14ac:dyDescent="0.2">
      <c r="D1286" s="53"/>
      <c r="E1286" s="70"/>
      <c r="F1286" s="70"/>
      <c r="G1286" s="70"/>
      <c r="H1286" s="70"/>
      <c r="I1286" s="70"/>
      <c r="J1286" s="70"/>
      <c r="K1286" s="70"/>
      <c r="L1286" s="70"/>
      <c r="M1286" s="70"/>
      <c r="N1286" s="70"/>
      <c r="O1286" s="70"/>
      <c r="P1286" s="70"/>
      <c r="Q1286" s="70"/>
      <c r="R1286" s="70"/>
      <c r="S1286" s="70"/>
      <c r="T1286" s="70"/>
      <c r="U1286" s="64"/>
      <c r="V1286" s="64"/>
      <c r="W1286" s="70"/>
      <c r="X1286" s="64"/>
      <c r="Y1286" s="70"/>
      <c r="Z1286" s="70"/>
      <c r="AA1286" s="71"/>
      <c r="AB1286" s="70"/>
      <c r="AC1286" s="70"/>
      <c r="AD1286" s="64"/>
      <c r="AE1286" s="70"/>
      <c r="AF1286" s="70"/>
      <c r="AG1286" s="70"/>
      <c r="AH1286" s="70"/>
    </row>
    <row r="1287" spans="4:34" x14ac:dyDescent="0.2">
      <c r="D1287" s="53"/>
      <c r="E1287" s="70"/>
      <c r="F1287" s="70"/>
      <c r="G1287" s="70"/>
      <c r="H1287" s="70"/>
      <c r="I1287" s="70"/>
      <c r="J1287" s="70"/>
      <c r="K1287" s="70"/>
      <c r="L1287" s="70"/>
      <c r="M1287" s="70"/>
      <c r="N1287" s="70"/>
      <c r="O1287" s="70"/>
      <c r="P1287" s="70"/>
      <c r="Q1287" s="70"/>
      <c r="R1287" s="70"/>
      <c r="S1287" s="70"/>
      <c r="T1287" s="70"/>
      <c r="U1287" s="64"/>
      <c r="V1287" s="64"/>
      <c r="W1287" s="70"/>
      <c r="X1287" s="64"/>
      <c r="Y1287" s="70"/>
      <c r="Z1287" s="70"/>
      <c r="AA1287" s="71"/>
      <c r="AB1287" s="70"/>
      <c r="AC1287" s="70"/>
      <c r="AD1287" s="64"/>
      <c r="AE1287" s="70"/>
      <c r="AF1287" s="70"/>
      <c r="AG1287" s="70"/>
      <c r="AH1287" s="70"/>
    </row>
    <row r="1288" spans="4:34" x14ac:dyDescent="0.2">
      <c r="D1288" s="53"/>
      <c r="E1288" s="70"/>
      <c r="F1288" s="70"/>
      <c r="G1288" s="70"/>
      <c r="H1288" s="70"/>
      <c r="I1288" s="70"/>
      <c r="J1288" s="70"/>
      <c r="K1288" s="70"/>
      <c r="L1288" s="70"/>
      <c r="M1288" s="70"/>
      <c r="N1288" s="70"/>
      <c r="O1288" s="70"/>
      <c r="P1288" s="70"/>
      <c r="Q1288" s="70"/>
      <c r="R1288" s="70"/>
      <c r="S1288" s="70"/>
      <c r="T1288" s="70"/>
      <c r="U1288" s="64"/>
      <c r="V1288" s="64"/>
      <c r="W1288" s="70"/>
      <c r="X1288" s="64"/>
      <c r="Y1288" s="70"/>
      <c r="Z1288" s="70"/>
      <c r="AA1288" s="71"/>
      <c r="AB1288" s="70"/>
      <c r="AC1288" s="70"/>
      <c r="AD1288" s="64"/>
      <c r="AE1288" s="70"/>
      <c r="AF1288" s="70"/>
      <c r="AG1288" s="70"/>
      <c r="AH1288" s="70"/>
    </row>
    <row r="1289" spans="4:34" x14ac:dyDescent="0.2">
      <c r="D1289" s="53"/>
      <c r="E1289" s="70"/>
      <c r="F1289" s="70"/>
      <c r="G1289" s="70"/>
      <c r="H1289" s="70"/>
      <c r="I1289" s="70"/>
      <c r="J1289" s="70"/>
      <c r="K1289" s="70"/>
      <c r="L1289" s="70"/>
      <c r="M1289" s="70"/>
      <c r="N1289" s="70"/>
      <c r="O1289" s="70"/>
      <c r="P1289" s="70"/>
      <c r="Q1289" s="70"/>
      <c r="R1289" s="70"/>
      <c r="S1289" s="70"/>
      <c r="T1289" s="70"/>
      <c r="U1289" s="64"/>
      <c r="V1289" s="64"/>
      <c r="W1289" s="70"/>
      <c r="X1289" s="64"/>
      <c r="Y1289" s="70"/>
      <c r="Z1289" s="70"/>
      <c r="AA1289" s="71"/>
      <c r="AB1289" s="70"/>
      <c r="AC1289" s="70"/>
      <c r="AD1289" s="64"/>
      <c r="AE1289" s="70"/>
      <c r="AF1289" s="70"/>
      <c r="AG1289" s="70"/>
      <c r="AH1289" s="70"/>
    </row>
    <row r="1290" spans="4:34" x14ac:dyDescent="0.2">
      <c r="D1290" s="53"/>
      <c r="E1290" s="70"/>
      <c r="F1290" s="70"/>
      <c r="G1290" s="70"/>
      <c r="H1290" s="70"/>
      <c r="I1290" s="70"/>
      <c r="J1290" s="70"/>
      <c r="K1290" s="70"/>
      <c r="L1290" s="70"/>
      <c r="M1290" s="70"/>
      <c r="N1290" s="70"/>
      <c r="O1290" s="70"/>
      <c r="P1290" s="70"/>
      <c r="Q1290" s="70"/>
      <c r="R1290" s="70"/>
      <c r="S1290" s="70"/>
      <c r="T1290" s="70"/>
      <c r="U1290" s="64"/>
      <c r="V1290" s="64"/>
      <c r="W1290" s="70"/>
      <c r="X1290" s="64"/>
      <c r="Y1290" s="70"/>
      <c r="Z1290" s="70"/>
      <c r="AA1290" s="71"/>
      <c r="AB1290" s="70"/>
      <c r="AC1290" s="70"/>
      <c r="AD1290" s="64"/>
      <c r="AE1290" s="70"/>
      <c r="AF1290" s="70"/>
      <c r="AG1290" s="70"/>
      <c r="AH1290" s="70"/>
    </row>
    <row r="1291" spans="4:34" x14ac:dyDescent="0.2">
      <c r="D1291" s="53"/>
      <c r="E1291" s="70"/>
      <c r="F1291" s="70"/>
      <c r="G1291" s="70"/>
      <c r="H1291" s="70"/>
      <c r="I1291" s="70"/>
      <c r="J1291" s="70"/>
      <c r="K1291" s="70"/>
      <c r="L1291" s="70"/>
      <c r="M1291" s="70"/>
      <c r="N1291" s="70"/>
      <c r="O1291" s="70"/>
      <c r="P1291" s="70"/>
      <c r="Q1291" s="70"/>
      <c r="R1291" s="70"/>
      <c r="S1291" s="70"/>
      <c r="T1291" s="70"/>
      <c r="U1291" s="64"/>
      <c r="V1291" s="64"/>
      <c r="W1291" s="70"/>
      <c r="X1291" s="64"/>
      <c r="Y1291" s="70"/>
      <c r="Z1291" s="70"/>
      <c r="AA1291" s="71"/>
      <c r="AB1291" s="70"/>
      <c r="AC1291" s="70"/>
      <c r="AD1291" s="64"/>
      <c r="AE1291" s="70"/>
      <c r="AF1291" s="70"/>
      <c r="AG1291" s="70"/>
      <c r="AH1291" s="70"/>
    </row>
    <row r="1292" spans="4:34" x14ac:dyDescent="0.2">
      <c r="D1292" s="53"/>
      <c r="E1292" s="70"/>
      <c r="F1292" s="70"/>
      <c r="G1292" s="70"/>
      <c r="H1292" s="70"/>
      <c r="I1292" s="70"/>
      <c r="J1292" s="70"/>
      <c r="K1292" s="70"/>
      <c r="L1292" s="70"/>
      <c r="M1292" s="70"/>
      <c r="N1292" s="70"/>
      <c r="O1292" s="70"/>
      <c r="P1292" s="70"/>
      <c r="Q1292" s="70"/>
      <c r="R1292" s="70"/>
      <c r="S1292" s="70"/>
      <c r="T1292" s="70"/>
      <c r="U1292" s="64"/>
      <c r="V1292" s="64"/>
      <c r="W1292" s="70"/>
      <c r="X1292" s="64"/>
      <c r="Y1292" s="70"/>
      <c r="Z1292" s="70"/>
      <c r="AA1292" s="71"/>
      <c r="AB1292" s="70"/>
      <c r="AC1292" s="70"/>
      <c r="AD1292" s="64"/>
      <c r="AE1292" s="70"/>
      <c r="AF1292" s="70"/>
      <c r="AG1292" s="70"/>
      <c r="AH1292" s="70"/>
    </row>
    <row r="1293" spans="4:34" x14ac:dyDescent="0.2">
      <c r="D1293" s="53"/>
      <c r="E1293" s="70"/>
      <c r="F1293" s="70"/>
      <c r="G1293" s="70"/>
      <c r="H1293" s="70"/>
      <c r="I1293" s="70"/>
      <c r="J1293" s="70"/>
      <c r="K1293" s="70"/>
      <c r="L1293" s="70"/>
      <c r="M1293" s="70"/>
      <c r="N1293" s="70"/>
      <c r="O1293" s="70"/>
      <c r="P1293" s="70"/>
      <c r="Q1293" s="70"/>
      <c r="R1293" s="70"/>
      <c r="S1293" s="70"/>
      <c r="T1293" s="70"/>
      <c r="U1293" s="64"/>
      <c r="V1293" s="64"/>
      <c r="W1293" s="70"/>
      <c r="X1293" s="64"/>
      <c r="Y1293" s="70"/>
      <c r="Z1293" s="70"/>
      <c r="AA1293" s="71"/>
      <c r="AB1293" s="70"/>
      <c r="AC1293" s="70"/>
      <c r="AD1293" s="64"/>
      <c r="AE1293" s="70"/>
      <c r="AF1293" s="70"/>
      <c r="AG1293" s="70"/>
      <c r="AH1293" s="70"/>
    </row>
    <row r="1294" spans="4:34" x14ac:dyDescent="0.2">
      <c r="D1294" s="53"/>
      <c r="E1294" s="70"/>
      <c r="F1294" s="70"/>
      <c r="G1294" s="70"/>
      <c r="H1294" s="70"/>
      <c r="I1294" s="70"/>
      <c r="J1294" s="70"/>
      <c r="K1294" s="70"/>
      <c r="L1294" s="70"/>
      <c r="M1294" s="70"/>
      <c r="N1294" s="70"/>
      <c r="O1294" s="70"/>
      <c r="P1294" s="70"/>
      <c r="Q1294" s="70"/>
      <c r="R1294" s="70"/>
      <c r="S1294" s="70"/>
      <c r="T1294" s="70"/>
      <c r="U1294" s="64"/>
      <c r="V1294" s="64"/>
      <c r="W1294" s="70"/>
      <c r="X1294" s="64"/>
      <c r="Y1294" s="70"/>
      <c r="Z1294" s="70"/>
      <c r="AA1294" s="71"/>
      <c r="AB1294" s="70"/>
      <c r="AC1294" s="70"/>
      <c r="AD1294" s="64"/>
      <c r="AE1294" s="70"/>
      <c r="AF1294" s="70"/>
      <c r="AG1294" s="70"/>
      <c r="AH1294" s="70"/>
    </row>
    <row r="1295" spans="4:34" x14ac:dyDescent="0.2">
      <c r="D1295" s="53"/>
      <c r="E1295" s="70"/>
      <c r="F1295" s="70"/>
      <c r="G1295" s="70"/>
      <c r="H1295" s="70"/>
      <c r="I1295" s="70"/>
      <c r="J1295" s="70"/>
      <c r="K1295" s="70"/>
      <c r="L1295" s="70"/>
      <c r="M1295" s="70"/>
      <c r="N1295" s="70"/>
      <c r="O1295" s="70"/>
      <c r="P1295" s="70"/>
      <c r="Q1295" s="70"/>
      <c r="R1295" s="70"/>
      <c r="S1295" s="70"/>
      <c r="T1295" s="70"/>
      <c r="U1295" s="64"/>
      <c r="V1295" s="64"/>
      <c r="W1295" s="70"/>
      <c r="X1295" s="64"/>
      <c r="Y1295" s="70"/>
      <c r="Z1295" s="70"/>
      <c r="AA1295" s="71"/>
      <c r="AB1295" s="70"/>
      <c r="AC1295" s="70"/>
      <c r="AD1295" s="64"/>
      <c r="AE1295" s="70"/>
      <c r="AF1295" s="70"/>
      <c r="AG1295" s="70"/>
      <c r="AH1295" s="70"/>
    </row>
    <row r="1296" spans="4:34" x14ac:dyDescent="0.2">
      <c r="D1296" s="53"/>
      <c r="E1296" s="70"/>
      <c r="F1296" s="70"/>
      <c r="G1296" s="70"/>
      <c r="H1296" s="70"/>
      <c r="I1296" s="70"/>
      <c r="J1296" s="70"/>
      <c r="K1296" s="70"/>
      <c r="L1296" s="70"/>
      <c r="M1296" s="70"/>
      <c r="N1296" s="70"/>
      <c r="O1296" s="70"/>
      <c r="P1296" s="70"/>
      <c r="Q1296" s="70"/>
      <c r="R1296" s="70"/>
      <c r="S1296" s="70"/>
      <c r="T1296" s="70"/>
      <c r="U1296" s="64"/>
      <c r="V1296" s="64"/>
      <c r="W1296" s="70"/>
      <c r="X1296" s="64"/>
      <c r="Y1296" s="70"/>
      <c r="Z1296" s="70"/>
      <c r="AA1296" s="71"/>
      <c r="AB1296" s="70"/>
      <c r="AC1296" s="70"/>
      <c r="AD1296" s="64"/>
      <c r="AE1296" s="70"/>
      <c r="AF1296" s="70"/>
      <c r="AG1296" s="70"/>
      <c r="AH1296" s="70"/>
    </row>
    <row r="1297" spans="4:34" x14ac:dyDescent="0.2">
      <c r="D1297" s="53"/>
      <c r="E1297" s="70"/>
      <c r="F1297" s="70"/>
      <c r="G1297" s="70"/>
      <c r="H1297" s="70"/>
      <c r="I1297" s="70"/>
      <c r="J1297" s="70"/>
      <c r="K1297" s="70"/>
      <c r="L1297" s="70"/>
      <c r="M1297" s="70"/>
      <c r="N1297" s="70"/>
      <c r="O1297" s="70"/>
      <c r="P1297" s="70"/>
      <c r="Q1297" s="70"/>
      <c r="R1297" s="70"/>
      <c r="S1297" s="70"/>
      <c r="T1297" s="70"/>
      <c r="U1297" s="64"/>
      <c r="V1297" s="64"/>
      <c r="W1297" s="70"/>
      <c r="X1297" s="64"/>
      <c r="Y1297" s="70"/>
      <c r="Z1297" s="70"/>
      <c r="AA1297" s="71"/>
      <c r="AB1297" s="70"/>
      <c r="AC1297" s="70"/>
      <c r="AD1297" s="64"/>
      <c r="AE1297" s="70"/>
      <c r="AF1297" s="70"/>
      <c r="AG1297" s="70"/>
      <c r="AH1297" s="70"/>
    </row>
    <row r="1298" spans="4:34" x14ac:dyDescent="0.2">
      <c r="D1298" s="53"/>
      <c r="E1298" s="70"/>
      <c r="F1298" s="70"/>
      <c r="G1298" s="70"/>
      <c r="H1298" s="70"/>
      <c r="I1298" s="70"/>
      <c r="J1298" s="70"/>
      <c r="K1298" s="70"/>
      <c r="L1298" s="70"/>
      <c r="M1298" s="70"/>
      <c r="N1298" s="70"/>
      <c r="O1298" s="70"/>
      <c r="P1298" s="70"/>
      <c r="Q1298" s="70"/>
      <c r="R1298" s="70"/>
      <c r="S1298" s="70"/>
      <c r="T1298" s="70"/>
      <c r="U1298" s="64"/>
      <c r="V1298" s="64"/>
      <c r="W1298" s="70"/>
      <c r="X1298" s="64"/>
      <c r="Y1298" s="70"/>
      <c r="Z1298" s="70"/>
      <c r="AA1298" s="71"/>
      <c r="AB1298" s="70"/>
      <c r="AC1298" s="70"/>
      <c r="AD1298" s="64"/>
      <c r="AE1298" s="70"/>
      <c r="AF1298" s="70"/>
      <c r="AG1298" s="70"/>
      <c r="AH1298" s="70"/>
    </row>
    <row r="1299" spans="4:34" x14ac:dyDescent="0.2">
      <c r="D1299" s="53"/>
      <c r="E1299" s="70"/>
      <c r="F1299" s="70"/>
      <c r="G1299" s="70"/>
      <c r="H1299" s="70"/>
      <c r="I1299" s="70"/>
      <c r="J1299" s="70"/>
      <c r="K1299" s="70"/>
      <c r="L1299" s="70"/>
      <c r="M1299" s="70"/>
      <c r="N1299" s="70"/>
      <c r="O1299" s="70"/>
      <c r="P1299" s="70"/>
      <c r="Q1299" s="70"/>
      <c r="R1299" s="70"/>
      <c r="S1299" s="70"/>
      <c r="T1299" s="70"/>
      <c r="U1299" s="64"/>
      <c r="V1299" s="64"/>
      <c r="W1299" s="70"/>
      <c r="X1299" s="64"/>
      <c r="Y1299" s="70"/>
      <c r="Z1299" s="70"/>
      <c r="AA1299" s="71"/>
      <c r="AB1299" s="70"/>
      <c r="AC1299" s="70"/>
      <c r="AD1299" s="64"/>
      <c r="AE1299" s="70"/>
      <c r="AF1299" s="70"/>
      <c r="AG1299" s="70"/>
      <c r="AH1299" s="70"/>
    </row>
    <row r="1300" spans="4:34" x14ac:dyDescent="0.2">
      <c r="D1300" s="53"/>
      <c r="E1300" s="70"/>
      <c r="F1300" s="70"/>
      <c r="G1300" s="70"/>
      <c r="H1300" s="70"/>
      <c r="I1300" s="70"/>
      <c r="J1300" s="70"/>
      <c r="K1300" s="70"/>
      <c r="L1300" s="70"/>
      <c r="M1300" s="70"/>
      <c r="N1300" s="70"/>
      <c r="O1300" s="70"/>
      <c r="P1300" s="70"/>
      <c r="Q1300" s="70"/>
      <c r="R1300" s="70"/>
      <c r="S1300" s="70"/>
      <c r="T1300" s="70"/>
      <c r="U1300" s="64"/>
      <c r="V1300" s="64"/>
      <c r="W1300" s="70"/>
      <c r="X1300" s="64"/>
      <c r="Y1300" s="70"/>
      <c r="Z1300" s="70"/>
      <c r="AA1300" s="71"/>
      <c r="AB1300" s="70"/>
      <c r="AC1300" s="70"/>
      <c r="AD1300" s="64"/>
      <c r="AE1300" s="70"/>
      <c r="AF1300" s="70"/>
      <c r="AG1300" s="70"/>
      <c r="AH1300" s="70"/>
    </row>
    <row r="1301" spans="4:34" x14ac:dyDescent="0.2">
      <c r="D1301" s="53"/>
      <c r="E1301" s="70"/>
      <c r="F1301" s="70"/>
      <c r="G1301" s="70"/>
      <c r="H1301" s="70"/>
      <c r="I1301" s="70"/>
      <c r="J1301" s="70"/>
      <c r="K1301" s="70"/>
      <c r="L1301" s="70"/>
      <c r="M1301" s="70"/>
      <c r="N1301" s="70"/>
      <c r="O1301" s="70"/>
      <c r="P1301" s="70"/>
      <c r="Q1301" s="70"/>
      <c r="R1301" s="70"/>
      <c r="S1301" s="70"/>
      <c r="T1301" s="70"/>
      <c r="U1301" s="64"/>
      <c r="V1301" s="64"/>
      <c r="W1301" s="70"/>
      <c r="X1301" s="64"/>
      <c r="Y1301" s="70"/>
      <c r="Z1301" s="70"/>
      <c r="AA1301" s="71"/>
      <c r="AB1301" s="70"/>
      <c r="AC1301" s="70"/>
      <c r="AD1301" s="64"/>
      <c r="AE1301" s="70"/>
      <c r="AF1301" s="70"/>
      <c r="AG1301" s="70"/>
      <c r="AH1301" s="70"/>
    </row>
    <row r="1302" spans="4:34" x14ac:dyDescent="0.2">
      <c r="D1302" s="53"/>
      <c r="E1302" s="70"/>
      <c r="F1302" s="70"/>
      <c r="G1302" s="70"/>
      <c r="H1302" s="70"/>
      <c r="I1302" s="70"/>
      <c r="J1302" s="70"/>
      <c r="K1302" s="70"/>
      <c r="L1302" s="70"/>
      <c r="M1302" s="70"/>
      <c r="N1302" s="70"/>
      <c r="O1302" s="70"/>
      <c r="P1302" s="70"/>
      <c r="Q1302" s="70"/>
      <c r="R1302" s="70"/>
      <c r="S1302" s="70"/>
      <c r="T1302" s="70"/>
      <c r="U1302" s="64"/>
      <c r="V1302" s="64"/>
      <c r="W1302" s="70"/>
      <c r="X1302" s="64"/>
      <c r="Y1302" s="70"/>
      <c r="Z1302" s="70"/>
      <c r="AA1302" s="71"/>
      <c r="AB1302" s="70"/>
      <c r="AC1302" s="70"/>
      <c r="AD1302" s="64"/>
      <c r="AE1302" s="70"/>
      <c r="AF1302" s="70"/>
      <c r="AG1302" s="70"/>
      <c r="AH1302" s="70"/>
    </row>
    <row r="1303" spans="4:34" x14ac:dyDescent="0.2">
      <c r="D1303" s="53"/>
      <c r="E1303" s="70"/>
      <c r="F1303" s="70"/>
      <c r="G1303" s="70"/>
      <c r="H1303" s="70"/>
      <c r="I1303" s="70"/>
      <c r="J1303" s="70"/>
      <c r="K1303" s="70"/>
      <c r="L1303" s="70"/>
      <c r="M1303" s="70"/>
      <c r="N1303" s="70"/>
      <c r="O1303" s="70"/>
      <c r="P1303" s="70"/>
      <c r="Q1303" s="70"/>
      <c r="R1303" s="70"/>
      <c r="S1303" s="70"/>
      <c r="T1303" s="70"/>
      <c r="U1303" s="64"/>
      <c r="V1303" s="64"/>
      <c r="W1303" s="70"/>
      <c r="X1303" s="64"/>
      <c r="Y1303" s="70"/>
      <c r="Z1303" s="70"/>
      <c r="AA1303" s="71"/>
      <c r="AB1303" s="70"/>
      <c r="AC1303" s="70"/>
      <c r="AD1303" s="64"/>
      <c r="AE1303" s="70"/>
      <c r="AF1303" s="70"/>
      <c r="AG1303" s="70"/>
      <c r="AH1303" s="70"/>
    </row>
    <row r="1304" spans="4:34" x14ac:dyDescent="0.2">
      <c r="D1304" s="53"/>
      <c r="E1304" s="70"/>
      <c r="F1304" s="70"/>
      <c r="G1304" s="70"/>
      <c r="H1304" s="70"/>
      <c r="I1304" s="70"/>
      <c r="J1304" s="70"/>
      <c r="K1304" s="70"/>
      <c r="L1304" s="70"/>
      <c r="M1304" s="70"/>
      <c r="N1304" s="70"/>
      <c r="O1304" s="70"/>
      <c r="P1304" s="70"/>
      <c r="Q1304" s="70"/>
      <c r="R1304" s="70"/>
      <c r="S1304" s="70"/>
      <c r="T1304" s="70"/>
      <c r="U1304" s="64"/>
      <c r="V1304" s="64"/>
      <c r="W1304" s="70"/>
      <c r="X1304" s="64"/>
      <c r="Y1304" s="70"/>
      <c r="Z1304" s="70"/>
      <c r="AA1304" s="71"/>
      <c r="AB1304" s="70"/>
      <c r="AC1304" s="70"/>
      <c r="AD1304" s="64"/>
      <c r="AE1304" s="70"/>
      <c r="AF1304" s="70"/>
      <c r="AG1304" s="70"/>
      <c r="AH1304" s="70"/>
    </row>
    <row r="1305" spans="4:34" x14ac:dyDescent="0.2">
      <c r="D1305" s="53"/>
      <c r="E1305" s="70"/>
      <c r="F1305" s="70"/>
      <c r="G1305" s="70"/>
      <c r="H1305" s="70"/>
      <c r="I1305" s="70"/>
      <c r="J1305" s="70"/>
      <c r="K1305" s="70"/>
      <c r="L1305" s="70"/>
      <c r="M1305" s="70"/>
      <c r="N1305" s="70"/>
      <c r="O1305" s="70"/>
      <c r="P1305" s="70"/>
      <c r="Q1305" s="70"/>
      <c r="R1305" s="70"/>
      <c r="S1305" s="70"/>
      <c r="T1305" s="70"/>
      <c r="U1305" s="64"/>
      <c r="V1305" s="64"/>
      <c r="W1305" s="70"/>
      <c r="X1305" s="64"/>
      <c r="Y1305" s="70"/>
      <c r="Z1305" s="70"/>
      <c r="AA1305" s="71"/>
      <c r="AB1305" s="70"/>
      <c r="AC1305" s="70"/>
      <c r="AD1305" s="64"/>
      <c r="AE1305" s="70"/>
      <c r="AF1305" s="70"/>
      <c r="AG1305" s="70"/>
      <c r="AH1305" s="70"/>
    </row>
    <row r="1306" spans="4:34" x14ac:dyDescent="0.2">
      <c r="D1306" s="53"/>
      <c r="E1306" s="70"/>
      <c r="F1306" s="70"/>
      <c r="G1306" s="70"/>
      <c r="H1306" s="70"/>
      <c r="I1306" s="70"/>
      <c r="J1306" s="70"/>
      <c r="K1306" s="70"/>
      <c r="L1306" s="70"/>
      <c r="M1306" s="70"/>
      <c r="N1306" s="70"/>
      <c r="O1306" s="70"/>
      <c r="P1306" s="70"/>
      <c r="Q1306" s="70"/>
      <c r="R1306" s="70"/>
      <c r="S1306" s="70"/>
      <c r="T1306" s="70"/>
      <c r="U1306" s="64"/>
      <c r="V1306" s="64"/>
      <c r="W1306" s="70"/>
      <c r="X1306" s="64"/>
      <c r="Y1306" s="70"/>
      <c r="Z1306" s="70"/>
      <c r="AA1306" s="71"/>
      <c r="AB1306" s="70"/>
      <c r="AC1306" s="70"/>
      <c r="AD1306" s="64"/>
      <c r="AE1306" s="70"/>
      <c r="AF1306" s="70"/>
      <c r="AG1306" s="70"/>
      <c r="AH1306" s="70"/>
    </row>
    <row r="1307" spans="4:34" x14ac:dyDescent="0.2">
      <c r="D1307" s="53"/>
      <c r="E1307" s="70"/>
      <c r="F1307" s="70"/>
      <c r="G1307" s="70"/>
      <c r="H1307" s="70"/>
      <c r="I1307" s="70"/>
      <c r="J1307" s="70"/>
      <c r="K1307" s="70"/>
      <c r="L1307" s="70"/>
      <c r="M1307" s="70"/>
      <c r="N1307" s="70"/>
      <c r="O1307" s="70"/>
      <c r="P1307" s="70"/>
      <c r="Q1307" s="70"/>
      <c r="R1307" s="70"/>
      <c r="S1307" s="70"/>
      <c r="T1307" s="70"/>
      <c r="U1307" s="64"/>
      <c r="V1307" s="64"/>
      <c r="W1307" s="70"/>
      <c r="X1307" s="64"/>
      <c r="Y1307" s="70"/>
      <c r="Z1307" s="70"/>
      <c r="AA1307" s="71"/>
      <c r="AB1307" s="70"/>
      <c r="AC1307" s="70"/>
      <c r="AD1307" s="64"/>
      <c r="AE1307" s="70"/>
      <c r="AF1307" s="70"/>
      <c r="AG1307" s="70"/>
      <c r="AH1307" s="70"/>
    </row>
    <row r="1308" spans="4:34" x14ac:dyDescent="0.2">
      <c r="D1308" s="53"/>
      <c r="E1308" s="70"/>
      <c r="F1308" s="70"/>
      <c r="G1308" s="70"/>
      <c r="H1308" s="70"/>
      <c r="I1308" s="70"/>
      <c r="J1308" s="70"/>
      <c r="K1308" s="70"/>
      <c r="L1308" s="70"/>
      <c r="M1308" s="70"/>
      <c r="N1308" s="70"/>
      <c r="O1308" s="70"/>
      <c r="P1308" s="70"/>
      <c r="Q1308" s="70"/>
      <c r="R1308" s="70"/>
      <c r="S1308" s="70"/>
      <c r="T1308" s="70"/>
      <c r="U1308" s="64"/>
      <c r="V1308" s="64"/>
      <c r="W1308" s="70"/>
      <c r="X1308" s="64"/>
      <c r="Y1308" s="70"/>
      <c r="Z1308" s="70"/>
      <c r="AA1308" s="71"/>
      <c r="AB1308" s="70"/>
      <c r="AC1308" s="70"/>
      <c r="AD1308" s="64"/>
      <c r="AE1308" s="70"/>
      <c r="AF1308" s="70"/>
      <c r="AG1308" s="70"/>
      <c r="AH1308" s="70"/>
    </row>
    <row r="1309" spans="4:34" x14ac:dyDescent="0.2">
      <c r="D1309" s="53"/>
      <c r="E1309" s="70"/>
      <c r="F1309" s="70"/>
      <c r="G1309" s="70"/>
      <c r="H1309" s="70"/>
      <c r="I1309" s="70"/>
      <c r="J1309" s="70"/>
      <c r="K1309" s="70"/>
      <c r="L1309" s="70"/>
      <c r="M1309" s="70"/>
      <c r="N1309" s="70"/>
      <c r="O1309" s="70"/>
      <c r="P1309" s="70"/>
      <c r="Q1309" s="70"/>
      <c r="R1309" s="70"/>
      <c r="S1309" s="70"/>
      <c r="T1309" s="70"/>
      <c r="U1309" s="64"/>
      <c r="V1309" s="64"/>
      <c r="W1309" s="70"/>
      <c r="X1309" s="64"/>
      <c r="Y1309" s="70"/>
      <c r="Z1309" s="70"/>
      <c r="AA1309" s="71"/>
      <c r="AB1309" s="70"/>
      <c r="AC1309" s="70"/>
      <c r="AD1309" s="64"/>
      <c r="AE1309" s="70"/>
      <c r="AF1309" s="70"/>
      <c r="AG1309" s="70"/>
      <c r="AH1309" s="70"/>
    </row>
    <row r="1310" spans="4:34" x14ac:dyDescent="0.2">
      <c r="D1310" s="53"/>
      <c r="E1310" s="70"/>
      <c r="F1310" s="70"/>
      <c r="G1310" s="70"/>
      <c r="H1310" s="70"/>
      <c r="I1310" s="70"/>
      <c r="J1310" s="70"/>
      <c r="K1310" s="70"/>
      <c r="L1310" s="70"/>
      <c r="M1310" s="70"/>
      <c r="N1310" s="70"/>
      <c r="O1310" s="70"/>
      <c r="P1310" s="70"/>
      <c r="Q1310" s="70"/>
      <c r="R1310" s="70"/>
      <c r="S1310" s="70"/>
      <c r="T1310" s="70"/>
      <c r="U1310" s="64"/>
      <c r="V1310" s="64"/>
      <c r="W1310" s="70"/>
      <c r="X1310" s="64"/>
      <c r="Y1310" s="70"/>
      <c r="Z1310" s="70"/>
      <c r="AA1310" s="71"/>
      <c r="AB1310" s="70"/>
      <c r="AC1310" s="70"/>
      <c r="AD1310" s="64"/>
      <c r="AE1310" s="70"/>
      <c r="AF1310" s="70"/>
      <c r="AG1310" s="70"/>
      <c r="AH1310" s="70"/>
    </row>
    <row r="1311" spans="4:34" x14ac:dyDescent="0.2">
      <c r="D1311" s="53"/>
      <c r="E1311" s="70"/>
      <c r="F1311" s="70"/>
      <c r="G1311" s="70"/>
      <c r="H1311" s="70"/>
      <c r="I1311" s="70"/>
      <c r="J1311" s="70"/>
      <c r="K1311" s="70"/>
      <c r="L1311" s="70"/>
      <c r="M1311" s="70"/>
      <c r="N1311" s="70"/>
      <c r="O1311" s="70"/>
      <c r="P1311" s="70"/>
      <c r="Q1311" s="70"/>
      <c r="R1311" s="70"/>
      <c r="S1311" s="70"/>
      <c r="T1311" s="70"/>
      <c r="U1311" s="64"/>
      <c r="V1311" s="64"/>
      <c r="W1311" s="70"/>
      <c r="X1311" s="64"/>
      <c r="Y1311" s="70"/>
      <c r="Z1311" s="70"/>
      <c r="AA1311" s="71"/>
      <c r="AB1311" s="70"/>
      <c r="AC1311" s="70"/>
      <c r="AD1311" s="64"/>
      <c r="AE1311" s="70"/>
      <c r="AF1311" s="70"/>
      <c r="AG1311" s="70"/>
      <c r="AH1311" s="70"/>
    </row>
    <row r="1312" spans="4:34" x14ac:dyDescent="0.2">
      <c r="D1312" s="53"/>
      <c r="E1312" s="70"/>
      <c r="F1312" s="70"/>
      <c r="G1312" s="70"/>
      <c r="H1312" s="70"/>
      <c r="I1312" s="70"/>
      <c r="J1312" s="70"/>
      <c r="K1312" s="70"/>
      <c r="L1312" s="70"/>
      <c r="M1312" s="70"/>
      <c r="N1312" s="70"/>
      <c r="O1312" s="70"/>
      <c r="P1312" s="70"/>
      <c r="Q1312" s="70"/>
      <c r="R1312" s="70"/>
      <c r="S1312" s="70"/>
      <c r="T1312" s="70"/>
      <c r="U1312" s="64"/>
      <c r="V1312" s="64"/>
      <c r="W1312" s="70"/>
      <c r="X1312" s="64"/>
      <c r="Y1312" s="70"/>
      <c r="Z1312" s="70"/>
      <c r="AA1312" s="71"/>
      <c r="AB1312" s="70"/>
      <c r="AC1312" s="70"/>
      <c r="AD1312" s="64"/>
      <c r="AE1312" s="70"/>
      <c r="AF1312" s="70"/>
      <c r="AG1312" s="70"/>
      <c r="AH1312" s="70"/>
    </row>
    <row r="1313" spans="4:34" x14ac:dyDescent="0.2">
      <c r="D1313" s="53"/>
      <c r="E1313" s="70"/>
      <c r="F1313" s="70"/>
      <c r="G1313" s="70"/>
      <c r="H1313" s="70"/>
      <c r="I1313" s="70"/>
      <c r="J1313" s="70"/>
      <c r="K1313" s="70"/>
      <c r="L1313" s="70"/>
      <c r="M1313" s="70"/>
      <c r="N1313" s="70"/>
      <c r="O1313" s="70"/>
      <c r="P1313" s="70"/>
      <c r="Q1313" s="70"/>
      <c r="R1313" s="70"/>
      <c r="S1313" s="70"/>
      <c r="T1313" s="70"/>
      <c r="U1313" s="64"/>
      <c r="V1313" s="64"/>
      <c r="W1313" s="70"/>
      <c r="X1313" s="64"/>
      <c r="Y1313" s="70"/>
      <c r="Z1313" s="70"/>
      <c r="AA1313" s="71"/>
      <c r="AB1313" s="70"/>
      <c r="AC1313" s="70"/>
      <c r="AD1313" s="64"/>
      <c r="AE1313" s="70"/>
      <c r="AF1313" s="70"/>
      <c r="AG1313" s="70"/>
      <c r="AH1313" s="70"/>
    </row>
    <row r="1314" spans="4:34" x14ac:dyDescent="0.2">
      <c r="D1314" s="53"/>
      <c r="E1314" s="70"/>
      <c r="F1314" s="70"/>
      <c r="G1314" s="70"/>
      <c r="H1314" s="70"/>
      <c r="I1314" s="70"/>
      <c r="J1314" s="70"/>
      <c r="K1314" s="70"/>
      <c r="L1314" s="70"/>
      <c r="M1314" s="70"/>
      <c r="N1314" s="70"/>
      <c r="O1314" s="70"/>
      <c r="P1314" s="70"/>
      <c r="Q1314" s="70"/>
      <c r="R1314" s="70"/>
      <c r="S1314" s="70"/>
      <c r="T1314" s="70"/>
      <c r="U1314" s="64"/>
      <c r="V1314" s="64"/>
      <c r="W1314" s="70"/>
      <c r="X1314" s="64"/>
      <c r="Y1314" s="70"/>
      <c r="Z1314" s="70"/>
      <c r="AA1314" s="71"/>
      <c r="AB1314" s="70"/>
      <c r="AC1314" s="70"/>
      <c r="AD1314" s="64"/>
      <c r="AE1314" s="70"/>
      <c r="AF1314" s="70"/>
      <c r="AG1314" s="70"/>
      <c r="AH1314" s="70"/>
    </row>
    <row r="1315" spans="4:34" x14ac:dyDescent="0.2">
      <c r="D1315" s="53"/>
      <c r="E1315" s="70"/>
      <c r="F1315" s="70"/>
      <c r="G1315" s="70"/>
      <c r="H1315" s="70"/>
      <c r="I1315" s="70"/>
      <c r="J1315" s="70"/>
      <c r="K1315" s="70"/>
      <c r="L1315" s="70"/>
      <c r="M1315" s="70"/>
      <c r="N1315" s="70"/>
      <c r="O1315" s="70"/>
      <c r="P1315" s="70"/>
      <c r="Q1315" s="70"/>
      <c r="R1315" s="70"/>
      <c r="S1315" s="70"/>
      <c r="T1315" s="70"/>
      <c r="U1315" s="64"/>
      <c r="V1315" s="64"/>
      <c r="W1315" s="70"/>
      <c r="X1315" s="64"/>
      <c r="Y1315" s="70"/>
      <c r="Z1315" s="70"/>
      <c r="AA1315" s="71"/>
      <c r="AB1315" s="70"/>
      <c r="AC1315" s="70"/>
      <c r="AD1315" s="64"/>
      <c r="AE1315" s="70"/>
      <c r="AF1315" s="70"/>
      <c r="AG1315" s="70"/>
      <c r="AH1315" s="70"/>
    </row>
    <row r="1316" spans="4:34" x14ac:dyDescent="0.2">
      <c r="D1316" s="53"/>
      <c r="E1316" s="70"/>
      <c r="F1316" s="70"/>
      <c r="G1316" s="70"/>
      <c r="H1316" s="70"/>
      <c r="I1316" s="70"/>
      <c r="J1316" s="70"/>
      <c r="K1316" s="70"/>
      <c r="L1316" s="70"/>
      <c r="M1316" s="70"/>
      <c r="N1316" s="70"/>
      <c r="O1316" s="70"/>
      <c r="P1316" s="70"/>
      <c r="Q1316" s="70"/>
      <c r="R1316" s="70"/>
      <c r="S1316" s="70"/>
      <c r="T1316" s="70"/>
      <c r="U1316" s="64"/>
      <c r="V1316" s="64"/>
      <c r="W1316" s="70"/>
      <c r="X1316" s="64"/>
      <c r="Y1316" s="70"/>
      <c r="Z1316" s="70"/>
      <c r="AA1316" s="71"/>
      <c r="AB1316" s="70"/>
      <c r="AC1316" s="70"/>
      <c r="AD1316" s="64"/>
      <c r="AE1316" s="70"/>
      <c r="AF1316" s="70"/>
      <c r="AG1316" s="70"/>
      <c r="AH1316" s="70"/>
    </row>
    <row r="1317" spans="4:34" x14ac:dyDescent="0.2">
      <c r="D1317" s="53"/>
      <c r="E1317" s="70"/>
      <c r="F1317" s="70"/>
      <c r="G1317" s="70"/>
      <c r="H1317" s="70"/>
      <c r="I1317" s="70"/>
      <c r="J1317" s="70"/>
      <c r="K1317" s="70"/>
      <c r="L1317" s="70"/>
      <c r="M1317" s="70"/>
      <c r="N1317" s="70"/>
      <c r="O1317" s="70"/>
      <c r="P1317" s="70"/>
      <c r="Q1317" s="70"/>
      <c r="R1317" s="70"/>
      <c r="S1317" s="70"/>
      <c r="T1317" s="70"/>
      <c r="U1317" s="64"/>
      <c r="V1317" s="64"/>
      <c r="W1317" s="70"/>
      <c r="X1317" s="64"/>
      <c r="Y1317" s="70"/>
      <c r="Z1317" s="70"/>
      <c r="AA1317" s="71"/>
      <c r="AB1317" s="70"/>
      <c r="AC1317" s="70"/>
      <c r="AD1317" s="64"/>
      <c r="AE1317" s="70"/>
      <c r="AF1317" s="70"/>
      <c r="AG1317" s="70"/>
      <c r="AH1317" s="70"/>
    </row>
    <row r="1318" spans="4:34" x14ac:dyDescent="0.2">
      <c r="D1318" s="53"/>
      <c r="E1318" s="70"/>
      <c r="F1318" s="70"/>
      <c r="G1318" s="70"/>
      <c r="H1318" s="70"/>
      <c r="I1318" s="70"/>
      <c r="J1318" s="70"/>
      <c r="K1318" s="70"/>
      <c r="L1318" s="70"/>
      <c r="M1318" s="70"/>
      <c r="N1318" s="70"/>
      <c r="O1318" s="70"/>
      <c r="P1318" s="70"/>
      <c r="Q1318" s="70"/>
      <c r="R1318" s="70"/>
      <c r="S1318" s="70"/>
      <c r="T1318" s="70"/>
      <c r="U1318" s="64"/>
      <c r="V1318" s="64"/>
      <c r="W1318" s="70"/>
      <c r="X1318" s="64"/>
      <c r="Y1318" s="70"/>
      <c r="Z1318" s="70"/>
      <c r="AA1318" s="71"/>
      <c r="AB1318" s="70"/>
      <c r="AC1318" s="70"/>
      <c r="AD1318" s="64"/>
      <c r="AE1318" s="70"/>
      <c r="AF1318" s="70"/>
      <c r="AG1318" s="70"/>
      <c r="AH1318" s="70"/>
    </row>
    <row r="1319" spans="4:34" x14ac:dyDescent="0.2">
      <c r="D1319" s="53"/>
      <c r="E1319" s="70"/>
      <c r="F1319" s="70"/>
      <c r="G1319" s="70"/>
      <c r="H1319" s="70"/>
      <c r="I1319" s="70"/>
      <c r="J1319" s="70"/>
      <c r="K1319" s="70"/>
      <c r="L1319" s="70"/>
      <c r="M1319" s="70"/>
      <c r="N1319" s="70"/>
      <c r="O1319" s="70"/>
      <c r="P1319" s="70"/>
      <c r="Q1319" s="70"/>
      <c r="R1319" s="70"/>
      <c r="S1319" s="70"/>
      <c r="T1319" s="70"/>
      <c r="U1319" s="64"/>
      <c r="V1319" s="64"/>
      <c r="W1319" s="70"/>
      <c r="X1319" s="64"/>
      <c r="Y1319" s="70"/>
      <c r="Z1319" s="70"/>
      <c r="AA1319" s="71"/>
      <c r="AB1319" s="70"/>
      <c r="AC1319" s="70"/>
      <c r="AD1319" s="64"/>
      <c r="AE1319" s="70"/>
      <c r="AF1319" s="70"/>
      <c r="AG1319" s="70"/>
      <c r="AH1319" s="70"/>
    </row>
    <row r="1320" spans="4:34" x14ac:dyDescent="0.2">
      <c r="D1320" s="53"/>
      <c r="E1320" s="70"/>
      <c r="F1320" s="70"/>
      <c r="G1320" s="70"/>
      <c r="H1320" s="70"/>
      <c r="I1320" s="70"/>
      <c r="J1320" s="70"/>
      <c r="K1320" s="70"/>
      <c r="L1320" s="70"/>
      <c r="M1320" s="70"/>
      <c r="N1320" s="70"/>
      <c r="O1320" s="70"/>
      <c r="P1320" s="70"/>
      <c r="Q1320" s="70"/>
      <c r="R1320" s="70"/>
      <c r="S1320" s="70"/>
      <c r="T1320" s="70"/>
      <c r="U1320" s="64"/>
      <c r="V1320" s="64"/>
      <c r="W1320" s="70"/>
      <c r="X1320" s="64"/>
      <c r="Y1320" s="70"/>
      <c r="Z1320" s="70"/>
      <c r="AA1320" s="71"/>
      <c r="AB1320" s="70"/>
      <c r="AC1320" s="70"/>
      <c r="AD1320" s="64"/>
      <c r="AE1320" s="70"/>
      <c r="AF1320" s="70"/>
      <c r="AG1320" s="70"/>
      <c r="AH1320" s="70"/>
    </row>
    <row r="1321" spans="4:34" x14ac:dyDescent="0.2">
      <c r="D1321" s="53"/>
      <c r="E1321" s="70"/>
      <c r="F1321" s="70"/>
      <c r="G1321" s="70"/>
      <c r="H1321" s="70"/>
      <c r="I1321" s="70"/>
      <c r="J1321" s="70"/>
      <c r="K1321" s="70"/>
      <c r="L1321" s="70"/>
      <c r="M1321" s="70"/>
      <c r="N1321" s="70"/>
      <c r="O1321" s="70"/>
      <c r="P1321" s="70"/>
      <c r="Q1321" s="70"/>
      <c r="R1321" s="70"/>
      <c r="S1321" s="70"/>
      <c r="T1321" s="70"/>
      <c r="U1321" s="64"/>
      <c r="V1321" s="64"/>
      <c r="W1321" s="70"/>
      <c r="X1321" s="64"/>
      <c r="Y1321" s="70"/>
      <c r="Z1321" s="70"/>
      <c r="AA1321" s="71"/>
      <c r="AB1321" s="70"/>
      <c r="AC1321" s="70"/>
      <c r="AD1321" s="64"/>
      <c r="AE1321" s="70"/>
      <c r="AF1321" s="70"/>
      <c r="AG1321" s="70"/>
      <c r="AH1321" s="70"/>
    </row>
    <row r="1322" spans="4:34" x14ac:dyDescent="0.2">
      <c r="D1322" s="53"/>
      <c r="E1322" s="70"/>
      <c r="F1322" s="70"/>
      <c r="G1322" s="70"/>
      <c r="H1322" s="70"/>
      <c r="I1322" s="70"/>
      <c r="J1322" s="70"/>
      <c r="K1322" s="70"/>
      <c r="L1322" s="70"/>
      <c r="M1322" s="70"/>
      <c r="N1322" s="70"/>
      <c r="O1322" s="70"/>
      <c r="P1322" s="70"/>
      <c r="Q1322" s="70"/>
      <c r="R1322" s="70"/>
      <c r="S1322" s="70"/>
      <c r="T1322" s="70"/>
      <c r="U1322" s="64"/>
      <c r="V1322" s="64"/>
      <c r="W1322" s="70"/>
      <c r="X1322" s="64"/>
      <c r="Y1322" s="70"/>
      <c r="Z1322" s="70"/>
      <c r="AA1322" s="71"/>
      <c r="AB1322" s="70"/>
      <c r="AC1322" s="70"/>
      <c r="AD1322" s="64"/>
      <c r="AE1322" s="70"/>
      <c r="AF1322" s="70"/>
      <c r="AG1322" s="70"/>
      <c r="AH1322" s="70"/>
    </row>
    <row r="1323" spans="4:34" x14ac:dyDescent="0.2">
      <c r="D1323" s="53"/>
      <c r="E1323" s="70"/>
      <c r="F1323" s="70"/>
      <c r="G1323" s="70"/>
      <c r="H1323" s="70"/>
      <c r="I1323" s="70"/>
      <c r="J1323" s="70"/>
      <c r="K1323" s="70"/>
      <c r="L1323" s="70"/>
      <c r="M1323" s="70"/>
      <c r="N1323" s="70"/>
      <c r="O1323" s="70"/>
      <c r="P1323" s="70"/>
      <c r="Q1323" s="70"/>
      <c r="R1323" s="70"/>
      <c r="S1323" s="70"/>
      <c r="T1323" s="70"/>
      <c r="U1323" s="64"/>
      <c r="V1323" s="64"/>
      <c r="W1323" s="70"/>
      <c r="X1323" s="64"/>
      <c r="Y1323" s="70"/>
      <c r="Z1323" s="70"/>
      <c r="AA1323" s="71"/>
      <c r="AB1323" s="70"/>
      <c r="AC1323" s="70"/>
      <c r="AD1323" s="64"/>
      <c r="AE1323" s="70"/>
      <c r="AF1323" s="70"/>
      <c r="AG1323" s="70"/>
      <c r="AH1323" s="70"/>
    </row>
    <row r="1324" spans="4:34" x14ac:dyDescent="0.2">
      <c r="D1324" s="53"/>
      <c r="E1324" s="70"/>
      <c r="F1324" s="70"/>
      <c r="G1324" s="70"/>
      <c r="H1324" s="70"/>
      <c r="I1324" s="70"/>
      <c r="J1324" s="70"/>
      <c r="K1324" s="70"/>
      <c r="L1324" s="70"/>
      <c r="M1324" s="70"/>
      <c r="N1324" s="70"/>
      <c r="O1324" s="70"/>
      <c r="P1324" s="70"/>
      <c r="Q1324" s="70"/>
      <c r="R1324" s="70"/>
      <c r="S1324" s="70"/>
      <c r="T1324" s="70"/>
      <c r="U1324" s="64"/>
      <c r="V1324" s="64"/>
      <c r="W1324" s="70"/>
      <c r="X1324" s="64"/>
      <c r="Y1324" s="70"/>
      <c r="Z1324" s="70"/>
      <c r="AA1324" s="71"/>
      <c r="AB1324" s="70"/>
      <c r="AC1324" s="70"/>
      <c r="AD1324" s="64"/>
      <c r="AE1324" s="70"/>
      <c r="AF1324" s="70"/>
      <c r="AG1324" s="70"/>
      <c r="AH1324" s="70"/>
    </row>
    <row r="1325" spans="4:34" x14ac:dyDescent="0.2">
      <c r="D1325" s="53"/>
      <c r="E1325" s="70"/>
      <c r="F1325" s="70"/>
      <c r="G1325" s="70"/>
      <c r="H1325" s="70"/>
      <c r="I1325" s="70"/>
      <c r="J1325" s="70"/>
      <c r="K1325" s="70"/>
      <c r="L1325" s="70"/>
      <c r="M1325" s="70"/>
      <c r="N1325" s="70"/>
      <c r="O1325" s="70"/>
      <c r="P1325" s="70"/>
      <c r="Q1325" s="70"/>
      <c r="R1325" s="70"/>
      <c r="S1325" s="70"/>
      <c r="T1325" s="70"/>
      <c r="U1325" s="64"/>
      <c r="V1325" s="64"/>
      <c r="W1325" s="70"/>
      <c r="X1325" s="64"/>
      <c r="Y1325" s="70"/>
      <c r="Z1325" s="70"/>
      <c r="AA1325" s="71"/>
      <c r="AB1325" s="70"/>
      <c r="AC1325" s="70"/>
      <c r="AD1325" s="64"/>
      <c r="AE1325" s="70"/>
      <c r="AF1325" s="70"/>
      <c r="AG1325" s="70"/>
      <c r="AH1325" s="70"/>
    </row>
    <row r="1326" spans="4:34" x14ac:dyDescent="0.2">
      <c r="D1326" s="53"/>
      <c r="E1326" s="70"/>
      <c r="F1326" s="70"/>
      <c r="G1326" s="70"/>
      <c r="H1326" s="70"/>
      <c r="I1326" s="70"/>
      <c r="J1326" s="70"/>
      <c r="K1326" s="70"/>
      <c r="L1326" s="70"/>
      <c r="M1326" s="70"/>
      <c r="N1326" s="70"/>
      <c r="O1326" s="70"/>
      <c r="P1326" s="70"/>
      <c r="Q1326" s="70"/>
      <c r="R1326" s="70"/>
      <c r="S1326" s="70"/>
      <c r="T1326" s="70"/>
      <c r="U1326" s="64"/>
      <c r="V1326" s="64"/>
      <c r="W1326" s="70"/>
      <c r="X1326" s="64"/>
      <c r="Y1326" s="70"/>
      <c r="Z1326" s="70"/>
      <c r="AA1326" s="71"/>
      <c r="AB1326" s="70"/>
      <c r="AC1326" s="70"/>
      <c r="AD1326" s="64"/>
      <c r="AE1326" s="70"/>
      <c r="AF1326" s="70"/>
      <c r="AG1326" s="70"/>
      <c r="AH1326" s="70"/>
    </row>
    <row r="1327" spans="4:34" x14ac:dyDescent="0.2">
      <c r="D1327" s="53"/>
      <c r="E1327" s="70"/>
      <c r="F1327" s="70"/>
      <c r="G1327" s="70"/>
      <c r="H1327" s="70"/>
      <c r="I1327" s="70"/>
      <c r="J1327" s="70"/>
      <c r="K1327" s="70"/>
      <c r="L1327" s="70"/>
      <c r="M1327" s="70"/>
      <c r="N1327" s="70"/>
      <c r="O1327" s="70"/>
      <c r="P1327" s="70"/>
      <c r="Q1327" s="70"/>
      <c r="R1327" s="70"/>
      <c r="S1327" s="70"/>
      <c r="T1327" s="70"/>
      <c r="U1327" s="64"/>
      <c r="V1327" s="64"/>
      <c r="W1327" s="70"/>
      <c r="X1327" s="64"/>
      <c r="Y1327" s="70"/>
      <c r="Z1327" s="70"/>
      <c r="AA1327" s="71"/>
      <c r="AB1327" s="70"/>
      <c r="AC1327" s="70"/>
      <c r="AD1327" s="64"/>
      <c r="AE1327" s="70"/>
      <c r="AF1327" s="70"/>
      <c r="AG1327" s="70"/>
      <c r="AH1327" s="70"/>
    </row>
    <row r="1328" spans="4:34" x14ac:dyDescent="0.2">
      <c r="D1328" s="53"/>
      <c r="E1328" s="70"/>
      <c r="F1328" s="70"/>
      <c r="G1328" s="70"/>
      <c r="H1328" s="70"/>
      <c r="I1328" s="70"/>
      <c r="J1328" s="70"/>
      <c r="K1328" s="70"/>
      <c r="L1328" s="70"/>
      <c r="M1328" s="70"/>
      <c r="N1328" s="70"/>
      <c r="O1328" s="70"/>
      <c r="P1328" s="70"/>
      <c r="Q1328" s="70"/>
      <c r="R1328" s="70"/>
      <c r="S1328" s="70"/>
      <c r="T1328" s="70"/>
      <c r="U1328" s="64"/>
      <c r="V1328" s="64"/>
      <c r="W1328" s="70"/>
      <c r="X1328" s="64"/>
      <c r="Y1328" s="70"/>
      <c r="Z1328" s="70"/>
      <c r="AA1328" s="71"/>
      <c r="AB1328" s="70"/>
      <c r="AC1328" s="70"/>
      <c r="AD1328" s="64"/>
      <c r="AE1328" s="70"/>
      <c r="AF1328" s="70"/>
      <c r="AG1328" s="70"/>
      <c r="AH1328" s="70"/>
    </row>
    <row r="1329" spans="4:34" x14ac:dyDescent="0.2">
      <c r="D1329" s="53"/>
      <c r="E1329" s="70"/>
      <c r="F1329" s="70"/>
      <c r="G1329" s="70"/>
      <c r="H1329" s="70"/>
      <c r="I1329" s="70"/>
      <c r="J1329" s="70"/>
      <c r="K1329" s="70"/>
      <c r="L1329" s="70"/>
      <c r="M1329" s="70"/>
      <c r="N1329" s="70"/>
      <c r="O1329" s="70"/>
      <c r="P1329" s="70"/>
      <c r="Q1329" s="70"/>
      <c r="R1329" s="70"/>
      <c r="S1329" s="70"/>
      <c r="T1329" s="70"/>
      <c r="U1329" s="64"/>
      <c r="V1329" s="64"/>
      <c r="W1329" s="70"/>
      <c r="X1329" s="64"/>
      <c r="Y1329" s="70"/>
      <c r="Z1329" s="70"/>
      <c r="AA1329" s="71"/>
      <c r="AB1329" s="70"/>
      <c r="AC1329" s="70"/>
      <c r="AD1329" s="64"/>
      <c r="AE1329" s="70"/>
      <c r="AF1329" s="70"/>
      <c r="AG1329" s="70"/>
      <c r="AH1329" s="70"/>
    </row>
    <row r="1330" spans="4:34" x14ac:dyDescent="0.2">
      <c r="D1330" s="53"/>
      <c r="E1330" s="70"/>
      <c r="F1330" s="70"/>
      <c r="G1330" s="70"/>
      <c r="H1330" s="70"/>
      <c r="I1330" s="70"/>
      <c r="J1330" s="70"/>
      <c r="K1330" s="70"/>
      <c r="L1330" s="70"/>
      <c r="M1330" s="70"/>
      <c r="N1330" s="70"/>
      <c r="O1330" s="70"/>
      <c r="P1330" s="70"/>
      <c r="Q1330" s="70"/>
      <c r="R1330" s="70"/>
      <c r="S1330" s="70"/>
      <c r="T1330" s="70"/>
      <c r="U1330" s="64"/>
      <c r="V1330" s="64"/>
      <c r="W1330" s="70"/>
      <c r="X1330" s="64"/>
      <c r="Y1330" s="70"/>
      <c r="Z1330" s="70"/>
      <c r="AA1330" s="71"/>
      <c r="AB1330" s="70"/>
      <c r="AC1330" s="70"/>
      <c r="AD1330" s="64"/>
      <c r="AE1330" s="70"/>
      <c r="AF1330" s="70"/>
      <c r="AG1330" s="70"/>
      <c r="AH1330" s="70"/>
    </row>
    <row r="1331" spans="4:34" x14ac:dyDescent="0.2">
      <c r="D1331" s="53"/>
      <c r="E1331" s="70"/>
      <c r="F1331" s="70"/>
      <c r="G1331" s="70"/>
      <c r="H1331" s="70"/>
      <c r="I1331" s="70"/>
      <c r="J1331" s="70"/>
      <c r="K1331" s="70"/>
      <c r="L1331" s="70"/>
      <c r="M1331" s="70"/>
      <c r="N1331" s="70"/>
      <c r="O1331" s="70"/>
      <c r="P1331" s="70"/>
      <c r="Q1331" s="70"/>
      <c r="R1331" s="70"/>
      <c r="S1331" s="70"/>
      <c r="T1331" s="70"/>
      <c r="U1331" s="64"/>
      <c r="V1331" s="64"/>
      <c r="W1331" s="70"/>
      <c r="X1331" s="64"/>
      <c r="Y1331" s="70"/>
      <c r="Z1331" s="70"/>
      <c r="AA1331" s="71"/>
      <c r="AB1331" s="70"/>
      <c r="AC1331" s="70"/>
      <c r="AD1331" s="64"/>
      <c r="AE1331" s="70"/>
      <c r="AF1331" s="70"/>
      <c r="AG1331" s="70"/>
      <c r="AH1331" s="70"/>
    </row>
    <row r="1332" spans="4:34" x14ac:dyDescent="0.2">
      <c r="D1332" s="53"/>
      <c r="E1332" s="70"/>
      <c r="F1332" s="70"/>
      <c r="G1332" s="70"/>
      <c r="H1332" s="70"/>
      <c r="I1332" s="70"/>
      <c r="J1332" s="70"/>
      <c r="K1332" s="70"/>
      <c r="L1332" s="70"/>
      <c r="M1332" s="70"/>
      <c r="N1332" s="70"/>
      <c r="O1332" s="70"/>
      <c r="P1332" s="70"/>
      <c r="Q1332" s="70"/>
      <c r="R1332" s="70"/>
      <c r="S1332" s="70"/>
      <c r="T1332" s="70"/>
      <c r="U1332" s="64"/>
      <c r="V1332" s="64"/>
      <c r="W1332" s="70"/>
      <c r="X1332" s="64"/>
      <c r="Y1332" s="70"/>
      <c r="Z1332" s="70"/>
      <c r="AA1332" s="71"/>
      <c r="AB1332" s="70"/>
      <c r="AC1332" s="70"/>
      <c r="AD1332" s="64"/>
      <c r="AE1332" s="70"/>
      <c r="AF1332" s="70"/>
      <c r="AG1332" s="70"/>
      <c r="AH1332" s="70"/>
    </row>
    <row r="1333" spans="4:34" x14ac:dyDescent="0.2">
      <c r="D1333" s="53"/>
      <c r="E1333" s="70"/>
      <c r="F1333" s="70"/>
      <c r="G1333" s="70"/>
      <c r="H1333" s="70"/>
      <c r="I1333" s="70"/>
      <c r="J1333" s="70"/>
      <c r="K1333" s="70"/>
      <c r="L1333" s="70"/>
      <c r="M1333" s="70"/>
      <c r="N1333" s="70"/>
      <c r="O1333" s="70"/>
      <c r="P1333" s="70"/>
      <c r="Q1333" s="70"/>
      <c r="R1333" s="70"/>
      <c r="S1333" s="70"/>
      <c r="T1333" s="70"/>
      <c r="U1333" s="64"/>
      <c r="V1333" s="64"/>
      <c r="W1333" s="70"/>
      <c r="X1333" s="64"/>
      <c r="Y1333" s="70"/>
      <c r="Z1333" s="70"/>
      <c r="AA1333" s="71"/>
      <c r="AB1333" s="70"/>
      <c r="AC1333" s="70"/>
      <c r="AD1333" s="64"/>
      <c r="AE1333" s="70"/>
      <c r="AF1333" s="70"/>
      <c r="AG1333" s="70"/>
      <c r="AH1333" s="70"/>
    </row>
    <row r="1334" spans="4:34" x14ac:dyDescent="0.2">
      <c r="D1334" s="53"/>
      <c r="E1334" s="70"/>
      <c r="F1334" s="70"/>
      <c r="G1334" s="70"/>
      <c r="H1334" s="70"/>
      <c r="I1334" s="70"/>
      <c r="J1334" s="70"/>
      <c r="K1334" s="70"/>
      <c r="L1334" s="70"/>
      <c r="M1334" s="70"/>
      <c r="N1334" s="70"/>
      <c r="O1334" s="70"/>
      <c r="P1334" s="70"/>
      <c r="Q1334" s="70"/>
      <c r="R1334" s="70"/>
      <c r="S1334" s="70"/>
      <c r="T1334" s="70"/>
      <c r="U1334" s="64"/>
      <c r="V1334" s="64"/>
      <c r="W1334" s="70"/>
      <c r="X1334" s="64"/>
      <c r="Y1334" s="70"/>
      <c r="Z1334" s="70"/>
      <c r="AA1334" s="71"/>
      <c r="AB1334" s="70"/>
      <c r="AC1334" s="70"/>
      <c r="AD1334" s="64"/>
      <c r="AE1334" s="70"/>
      <c r="AF1334" s="70"/>
      <c r="AG1334" s="70"/>
      <c r="AH1334" s="70"/>
    </row>
    <row r="1335" spans="4:34" x14ac:dyDescent="0.2">
      <c r="D1335" s="53"/>
      <c r="E1335" s="70"/>
      <c r="F1335" s="70"/>
      <c r="G1335" s="70"/>
      <c r="H1335" s="70"/>
      <c r="I1335" s="70"/>
      <c r="J1335" s="70"/>
      <c r="K1335" s="70"/>
      <c r="L1335" s="70"/>
      <c r="M1335" s="70"/>
      <c r="N1335" s="70"/>
      <c r="O1335" s="70"/>
      <c r="P1335" s="70"/>
      <c r="Q1335" s="70"/>
      <c r="R1335" s="70"/>
      <c r="S1335" s="70"/>
      <c r="T1335" s="70"/>
      <c r="U1335" s="64"/>
      <c r="V1335" s="64"/>
      <c r="W1335" s="70"/>
      <c r="X1335" s="64"/>
      <c r="Y1335" s="70"/>
      <c r="Z1335" s="70"/>
      <c r="AA1335" s="71"/>
      <c r="AB1335" s="70"/>
      <c r="AC1335" s="70"/>
      <c r="AD1335" s="64"/>
      <c r="AE1335" s="70"/>
      <c r="AF1335" s="70"/>
      <c r="AG1335" s="70"/>
      <c r="AH1335" s="70"/>
    </row>
    <row r="1336" spans="4:34" x14ac:dyDescent="0.2">
      <c r="D1336" s="53"/>
      <c r="E1336" s="70"/>
      <c r="F1336" s="70"/>
      <c r="G1336" s="70"/>
      <c r="H1336" s="70"/>
      <c r="I1336" s="70"/>
      <c r="J1336" s="70"/>
      <c r="K1336" s="70"/>
      <c r="L1336" s="70"/>
      <c r="M1336" s="70"/>
      <c r="N1336" s="70"/>
      <c r="O1336" s="70"/>
      <c r="P1336" s="70"/>
      <c r="Q1336" s="70"/>
      <c r="R1336" s="70"/>
      <c r="S1336" s="70"/>
      <c r="T1336" s="70"/>
      <c r="U1336" s="64"/>
      <c r="V1336" s="64"/>
      <c r="W1336" s="70"/>
      <c r="X1336" s="64"/>
      <c r="Y1336" s="70"/>
      <c r="Z1336" s="70"/>
      <c r="AA1336" s="71"/>
      <c r="AB1336" s="70"/>
      <c r="AC1336" s="70"/>
      <c r="AD1336" s="64"/>
      <c r="AE1336" s="70"/>
      <c r="AF1336" s="70"/>
      <c r="AG1336" s="70"/>
      <c r="AH1336" s="70"/>
    </row>
    <row r="1337" spans="4:34" x14ac:dyDescent="0.2">
      <c r="D1337" s="53"/>
      <c r="E1337" s="70"/>
      <c r="F1337" s="70"/>
      <c r="G1337" s="70"/>
      <c r="H1337" s="70"/>
      <c r="I1337" s="70"/>
      <c r="J1337" s="70"/>
      <c r="K1337" s="70"/>
      <c r="L1337" s="70"/>
      <c r="M1337" s="70"/>
      <c r="N1337" s="70"/>
      <c r="O1337" s="70"/>
      <c r="P1337" s="70"/>
      <c r="Q1337" s="70"/>
      <c r="R1337" s="70"/>
      <c r="S1337" s="70"/>
      <c r="T1337" s="70"/>
      <c r="U1337" s="64"/>
      <c r="V1337" s="64"/>
      <c r="W1337" s="70"/>
      <c r="X1337" s="64"/>
      <c r="Y1337" s="70"/>
      <c r="Z1337" s="70"/>
      <c r="AA1337" s="71"/>
      <c r="AB1337" s="70"/>
      <c r="AC1337" s="70"/>
      <c r="AD1337" s="64"/>
      <c r="AE1337" s="70"/>
      <c r="AF1337" s="70"/>
      <c r="AG1337" s="70"/>
      <c r="AH1337" s="70"/>
    </row>
    <row r="1338" spans="4:34" x14ac:dyDescent="0.2">
      <c r="D1338" s="53"/>
      <c r="E1338" s="70"/>
      <c r="F1338" s="70"/>
      <c r="G1338" s="70"/>
      <c r="H1338" s="70"/>
      <c r="I1338" s="70"/>
      <c r="J1338" s="70"/>
      <c r="K1338" s="70"/>
      <c r="L1338" s="70"/>
      <c r="M1338" s="70"/>
      <c r="N1338" s="70"/>
      <c r="O1338" s="70"/>
      <c r="P1338" s="70"/>
      <c r="Q1338" s="70"/>
      <c r="R1338" s="70"/>
      <c r="S1338" s="70"/>
      <c r="T1338" s="70"/>
      <c r="U1338" s="64"/>
      <c r="V1338" s="64"/>
      <c r="W1338" s="70"/>
      <c r="X1338" s="64"/>
      <c r="Y1338" s="70"/>
      <c r="Z1338" s="70"/>
      <c r="AA1338" s="71"/>
      <c r="AB1338" s="70"/>
      <c r="AC1338" s="70"/>
      <c r="AD1338" s="64"/>
      <c r="AE1338" s="70"/>
      <c r="AF1338" s="70"/>
      <c r="AG1338" s="70"/>
      <c r="AH1338" s="70"/>
    </row>
    <row r="1339" spans="4:34" x14ac:dyDescent="0.2">
      <c r="D1339" s="53"/>
      <c r="E1339" s="70"/>
      <c r="F1339" s="70"/>
      <c r="G1339" s="70"/>
      <c r="H1339" s="70"/>
      <c r="I1339" s="70"/>
      <c r="J1339" s="70"/>
      <c r="K1339" s="70"/>
      <c r="L1339" s="70"/>
      <c r="M1339" s="70"/>
      <c r="N1339" s="70"/>
      <c r="O1339" s="70"/>
      <c r="P1339" s="70"/>
      <c r="Q1339" s="70"/>
      <c r="R1339" s="70"/>
      <c r="S1339" s="70"/>
      <c r="T1339" s="70"/>
      <c r="U1339" s="64"/>
      <c r="V1339" s="64"/>
      <c r="W1339" s="70"/>
      <c r="X1339" s="64"/>
      <c r="Y1339" s="70"/>
      <c r="Z1339" s="70"/>
      <c r="AA1339" s="71"/>
      <c r="AB1339" s="70"/>
      <c r="AC1339" s="70"/>
      <c r="AD1339" s="64"/>
      <c r="AE1339" s="70"/>
      <c r="AF1339" s="70"/>
      <c r="AG1339" s="70"/>
      <c r="AH1339" s="70"/>
    </row>
    <row r="1340" spans="4:34" x14ac:dyDescent="0.2">
      <c r="D1340" s="53"/>
      <c r="E1340" s="70"/>
      <c r="F1340" s="70"/>
      <c r="G1340" s="70"/>
      <c r="H1340" s="70"/>
      <c r="I1340" s="70"/>
      <c r="J1340" s="70"/>
      <c r="K1340" s="70"/>
      <c r="L1340" s="70"/>
      <c r="M1340" s="70"/>
      <c r="N1340" s="70"/>
      <c r="O1340" s="70"/>
      <c r="P1340" s="70"/>
      <c r="Q1340" s="70"/>
      <c r="R1340" s="70"/>
      <c r="S1340" s="70"/>
      <c r="T1340" s="70"/>
      <c r="U1340" s="64"/>
      <c r="V1340" s="64"/>
      <c r="W1340" s="70"/>
      <c r="X1340" s="64"/>
      <c r="Y1340" s="70"/>
      <c r="Z1340" s="70"/>
      <c r="AA1340" s="71"/>
      <c r="AB1340" s="70"/>
      <c r="AC1340" s="70"/>
      <c r="AD1340" s="64"/>
      <c r="AE1340" s="70"/>
      <c r="AF1340" s="70"/>
      <c r="AG1340" s="70"/>
      <c r="AH1340" s="70"/>
    </row>
    <row r="1341" spans="4:34" x14ac:dyDescent="0.2">
      <c r="D1341" s="53"/>
      <c r="E1341" s="70"/>
      <c r="F1341" s="70"/>
      <c r="G1341" s="70"/>
      <c r="H1341" s="70"/>
      <c r="I1341" s="70"/>
      <c r="J1341" s="70"/>
      <c r="K1341" s="70"/>
      <c r="L1341" s="70"/>
      <c r="M1341" s="70"/>
      <c r="N1341" s="70"/>
      <c r="O1341" s="70"/>
      <c r="P1341" s="70"/>
      <c r="Q1341" s="70"/>
      <c r="R1341" s="70"/>
      <c r="S1341" s="70"/>
      <c r="T1341" s="70"/>
      <c r="U1341" s="64"/>
      <c r="V1341" s="64"/>
      <c r="W1341" s="70"/>
      <c r="X1341" s="64"/>
      <c r="Y1341" s="70"/>
      <c r="Z1341" s="70"/>
      <c r="AA1341" s="71"/>
      <c r="AB1341" s="70"/>
      <c r="AC1341" s="70"/>
      <c r="AD1341" s="64"/>
      <c r="AE1341" s="70"/>
      <c r="AF1341" s="70"/>
      <c r="AG1341" s="70"/>
      <c r="AH1341" s="70"/>
    </row>
    <row r="1342" spans="4:34" x14ac:dyDescent="0.2">
      <c r="D1342" s="53"/>
      <c r="E1342" s="70"/>
      <c r="F1342" s="70"/>
      <c r="G1342" s="70"/>
      <c r="H1342" s="70"/>
      <c r="I1342" s="70"/>
      <c r="J1342" s="70"/>
      <c r="K1342" s="70"/>
      <c r="L1342" s="70"/>
      <c r="M1342" s="70"/>
      <c r="N1342" s="70"/>
      <c r="O1342" s="70"/>
      <c r="P1342" s="70"/>
      <c r="Q1342" s="70"/>
      <c r="R1342" s="70"/>
      <c r="S1342" s="70"/>
      <c r="T1342" s="70"/>
      <c r="U1342" s="64"/>
      <c r="V1342" s="64"/>
      <c r="W1342" s="70"/>
      <c r="X1342" s="64"/>
      <c r="Y1342" s="70"/>
      <c r="Z1342" s="70"/>
      <c r="AA1342" s="71"/>
      <c r="AB1342" s="70"/>
      <c r="AC1342" s="70"/>
      <c r="AD1342" s="64"/>
      <c r="AE1342" s="70"/>
      <c r="AF1342" s="70"/>
      <c r="AG1342" s="70"/>
      <c r="AH1342" s="70"/>
    </row>
    <row r="1343" spans="4:34" x14ac:dyDescent="0.2">
      <c r="D1343" s="53"/>
      <c r="E1343" s="70"/>
      <c r="F1343" s="70"/>
      <c r="G1343" s="70"/>
      <c r="H1343" s="70"/>
      <c r="I1343" s="70"/>
      <c r="J1343" s="70"/>
      <c r="K1343" s="70"/>
      <c r="L1343" s="70"/>
      <c r="M1343" s="70"/>
      <c r="N1343" s="70"/>
      <c r="O1343" s="70"/>
      <c r="P1343" s="70"/>
      <c r="Q1343" s="70"/>
      <c r="R1343" s="70"/>
      <c r="S1343" s="70"/>
      <c r="T1343" s="70"/>
      <c r="U1343" s="64"/>
      <c r="V1343" s="64"/>
      <c r="W1343" s="70"/>
      <c r="X1343" s="64"/>
      <c r="Y1343" s="70"/>
      <c r="Z1343" s="70"/>
      <c r="AA1343" s="71"/>
      <c r="AB1343" s="70"/>
      <c r="AC1343" s="70"/>
      <c r="AD1343" s="64"/>
      <c r="AE1343" s="70"/>
      <c r="AF1343" s="70"/>
      <c r="AG1343" s="70"/>
      <c r="AH1343" s="70"/>
    </row>
    <row r="1344" spans="4:34" x14ac:dyDescent="0.2">
      <c r="D1344" s="53"/>
      <c r="E1344" s="70"/>
      <c r="F1344" s="70"/>
      <c r="G1344" s="70"/>
      <c r="H1344" s="70"/>
      <c r="I1344" s="70"/>
      <c r="J1344" s="70"/>
      <c r="K1344" s="70"/>
      <c r="L1344" s="70"/>
      <c r="M1344" s="70"/>
      <c r="N1344" s="70"/>
      <c r="O1344" s="70"/>
      <c r="P1344" s="70"/>
      <c r="Q1344" s="70"/>
      <c r="R1344" s="70"/>
      <c r="S1344" s="70"/>
      <c r="T1344" s="70"/>
      <c r="U1344" s="64"/>
      <c r="V1344" s="64"/>
      <c r="W1344" s="70"/>
      <c r="X1344" s="64"/>
      <c r="Y1344" s="70"/>
      <c r="Z1344" s="70"/>
      <c r="AA1344" s="71"/>
      <c r="AB1344" s="70"/>
      <c r="AC1344" s="70"/>
      <c r="AD1344" s="64"/>
      <c r="AE1344" s="70"/>
      <c r="AF1344" s="70"/>
      <c r="AG1344" s="70"/>
      <c r="AH1344" s="70"/>
    </row>
    <row r="1345" spans="4:34" x14ac:dyDescent="0.2">
      <c r="D1345" s="53"/>
      <c r="E1345" s="70"/>
      <c r="F1345" s="70"/>
      <c r="G1345" s="70"/>
      <c r="H1345" s="70"/>
      <c r="I1345" s="70"/>
      <c r="J1345" s="70"/>
      <c r="K1345" s="70"/>
      <c r="L1345" s="70"/>
      <c r="M1345" s="70"/>
      <c r="N1345" s="70"/>
      <c r="O1345" s="70"/>
      <c r="P1345" s="70"/>
      <c r="Q1345" s="70"/>
      <c r="R1345" s="70"/>
      <c r="S1345" s="70"/>
      <c r="T1345" s="70"/>
      <c r="U1345" s="64"/>
      <c r="V1345" s="64"/>
      <c r="W1345" s="70"/>
      <c r="X1345" s="64"/>
      <c r="Y1345" s="70"/>
      <c r="Z1345" s="70"/>
      <c r="AA1345" s="71"/>
      <c r="AB1345" s="70"/>
      <c r="AC1345" s="70"/>
      <c r="AD1345" s="64"/>
      <c r="AE1345" s="70"/>
      <c r="AF1345" s="70"/>
      <c r="AG1345" s="70"/>
      <c r="AH1345" s="70"/>
    </row>
    <row r="1346" spans="4:34" x14ac:dyDescent="0.2">
      <c r="D1346" s="53"/>
      <c r="E1346" s="70"/>
      <c r="F1346" s="70"/>
      <c r="G1346" s="70"/>
      <c r="H1346" s="70"/>
      <c r="I1346" s="70"/>
      <c r="J1346" s="70"/>
      <c r="K1346" s="70"/>
      <c r="L1346" s="70"/>
      <c r="M1346" s="70"/>
      <c r="N1346" s="70"/>
      <c r="O1346" s="70"/>
      <c r="P1346" s="70"/>
      <c r="Q1346" s="70"/>
      <c r="R1346" s="70"/>
      <c r="S1346" s="70"/>
      <c r="T1346" s="70"/>
      <c r="U1346" s="64"/>
      <c r="V1346" s="64"/>
      <c r="W1346" s="70"/>
      <c r="X1346" s="64"/>
      <c r="Y1346" s="70"/>
      <c r="Z1346" s="70"/>
      <c r="AA1346" s="71"/>
      <c r="AB1346" s="70"/>
      <c r="AC1346" s="70"/>
      <c r="AD1346" s="64"/>
      <c r="AE1346" s="70"/>
      <c r="AF1346" s="70"/>
      <c r="AG1346" s="70"/>
      <c r="AH1346" s="70"/>
    </row>
    <row r="1347" spans="4:34" x14ac:dyDescent="0.2">
      <c r="D1347" s="53"/>
      <c r="E1347" s="70"/>
      <c r="F1347" s="70"/>
      <c r="G1347" s="70"/>
      <c r="H1347" s="70"/>
      <c r="I1347" s="70"/>
      <c r="J1347" s="70"/>
      <c r="K1347" s="70"/>
      <c r="L1347" s="70"/>
      <c r="M1347" s="70"/>
      <c r="N1347" s="70"/>
      <c r="O1347" s="70"/>
      <c r="P1347" s="70"/>
      <c r="Q1347" s="70"/>
      <c r="R1347" s="70"/>
      <c r="S1347" s="70"/>
      <c r="T1347" s="70"/>
      <c r="U1347" s="64"/>
      <c r="V1347" s="64"/>
      <c r="W1347" s="70"/>
      <c r="X1347" s="64"/>
      <c r="Y1347" s="70"/>
      <c r="Z1347" s="70"/>
      <c r="AA1347" s="71"/>
      <c r="AB1347" s="70"/>
      <c r="AC1347" s="70"/>
      <c r="AD1347" s="64"/>
      <c r="AE1347" s="70"/>
      <c r="AF1347" s="70"/>
      <c r="AG1347" s="70"/>
      <c r="AH1347" s="70"/>
    </row>
    <row r="1348" spans="4:34" x14ac:dyDescent="0.2">
      <c r="D1348" s="53"/>
      <c r="E1348" s="70"/>
      <c r="F1348" s="70"/>
      <c r="G1348" s="70"/>
      <c r="H1348" s="70"/>
      <c r="I1348" s="70"/>
      <c r="J1348" s="70"/>
      <c r="K1348" s="70"/>
      <c r="L1348" s="70"/>
      <c r="M1348" s="70"/>
      <c r="N1348" s="70"/>
      <c r="O1348" s="70"/>
      <c r="P1348" s="70"/>
      <c r="Q1348" s="70"/>
      <c r="R1348" s="70"/>
      <c r="S1348" s="70"/>
      <c r="T1348" s="70"/>
      <c r="U1348" s="64"/>
      <c r="V1348" s="64"/>
      <c r="W1348" s="70"/>
      <c r="X1348" s="64"/>
      <c r="Y1348" s="70"/>
      <c r="Z1348" s="70"/>
      <c r="AA1348" s="71"/>
      <c r="AB1348" s="70"/>
      <c r="AC1348" s="70"/>
      <c r="AD1348" s="64"/>
      <c r="AE1348" s="70"/>
      <c r="AF1348" s="70"/>
      <c r="AG1348" s="70"/>
      <c r="AH1348" s="70"/>
    </row>
    <row r="1349" spans="4:34" x14ac:dyDescent="0.2">
      <c r="D1349" s="53"/>
      <c r="E1349" s="70"/>
      <c r="F1349" s="70"/>
      <c r="G1349" s="70"/>
      <c r="H1349" s="70"/>
      <c r="I1349" s="70"/>
      <c r="J1349" s="70"/>
      <c r="K1349" s="70"/>
      <c r="L1349" s="70"/>
      <c r="M1349" s="70"/>
      <c r="N1349" s="70"/>
      <c r="O1349" s="70"/>
      <c r="P1349" s="70"/>
      <c r="Q1349" s="70"/>
      <c r="R1349" s="70"/>
      <c r="S1349" s="70"/>
      <c r="T1349" s="70"/>
      <c r="U1349" s="64"/>
      <c r="V1349" s="64"/>
      <c r="W1349" s="70"/>
      <c r="X1349" s="64"/>
      <c r="Y1349" s="70"/>
      <c r="Z1349" s="70"/>
      <c r="AA1349" s="71"/>
      <c r="AB1349" s="70"/>
      <c r="AC1349" s="70"/>
      <c r="AD1349" s="64"/>
      <c r="AE1349" s="70"/>
      <c r="AF1349" s="70"/>
      <c r="AG1349" s="70"/>
      <c r="AH1349" s="70"/>
    </row>
  </sheetData>
  <phoneticPr fontId="0" type="noConversion"/>
  <hyperlinks>
    <hyperlink ref="A201" r:id="rId1" xr:uid="{00000000-0004-0000-0000-000000000000}"/>
    <hyperlink ref="G201" r:id="rId2" xr:uid="{00000000-0004-0000-0000-000001000000}"/>
  </hyperlinks>
  <printOptions gridLines="1"/>
  <pageMargins left="0.5" right="0.28999999999999998" top="0.75" bottom="0.5" header="0.5" footer="0.5"/>
  <headerFooter>
    <oddHeader>&amp;L&amp;"Arial,Italic"&amp;8Gallagher et. al 2008&amp;C&amp;"Arial,Italic"&amp;8&amp;D&amp;R&amp;"Arial,Italic"&amp;8&amp;P</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11</vt:i4>
      </vt:variant>
      <vt:variant>
        <vt:lpstr>Named Ranges</vt:lpstr>
      </vt:variant>
      <vt:variant>
        <vt:i4>1</vt:i4>
      </vt:variant>
    </vt:vector>
  </HeadingPairs>
  <TitlesOfParts>
    <vt:vector size="13" baseType="lpstr">
      <vt:lpstr>Complete Data 1978-2022R</vt:lpstr>
      <vt:lpstr>Composition of ERDD</vt:lpstr>
      <vt:lpstr>Composition of ERDD&amp;BES</vt:lpstr>
      <vt:lpstr>Total DOE ERDD</vt:lpstr>
      <vt:lpstr>Comp of ERDD (no fusion)</vt:lpstr>
      <vt:lpstr>Composition of ERD3</vt:lpstr>
      <vt:lpstr>Compositions ERDD Stacked</vt:lpstr>
      <vt:lpstr>Composition of ERDD non-nuclear</vt:lpstr>
      <vt:lpstr>Cumulative Spending</vt:lpstr>
      <vt:lpstr>Efficiency Breakdown</vt:lpstr>
      <vt:lpstr>Fossil Breakdown</vt:lpstr>
      <vt:lpstr>Renewables Breakdown</vt:lpstr>
      <vt:lpstr>'Complete Data 1978-2022R'!Print_Area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ldiazan</dc:creator>
  <cp:lastModifiedBy>Rosales, Sara Ruth</cp:lastModifiedBy>
  <cp:lastPrinted>2008-12-11T21:02:52Z</cp:lastPrinted>
  <dcterms:created xsi:type="dcterms:W3CDTF">2004-03-17T21:56:39Z</dcterms:created>
  <dcterms:modified xsi:type="dcterms:W3CDTF">2021-07-06T14:53:28Z</dcterms:modified>
</cp:coreProperties>
</file>