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lda24\Documents\CAMBRIDGE\LandEcon Teaching\Projects\"/>
    </mc:Choice>
  </mc:AlternateContent>
  <bookViews>
    <workbookView xWindow="0" yWindow="0" windowWidth="8970" windowHeight="5835" tabRatio="952" activeTab="1"/>
  </bookViews>
  <sheets>
    <sheet name="Complete Data 1978-2023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1978-2023R'!$A$1:$BE$321</definedName>
  </definedNames>
  <calcPr calcId="162913"/>
</workbook>
</file>

<file path=xl/calcChain.xml><?xml version="1.0" encoding="utf-8"?>
<calcChain xmlns="http://schemas.openxmlformats.org/spreadsheetml/2006/main">
  <c r="AY71" i="1" l="1"/>
  <c r="AY70" i="1"/>
  <c r="AY194" i="1"/>
  <c r="AX194" i="1"/>
  <c r="AY84" i="1"/>
  <c r="AX84" i="1"/>
  <c r="AY96" i="1"/>
  <c r="AY80" i="1"/>
  <c r="AY280" i="1" s="1"/>
  <c r="AW80" i="1"/>
  <c r="AX80" i="1"/>
  <c r="AY91" i="1"/>
  <c r="AY181" i="1"/>
  <c r="AY115" i="1"/>
  <c r="AY295" i="1" s="1"/>
  <c r="AX115" i="1"/>
  <c r="AY48" i="1"/>
  <c r="AY256" i="1" s="1"/>
  <c r="AX48" i="1"/>
  <c r="AY55" i="1"/>
  <c r="AY209" i="1" s="1"/>
  <c r="AY300" i="1"/>
  <c r="AY301" i="1"/>
  <c r="AY302" i="1"/>
  <c r="AY303" i="1"/>
  <c r="AY304" i="1"/>
  <c r="AY305" i="1"/>
  <c r="AY306" i="1"/>
  <c r="AY307" i="1"/>
  <c r="AY308" i="1"/>
  <c r="AY309" i="1"/>
  <c r="AY284" i="1"/>
  <c r="AY285" i="1"/>
  <c r="AY286" i="1"/>
  <c r="AY287" i="1"/>
  <c r="AY288" i="1"/>
  <c r="AY289" i="1"/>
  <c r="AY290" i="1"/>
  <c r="AY291" i="1"/>
  <c r="AY292" i="1"/>
  <c r="AY293" i="1"/>
  <c r="AY294" i="1"/>
  <c r="AY296" i="1"/>
  <c r="AY297" i="1"/>
  <c r="AY275" i="1"/>
  <c r="AY276" i="1"/>
  <c r="AY277" i="1"/>
  <c r="AY278" i="1"/>
  <c r="AY279" i="1"/>
  <c r="AY250" i="1"/>
  <c r="AY251" i="1"/>
  <c r="AY252" i="1"/>
  <c r="AY253" i="1"/>
  <c r="AY254" i="1"/>
  <c r="AY255" i="1"/>
  <c r="AY257" i="1"/>
  <c r="AY258" i="1"/>
  <c r="AY260" i="1"/>
  <c r="AY263" i="1"/>
  <c r="AY264" i="1"/>
  <c r="AY265" i="1"/>
  <c r="AY266" i="1"/>
  <c r="AY267" i="1"/>
  <c r="AY268" i="1"/>
  <c r="AY269" i="1"/>
  <c r="AY270" i="1"/>
  <c r="AY271" i="1"/>
  <c r="AY272" i="1"/>
  <c r="AW236" i="1"/>
  <c r="AY236" i="1"/>
  <c r="AX236" i="1"/>
  <c r="AW235" i="1"/>
  <c r="AY235" i="1"/>
  <c r="AX235" i="1"/>
  <c r="AY230" i="1"/>
  <c r="AY231" i="1"/>
  <c r="AY232" i="1"/>
  <c r="AY233" i="1"/>
  <c r="AY234" i="1"/>
  <c r="AY237" i="1"/>
  <c r="AY238" i="1"/>
  <c r="AY239" i="1"/>
  <c r="AY240" i="1"/>
  <c r="AY241" i="1"/>
  <c r="AY242" i="1"/>
  <c r="AY243" i="1"/>
  <c r="AY246" i="1"/>
  <c r="AY222" i="1"/>
  <c r="AY226" i="1" s="1"/>
  <c r="AY223" i="1"/>
  <c r="AY225" i="1"/>
  <c r="AD213" i="1"/>
  <c r="AE213" i="1"/>
  <c r="AF213" i="1"/>
  <c r="BA213" i="1" s="1"/>
  <c r="AG213" i="1"/>
  <c r="AH213" i="1"/>
  <c r="AI213" i="1"/>
  <c r="AJ213" i="1"/>
  <c r="AK213" i="1"/>
  <c r="AL213" i="1"/>
  <c r="AM213" i="1"/>
  <c r="AN213" i="1"/>
  <c r="AO213" i="1"/>
  <c r="AP213" i="1"/>
  <c r="AY207" i="1"/>
  <c r="AY208" i="1"/>
  <c r="AY210" i="1"/>
  <c r="AY212" i="1"/>
  <c r="AY213" i="1"/>
  <c r="AY214" i="1"/>
  <c r="AY215" i="1"/>
  <c r="E200" i="1"/>
  <c r="F200" i="1"/>
  <c r="G200" i="1"/>
  <c r="H200" i="1"/>
  <c r="I200" i="1"/>
  <c r="J200" i="1"/>
  <c r="K200" i="1"/>
  <c r="L200" i="1"/>
  <c r="M200" i="1"/>
  <c r="N200" i="1"/>
  <c r="O200" i="1"/>
  <c r="P200" i="1"/>
  <c r="Q200" i="1"/>
  <c r="R200" i="1"/>
  <c r="S200" i="1"/>
  <c r="T200" i="1"/>
  <c r="U200" i="1"/>
  <c r="V200" i="1"/>
  <c r="W200" i="1"/>
  <c r="X200" i="1"/>
  <c r="Y200" i="1"/>
  <c r="Z200" i="1"/>
  <c r="AA200" i="1"/>
  <c r="AB200" i="1"/>
  <c r="AC200" i="1"/>
  <c r="AD200" i="1"/>
  <c r="AE200" i="1"/>
  <c r="AF200" i="1"/>
  <c r="AG200" i="1"/>
  <c r="AH200" i="1"/>
  <c r="AI200" i="1"/>
  <c r="AJ200" i="1"/>
  <c r="AK200" i="1"/>
  <c r="AL200" i="1"/>
  <c r="AM200" i="1"/>
  <c r="AN200" i="1"/>
  <c r="AO200" i="1"/>
  <c r="AP200" i="1"/>
  <c r="AQ200" i="1"/>
  <c r="AR200" i="1"/>
  <c r="AS200" i="1"/>
  <c r="AT200" i="1"/>
  <c r="AU200" i="1"/>
  <c r="AW200" i="1"/>
  <c r="AX200" i="1"/>
  <c r="AY200" i="1"/>
  <c r="AV200" i="1"/>
  <c r="AK199" i="1"/>
  <c r="AY186" i="1"/>
  <c r="AY195" i="1" s="1"/>
  <c r="AY120" i="1"/>
  <c r="AY122" i="1" s="1"/>
  <c r="AY137" i="1"/>
  <c r="AY174" i="1"/>
  <c r="AY220" i="1" s="1"/>
  <c r="AY130" i="1"/>
  <c r="AX130" i="1"/>
  <c r="AW130" i="1"/>
  <c r="AY125" i="1"/>
  <c r="AX125" i="1"/>
  <c r="AW125" i="1"/>
  <c r="AY101" i="1"/>
  <c r="AY132" i="1"/>
  <c r="AY161" i="1"/>
  <c r="AX161" i="1"/>
  <c r="AW161" i="1"/>
  <c r="AY159" i="1"/>
  <c r="AX159" i="1"/>
  <c r="AX165" i="1" s="1"/>
  <c r="AW159" i="1"/>
  <c r="AY17" i="1"/>
  <c r="AX17" i="1"/>
  <c r="AW17" i="1"/>
  <c r="AY19" i="1"/>
  <c r="AX19" i="1"/>
  <c r="AW19" i="1"/>
  <c r="AY15" i="1"/>
  <c r="AY35" i="1" s="1"/>
  <c r="AX15" i="1"/>
  <c r="AW15" i="1"/>
  <c r="AY211" i="1" l="1"/>
  <c r="AY37" i="1"/>
  <c r="AY40" i="1"/>
  <c r="AY165" i="1"/>
  <c r="AY168" i="1" s="1"/>
  <c r="B216" i="1"/>
  <c r="B215" i="1"/>
  <c r="AZ276" i="1"/>
  <c r="AX285" i="1"/>
  <c r="AW271" i="1"/>
  <c r="AW272" i="1"/>
  <c r="AZ272" i="1"/>
  <c r="AZ271" i="1"/>
  <c r="AX239" i="1"/>
  <c r="AX181" i="1"/>
  <c r="AZ200" i="1"/>
  <c r="AZ199" i="1"/>
  <c r="AT278" i="1"/>
  <c r="AU278" i="1"/>
  <c r="AW279" i="1"/>
  <c r="AX278" i="1"/>
  <c r="AV279" i="1"/>
  <c r="E71" i="1"/>
  <c r="F71" i="1"/>
  <c r="G71" i="1"/>
  <c r="H71" i="1"/>
  <c r="I71" i="1"/>
  <c r="J71" i="1"/>
  <c r="K71" i="1"/>
  <c r="L71" i="1"/>
  <c r="M71" i="1"/>
  <c r="N71" i="1"/>
  <c r="O71" i="1"/>
  <c r="P71" i="1"/>
  <c r="Q71" i="1"/>
  <c r="R71" i="1"/>
  <c r="S71" i="1"/>
  <c r="T71" i="1"/>
  <c r="U71" i="1"/>
  <c r="V71" i="1"/>
  <c r="W71" i="1"/>
  <c r="X71" i="1"/>
  <c r="Y71" i="1"/>
  <c r="Z71" i="1"/>
  <c r="AA71" i="1"/>
  <c r="AC71" i="1"/>
  <c r="AD71" i="1"/>
  <c r="AF71" i="1"/>
  <c r="AG71" i="1"/>
  <c r="AH71" i="1"/>
  <c r="AI71" i="1"/>
  <c r="AL71" i="1"/>
  <c r="AM71" i="1"/>
  <c r="AN71" i="1"/>
  <c r="AO71" i="1"/>
  <c r="AP71" i="1"/>
  <c r="AQ71" i="1"/>
  <c r="AR71" i="1"/>
  <c r="AS71" i="1"/>
  <c r="AT71" i="1"/>
  <c r="AU71" i="1"/>
  <c r="AV71" i="1"/>
  <c r="AW71" i="1"/>
  <c r="AX71" i="1"/>
  <c r="AW53" i="1"/>
  <c r="AV53" i="1"/>
  <c r="AX270" i="1" l="1"/>
  <c r="AX308" i="1"/>
  <c r="AV278" i="1"/>
  <c r="AX253" i="1"/>
  <c r="AX294" i="1"/>
  <c r="AY173" i="1"/>
  <c r="AY170" i="1"/>
  <c r="AX210" i="1"/>
  <c r="AX252" i="1"/>
  <c r="AX234" i="1"/>
  <c r="AX266" i="1"/>
  <c r="AX307" i="1"/>
  <c r="AX293" i="1"/>
  <c r="AX246" i="1"/>
  <c r="AX230" i="1"/>
  <c r="AX265" i="1"/>
  <c r="AX304" i="1"/>
  <c r="AX289" i="1"/>
  <c r="AV276" i="1"/>
  <c r="AX240" i="1"/>
  <c r="AX225" i="1"/>
  <c r="AX271" i="1"/>
  <c r="AX300" i="1"/>
  <c r="AX286" i="1"/>
  <c r="AX279" i="1"/>
  <c r="AX257" i="1"/>
  <c r="AX243" i="1"/>
  <c r="AX233" i="1"/>
  <c r="AX269" i="1"/>
  <c r="AX272" i="1"/>
  <c r="AX303" i="1"/>
  <c r="AX290" i="1"/>
  <c r="AX258" i="1"/>
  <c r="AX254" i="1"/>
  <c r="AX250" i="1"/>
  <c r="AX241" i="1"/>
  <c r="AX237" i="1"/>
  <c r="AX231" i="1"/>
  <c r="AX222" i="1"/>
  <c r="AX226" i="1" s="1"/>
  <c r="AX267" i="1"/>
  <c r="AX263" i="1"/>
  <c r="AX309" i="1"/>
  <c r="AX305" i="1"/>
  <c r="AX301" i="1"/>
  <c r="AX291" i="1"/>
  <c r="AX287" i="1"/>
  <c r="AX277" i="1"/>
  <c r="AW278" i="1"/>
  <c r="AU279" i="1"/>
  <c r="AT279" i="1"/>
  <c r="AX208" i="1"/>
  <c r="AX260" i="1"/>
  <c r="AX255" i="1"/>
  <c r="AX251" i="1"/>
  <c r="AX242" i="1"/>
  <c r="AX238" i="1"/>
  <c r="AX232" i="1"/>
  <c r="AX268" i="1"/>
  <c r="AX264" i="1"/>
  <c r="AW284" i="1"/>
  <c r="AX306" i="1"/>
  <c r="AX302" i="1"/>
  <c r="AX296" i="1"/>
  <c r="AX292" i="1"/>
  <c r="AX288" i="1"/>
  <c r="AX284" i="1"/>
  <c r="AX276" i="1"/>
  <c r="AX174" i="1"/>
  <c r="AX220" i="1" s="1"/>
  <c r="AV74" i="1"/>
  <c r="AW75" i="1"/>
  <c r="AW276" i="1" s="1"/>
  <c r="AX101" i="1"/>
  <c r="AX216" i="1" s="1"/>
  <c r="BA216" i="1" s="1"/>
  <c r="AX96" i="1"/>
  <c r="AX215" i="1" s="1"/>
  <c r="BA215" i="1" s="1"/>
  <c r="AX91" i="1"/>
  <c r="AX186" i="1"/>
  <c r="AV17" i="1"/>
  <c r="AX35" i="1"/>
  <c r="AX40" i="1" s="1"/>
  <c r="AW165" i="1"/>
  <c r="AX132" i="1"/>
  <c r="AV125" i="1"/>
  <c r="AX295" i="1"/>
  <c r="AW115" i="1"/>
  <c r="AW48" i="1"/>
  <c r="AY197" i="1" l="1"/>
  <c r="AY227" i="1" s="1"/>
  <c r="AY219" i="1"/>
  <c r="AX275" i="1"/>
  <c r="AW84" i="1"/>
  <c r="AW55" i="1"/>
  <c r="AX280" i="1"/>
  <c r="AX137" i="1"/>
  <c r="AX213" i="1"/>
  <c r="AX168" i="1"/>
  <c r="AX207" i="1" s="1"/>
  <c r="AX212" i="1"/>
  <c r="AX55" i="1"/>
  <c r="AX256" i="1"/>
  <c r="AX297" i="1"/>
  <c r="AX223" i="1"/>
  <c r="AX195" i="1"/>
  <c r="AX214" i="1"/>
  <c r="AX37" i="1"/>
  <c r="AW270" i="1"/>
  <c r="AW301" i="1"/>
  <c r="AW186" i="1"/>
  <c r="AW35" i="1"/>
  <c r="AW37" i="1" s="1"/>
  <c r="AV15" i="1"/>
  <c r="AU15" i="1"/>
  <c r="AU17" i="1"/>
  <c r="AW168" i="1"/>
  <c r="AV159" i="1"/>
  <c r="AV165" i="1" s="1"/>
  <c r="AW132" i="1"/>
  <c r="AW120" i="1"/>
  <c r="AV115" i="1"/>
  <c r="AW70" i="1"/>
  <c r="AV48" i="1"/>
  <c r="AV178" i="1"/>
  <c r="AU178" i="1"/>
  <c r="AW178" i="1"/>
  <c r="AW181" i="1" s="1"/>
  <c r="AW91" i="1"/>
  <c r="AW214" i="1" s="1"/>
  <c r="AV84" i="1" l="1"/>
  <c r="AV118" i="1"/>
  <c r="AW170" i="1"/>
  <c r="AW207" i="1"/>
  <c r="AX170" i="1"/>
  <c r="AX120" i="1"/>
  <c r="AX70" i="1"/>
  <c r="AX209" i="1"/>
  <c r="AW280" i="1"/>
  <c r="AW174" i="1"/>
  <c r="AW220" i="1" s="1"/>
  <c r="AW223" i="1"/>
  <c r="AW195" i="1"/>
  <c r="AW290" i="1"/>
  <c r="AW238" i="1"/>
  <c r="AW300" i="1"/>
  <c r="AW232" i="1"/>
  <c r="AW266" i="1"/>
  <c r="AW286" i="1"/>
  <c r="AW225" i="1"/>
  <c r="AW258" i="1"/>
  <c r="AW277" i="1"/>
  <c r="AW308" i="1"/>
  <c r="AW242" i="1"/>
  <c r="AW253" i="1"/>
  <c r="AW294" i="1"/>
  <c r="AW304" i="1"/>
  <c r="AW222" i="1"/>
  <c r="AW226" i="1" s="1"/>
  <c r="AW241" i="1"/>
  <c r="AW237" i="1"/>
  <c r="AW231" i="1"/>
  <c r="AW257" i="1"/>
  <c r="AW252" i="1"/>
  <c r="AW269" i="1"/>
  <c r="AW265" i="1"/>
  <c r="AW275" i="1"/>
  <c r="AW293" i="1"/>
  <c r="AW289" i="1"/>
  <c r="AW285" i="1"/>
  <c r="AW307" i="1"/>
  <c r="AW303" i="1"/>
  <c r="AW210" i="1"/>
  <c r="AW213" i="1"/>
  <c r="AW208" i="1"/>
  <c r="AW246" i="1"/>
  <c r="AW240" i="1"/>
  <c r="AW234" i="1"/>
  <c r="AW230" i="1"/>
  <c r="AW255" i="1"/>
  <c r="AW251" i="1"/>
  <c r="AW268" i="1"/>
  <c r="AW264" i="1"/>
  <c r="AW297" i="1"/>
  <c r="AW292" i="1"/>
  <c r="AW288" i="1"/>
  <c r="AW306" i="1"/>
  <c r="AW302" i="1"/>
  <c r="AW243" i="1"/>
  <c r="AW239" i="1"/>
  <c r="AW233" i="1"/>
  <c r="AW260" i="1"/>
  <c r="AW254" i="1"/>
  <c r="AW250" i="1"/>
  <c r="AW267" i="1"/>
  <c r="AW263" i="1"/>
  <c r="AW296" i="1"/>
  <c r="AW291" i="1"/>
  <c r="AW287" i="1"/>
  <c r="AW309" i="1"/>
  <c r="AW305" i="1"/>
  <c r="AW212" i="1"/>
  <c r="AW256" i="1"/>
  <c r="AW122" i="1"/>
  <c r="AW211" i="1"/>
  <c r="AW295" i="1"/>
  <c r="AW209" i="1"/>
  <c r="AW137" i="1"/>
  <c r="AW40" i="1"/>
  <c r="AW173" i="1" s="1"/>
  <c r="AW219" i="1" s="1"/>
  <c r="AZ309" i="1"/>
  <c r="AZ308" i="1"/>
  <c r="B308" i="1" s="1"/>
  <c r="B307" i="1"/>
  <c r="AC305" i="1"/>
  <c r="AB305" i="1"/>
  <c r="AA305" i="1"/>
  <c r="Z305" i="1"/>
  <c r="Y305" i="1"/>
  <c r="X305" i="1"/>
  <c r="W305" i="1"/>
  <c r="V305" i="1"/>
  <c r="U305" i="1"/>
  <c r="T305" i="1"/>
  <c r="S305" i="1"/>
  <c r="R305" i="1"/>
  <c r="Q305" i="1"/>
  <c r="P305" i="1"/>
  <c r="O305" i="1"/>
  <c r="N305" i="1"/>
  <c r="M305" i="1"/>
  <c r="L305" i="1"/>
  <c r="K305" i="1"/>
  <c r="J305" i="1"/>
  <c r="I305" i="1"/>
  <c r="H305" i="1"/>
  <c r="G305" i="1"/>
  <c r="F305" i="1"/>
  <c r="AZ304" i="1"/>
  <c r="AH304"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F302" i="1"/>
  <c r="AZ291" i="1"/>
  <c r="AZ279" i="1"/>
  <c r="B279" i="1" s="1"/>
  <c r="AZ278" i="1"/>
  <c r="B278" i="1" s="1"/>
  <c r="AZ275" i="1"/>
  <c r="AZ270" i="1"/>
  <c r="AR270" i="1"/>
  <c r="AQ270" i="1"/>
  <c r="AZ269" i="1"/>
  <c r="B268" i="1"/>
  <c r="AZ268" i="1" s="1"/>
  <c r="B267" i="1"/>
  <c r="AZ267" i="1" s="1"/>
  <c r="B266" i="1"/>
  <c r="AZ266" i="1" s="1"/>
  <c r="B265" i="1"/>
  <c r="AZ265" i="1" s="1"/>
  <c r="B264" i="1"/>
  <c r="AZ264" i="1" s="1"/>
  <c r="B263" i="1"/>
  <c r="AZ263" i="1" s="1"/>
  <c r="AH260" i="1"/>
  <c r="AG260" i="1"/>
  <c r="AF260" i="1"/>
  <c r="AE260" i="1"/>
  <c r="AD260" i="1"/>
  <c r="AC260" i="1"/>
  <c r="AB260" i="1"/>
  <c r="AA260" i="1"/>
  <c r="Z260" i="1"/>
  <c r="Y260" i="1"/>
  <c r="X260" i="1"/>
  <c r="W260" i="1"/>
  <c r="V260" i="1"/>
  <c r="A226" i="1"/>
  <c r="A220" i="1"/>
  <c r="Z206" i="1"/>
  <c r="AA206" i="1" s="1"/>
  <c r="AB206" i="1" s="1"/>
  <c r="AC206" i="1" s="1"/>
  <c r="AD206" i="1" s="1"/>
  <c r="AE206" i="1" s="1"/>
  <c r="F206" i="1"/>
  <c r="G206" i="1" s="1"/>
  <c r="H206" i="1" s="1"/>
  <c r="I206" i="1" s="1"/>
  <c r="J206" i="1" s="1"/>
  <c r="K206" i="1" s="1"/>
  <c r="L206" i="1" s="1"/>
  <c r="M206" i="1" s="1"/>
  <c r="N206" i="1" s="1"/>
  <c r="O206" i="1" s="1"/>
  <c r="P206" i="1" s="1"/>
  <c r="Q206" i="1" s="1"/>
  <c r="R206" i="1" s="1"/>
  <c r="S206" i="1" s="1"/>
  <c r="T206" i="1" s="1"/>
  <c r="U206" i="1" s="1"/>
  <c r="V206" i="1" s="1"/>
  <c r="W206" i="1" s="1"/>
  <c r="X206" i="1" s="1"/>
  <c r="AV208" i="1"/>
  <c r="O210" i="1"/>
  <c r="N210" i="1"/>
  <c r="L210" i="1"/>
  <c r="K210" i="1"/>
  <c r="J210" i="1"/>
  <c r="H210" i="1"/>
  <c r="G210" i="1"/>
  <c r="F210" i="1"/>
  <c r="BG195" i="1"/>
  <c r="BG196" i="1" s="1"/>
  <c r="AV194" i="1"/>
  <c r="AU194" i="1"/>
  <c r="AT194" i="1"/>
  <c r="AS194"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N194" i="1"/>
  <c r="M194" i="1"/>
  <c r="L194" i="1"/>
  <c r="K194" i="1"/>
  <c r="J194" i="1"/>
  <c r="I194" i="1"/>
  <c r="H194" i="1"/>
  <c r="G194" i="1"/>
  <c r="F194" i="1"/>
  <c r="E194" i="1"/>
  <c r="AV186" i="1"/>
  <c r="AV223" i="1" s="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AV181" i="1"/>
  <c r="AU181" i="1"/>
  <c r="AS181" i="1"/>
  <c r="AR181" i="1"/>
  <c r="AQ181" i="1"/>
  <c r="AP179" i="1"/>
  <c r="AP181" i="1" s="1"/>
  <c r="AO179" i="1"/>
  <c r="AO181" i="1" s="1"/>
  <c r="AN179" i="1"/>
  <c r="AN181" i="1" s="1"/>
  <c r="AM179" i="1"/>
  <c r="AM181" i="1" s="1"/>
  <c r="AL179" i="1"/>
  <c r="AL181" i="1" s="1"/>
  <c r="AT178" i="1"/>
  <c r="AT181" i="1" s="1"/>
  <c r="AB176" i="1"/>
  <c r="AA176" i="1"/>
  <c r="AH174" i="1"/>
  <c r="AG174" i="1"/>
  <c r="AF174" i="1"/>
  <c r="AD174" i="1"/>
  <c r="AC174" i="1"/>
  <c r="AA174" i="1"/>
  <c r="Z174" i="1"/>
  <c r="Y174" i="1"/>
  <c r="X174" i="1"/>
  <c r="W174" i="1"/>
  <c r="V174" i="1"/>
  <c r="U174" i="1"/>
  <c r="T174" i="1"/>
  <c r="S174" i="1"/>
  <c r="R174" i="1"/>
  <c r="Q174" i="1"/>
  <c r="P174" i="1"/>
  <c r="O174" i="1"/>
  <c r="N174" i="1"/>
  <c r="M174" i="1"/>
  <c r="L174" i="1"/>
  <c r="K174" i="1"/>
  <c r="J174" i="1"/>
  <c r="I174" i="1"/>
  <c r="H174" i="1"/>
  <c r="G174" i="1"/>
  <c r="F174" i="1"/>
  <c r="E174" i="1"/>
  <c r="AP171" i="1"/>
  <c r="AL169" i="1"/>
  <c r="AJ169" i="1"/>
  <c r="AI169" i="1"/>
  <c r="AH169" i="1"/>
  <c r="AD169" i="1"/>
  <c r="AC169" i="1"/>
  <c r="AB169" i="1"/>
  <c r="AA169" i="1"/>
  <c r="Z169" i="1"/>
  <c r="Y169" i="1"/>
  <c r="S168" i="1"/>
  <c r="S170" i="1" s="1"/>
  <c r="R168" i="1"/>
  <c r="R170" i="1" s="1"/>
  <c r="Q168" i="1"/>
  <c r="Q170" i="1" s="1"/>
  <c r="P168" i="1"/>
  <c r="P170" i="1" s="1"/>
  <c r="O168" i="1"/>
  <c r="O170" i="1" s="1"/>
  <c r="N168" i="1"/>
  <c r="N170" i="1" s="1"/>
  <c r="M168" i="1"/>
  <c r="M170" i="1" s="1"/>
  <c r="L168" i="1"/>
  <c r="L170" i="1" s="1"/>
  <c r="K168" i="1"/>
  <c r="K170" i="1" s="1"/>
  <c r="J168" i="1"/>
  <c r="J170" i="1" s="1"/>
  <c r="I168" i="1"/>
  <c r="I170" i="1" s="1"/>
  <c r="H168" i="1"/>
  <c r="H170" i="1" s="1"/>
  <c r="G168" i="1"/>
  <c r="G170" i="1" s="1"/>
  <c r="F168" i="1"/>
  <c r="F170" i="1" s="1"/>
  <c r="E168" i="1"/>
  <c r="E170" i="1" s="1"/>
  <c r="AV168" i="1"/>
  <c r="AV207" i="1" s="1"/>
  <c r="AP165" i="1"/>
  <c r="AO165" i="1"/>
  <c r="AO164" i="1" s="1"/>
  <c r="AO168" i="1" s="1"/>
  <c r="AO170" i="1" s="1"/>
  <c r="AN165" i="1"/>
  <c r="AM165" i="1"/>
  <c r="AM164" i="1" s="1"/>
  <c r="AM168" i="1" s="1"/>
  <c r="AM170" i="1" s="1"/>
  <c r="AL165" i="1"/>
  <c r="AK165" i="1"/>
  <c r="AK164" i="1" s="1"/>
  <c r="AK168" i="1" s="1"/>
  <c r="AK170" i="1" s="1"/>
  <c r="AJ165" i="1"/>
  <c r="AI165" i="1"/>
  <c r="AI164" i="1" s="1"/>
  <c r="AI168" i="1" s="1"/>
  <c r="AI170" i="1" s="1"/>
  <c r="AH165" i="1"/>
  <c r="AG165" i="1"/>
  <c r="AG164" i="1" s="1"/>
  <c r="AG168" i="1" s="1"/>
  <c r="AG170" i="1" s="1"/>
  <c r="AF165" i="1"/>
  <c r="AE165" i="1"/>
  <c r="AC165" i="1"/>
  <c r="AC164" i="1" s="1"/>
  <c r="AC168" i="1" s="1"/>
  <c r="AB165" i="1"/>
  <c r="AA165" i="1"/>
  <c r="AA164" i="1" s="1"/>
  <c r="AA168" i="1" s="1"/>
  <c r="AA170" i="1" s="1"/>
  <c r="Z165" i="1"/>
  <c r="Z164" i="1" s="1"/>
  <c r="Z168" i="1" s="1"/>
  <c r="Z170" i="1" s="1"/>
  <c r="Y165" i="1"/>
  <c r="Y164" i="1" s="1"/>
  <c r="Y168" i="1" s="1"/>
  <c r="X165" i="1"/>
  <c r="U165" i="1"/>
  <c r="U164" i="1" s="1"/>
  <c r="U168" i="1" s="1"/>
  <c r="U170" i="1" s="1"/>
  <c r="T165" i="1"/>
  <c r="T168" i="1" s="1"/>
  <c r="T170" i="1" s="1"/>
  <c r="AP164" i="1"/>
  <c r="AP168" i="1" s="1"/>
  <c r="AP170" i="1" s="1"/>
  <c r="AN164" i="1"/>
  <c r="AN168" i="1" s="1"/>
  <c r="AN170" i="1" s="1"/>
  <c r="AL164" i="1"/>
  <c r="AL168" i="1" s="1"/>
  <c r="AL170" i="1" s="1"/>
  <c r="AJ164" i="1"/>
  <c r="AJ168" i="1" s="1"/>
  <c r="AH164" i="1"/>
  <c r="AH168" i="1" s="1"/>
  <c r="AH170" i="1" s="1"/>
  <c r="AF164" i="1"/>
  <c r="AF168" i="1" s="1"/>
  <c r="AF170" i="1" s="1"/>
  <c r="AB164" i="1"/>
  <c r="AB168" i="1" s="1"/>
  <c r="X164" i="1"/>
  <c r="X168" i="1" s="1"/>
  <c r="X170" i="1" s="1"/>
  <c r="AU159" i="1"/>
  <c r="AU165" i="1" s="1"/>
  <c r="AU168" i="1" s="1"/>
  <c r="AU170" i="1" s="1"/>
  <c r="AT159" i="1"/>
  <c r="AT165" i="1" s="1"/>
  <c r="AS159" i="1"/>
  <c r="AS165" i="1" s="1"/>
  <c r="AR159" i="1"/>
  <c r="AR165" i="1" s="1"/>
  <c r="AR164" i="1" s="1"/>
  <c r="AR168" i="1" s="1"/>
  <c r="AR170" i="1" s="1"/>
  <c r="AQ159" i="1"/>
  <c r="AQ157" i="1"/>
  <c r="B153" i="1"/>
  <c r="AE149" i="1"/>
  <c r="AE164" i="1" s="1"/>
  <c r="AE168" i="1" s="1"/>
  <c r="AE170" i="1" s="1"/>
  <c r="AD149" i="1"/>
  <c r="AD165" i="1" s="1"/>
  <c r="W149" i="1"/>
  <c r="V149" i="1"/>
  <c r="AQ146"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AK134" i="1"/>
  <c r="AV132" i="1"/>
  <c r="AV213" i="1" s="1"/>
  <c r="AK132" i="1"/>
  <c r="AK137" i="1" s="1"/>
  <c r="AJ132" i="1"/>
  <c r="AG132" i="1"/>
  <c r="AF132" i="1"/>
  <c r="AE132" i="1"/>
  <c r="AE137" i="1" s="1"/>
  <c r="AD132" i="1"/>
  <c r="AU129" i="1"/>
  <c r="AU125" i="1" s="1"/>
  <c r="AU132" i="1" s="1"/>
  <c r="AU213" i="1" s="1"/>
  <c r="AT129" i="1"/>
  <c r="AS129" i="1"/>
  <c r="AR129" i="1"/>
  <c r="AQ129" i="1"/>
  <c r="AP129" i="1"/>
  <c r="AO129" i="1"/>
  <c r="AN129" i="1"/>
  <c r="AM129" i="1"/>
  <c r="AM132" i="1" s="1"/>
  <c r="AM137" i="1" s="1"/>
  <c r="AL129" i="1"/>
  <c r="AL132" i="1" s="1"/>
  <c r="AT125" i="1"/>
  <c r="AT132" i="1" s="1"/>
  <c r="AT137" i="1" s="1"/>
  <c r="AS125" i="1"/>
  <c r="AR125" i="1"/>
  <c r="AQ125" i="1"/>
  <c r="AP125" i="1"/>
  <c r="AP132" i="1" s="1"/>
  <c r="AO125" i="1"/>
  <c r="AN125" i="1"/>
  <c r="AI125" i="1"/>
  <c r="AI132" i="1" s="1"/>
  <c r="AI137" i="1" s="1"/>
  <c r="AH125" i="1"/>
  <c r="AH132" i="1" s="1"/>
  <c r="AD121" i="1"/>
  <c r="AD120" i="1"/>
  <c r="AD122" i="1" s="1"/>
  <c r="R120" i="1"/>
  <c r="R122" i="1" s="1"/>
  <c r="Q120" i="1"/>
  <c r="Q122" i="1" s="1"/>
  <c r="P120" i="1"/>
  <c r="P122" i="1" s="1"/>
  <c r="O120" i="1"/>
  <c r="O122" i="1" s="1"/>
  <c r="N120" i="1"/>
  <c r="N122" i="1" s="1"/>
  <c r="M120" i="1"/>
  <c r="M122" i="1" s="1"/>
  <c r="L120" i="1"/>
  <c r="L122" i="1" s="1"/>
  <c r="K120" i="1"/>
  <c r="K122" i="1" s="1"/>
  <c r="J120" i="1"/>
  <c r="J122" i="1" s="1"/>
  <c r="I120" i="1"/>
  <c r="I122" i="1" s="1"/>
  <c r="H120" i="1"/>
  <c r="H122" i="1" s="1"/>
  <c r="G120" i="1"/>
  <c r="G122" i="1" s="1"/>
  <c r="F120" i="1"/>
  <c r="F122" i="1" s="1"/>
  <c r="E120" i="1"/>
  <c r="E122" i="1" s="1"/>
  <c r="AI117" i="1"/>
  <c r="AV120" i="1"/>
  <c r="AU115" i="1"/>
  <c r="AU120" i="1" s="1"/>
  <c r="AT115" i="1"/>
  <c r="AT120" i="1" s="1"/>
  <c r="AT122" i="1" s="1"/>
  <c r="AS115" i="1"/>
  <c r="AS120" i="1" s="1"/>
  <c r="AS122" i="1" s="1"/>
  <c r="AR115" i="1"/>
  <c r="AR120" i="1" s="1"/>
  <c r="AR122" i="1" s="1"/>
  <c r="AQ115" i="1"/>
  <c r="AQ120" i="1" s="1"/>
  <c r="AQ122" i="1" s="1"/>
  <c r="AP115" i="1"/>
  <c r="AP120" i="1" s="1"/>
  <c r="AP122" i="1" s="1"/>
  <c r="AO115" i="1"/>
  <c r="AO120" i="1" s="1"/>
  <c r="AO122" i="1" s="1"/>
  <c r="AN115" i="1"/>
  <c r="AN120" i="1" s="1"/>
  <c r="AN122" i="1" s="1"/>
  <c r="AM115" i="1"/>
  <c r="AM120" i="1" s="1"/>
  <c r="AM122" i="1" s="1"/>
  <c r="AL115" i="1"/>
  <c r="AL120" i="1" s="1"/>
  <c r="AL122" i="1" s="1"/>
  <c r="AK115" i="1"/>
  <c r="AI115" i="1"/>
  <c r="AH115" i="1"/>
  <c r="AG115" i="1"/>
  <c r="AG120" i="1" s="1"/>
  <c r="AG122" i="1" s="1"/>
  <c r="AF115" i="1"/>
  <c r="AE115" i="1"/>
  <c r="AE120" i="1" s="1"/>
  <c r="AE122" i="1" s="1"/>
  <c r="AD115" i="1"/>
  <c r="AC115" i="1"/>
  <c r="AB115" i="1"/>
  <c r="AA115" i="1"/>
  <c r="Z115" i="1"/>
  <c r="Y115" i="1"/>
  <c r="X115" i="1"/>
  <c r="W115" i="1"/>
  <c r="AF114" i="1"/>
  <c r="AF120" i="1" s="1"/>
  <c r="AF122" i="1" s="1"/>
  <c r="AE114" i="1"/>
  <c r="AD114" i="1"/>
  <c r="AC114" i="1"/>
  <c r="AK112" i="1"/>
  <c r="AK120" i="1" s="1"/>
  <c r="AJ112" i="1"/>
  <c r="AI112" i="1"/>
  <c r="AH112" i="1"/>
  <c r="AH120" i="1" s="1"/>
  <c r="AH122" i="1" s="1"/>
  <c r="AC104" i="1"/>
  <c r="AB104" i="1"/>
  <c r="AB120" i="1" s="1"/>
  <c r="AB122" i="1" s="1"/>
  <c r="AA104" i="1"/>
  <c r="Z104" i="1"/>
  <c r="Z120" i="1" s="1"/>
  <c r="Z122" i="1" s="1"/>
  <c r="Y104" i="1"/>
  <c r="X104" i="1"/>
  <c r="X120" i="1" s="1"/>
  <c r="X122" i="1" s="1"/>
  <c r="W104" i="1"/>
  <c r="V104" i="1"/>
  <c r="V120" i="1" s="1"/>
  <c r="V122" i="1" s="1"/>
  <c r="U104" i="1"/>
  <c r="U120" i="1" s="1"/>
  <c r="U122" i="1" s="1"/>
  <c r="T104" i="1"/>
  <c r="T120" i="1" s="1"/>
  <c r="T122" i="1" s="1"/>
  <c r="S104" i="1"/>
  <c r="S120" i="1" s="1"/>
  <c r="S122" i="1" s="1"/>
  <c r="AV91" i="1"/>
  <c r="AV214" i="1" s="1"/>
  <c r="AU91" i="1"/>
  <c r="AT91" i="1"/>
  <c r="AR91" i="1"/>
  <c r="AQ91" i="1"/>
  <c r="AP91" i="1"/>
  <c r="AO91" i="1"/>
  <c r="AN91" i="1"/>
  <c r="AM91" i="1"/>
  <c r="AL91" i="1"/>
  <c r="AK91" i="1"/>
  <c r="AJ91" i="1"/>
  <c r="A91" i="1"/>
  <c r="AS90" i="1"/>
  <c r="AS91" i="1" s="1"/>
  <c r="A89" i="1"/>
  <c r="A88" i="1"/>
  <c r="A87" i="1"/>
  <c r="AV85" i="1"/>
  <c r="AB85" i="1"/>
  <c r="AA85" i="1"/>
  <c r="Z85" i="1"/>
  <c r="Y85" i="1"/>
  <c r="X85" i="1"/>
  <c r="W85" i="1"/>
  <c r="V85" i="1"/>
  <c r="U85" i="1"/>
  <c r="T85" i="1"/>
  <c r="S85" i="1"/>
  <c r="R85" i="1"/>
  <c r="Q85" i="1"/>
  <c r="P85" i="1"/>
  <c r="O85" i="1"/>
  <c r="N85" i="1"/>
  <c r="M85" i="1"/>
  <c r="L85" i="1"/>
  <c r="K85" i="1"/>
  <c r="J85" i="1"/>
  <c r="I85" i="1"/>
  <c r="H85" i="1"/>
  <c r="G85" i="1"/>
  <c r="F85" i="1"/>
  <c r="E85" i="1"/>
  <c r="AL84" i="1"/>
  <c r="AL85" i="1" s="1"/>
  <c r="AK84" i="1"/>
  <c r="AK85" i="1" s="1"/>
  <c r="AI84" i="1"/>
  <c r="AI85" i="1" s="1"/>
  <c r="AH84" i="1"/>
  <c r="AH85" i="1" s="1"/>
  <c r="AG84" i="1"/>
  <c r="AG85" i="1" s="1"/>
  <c r="AF84" i="1"/>
  <c r="AF85" i="1" s="1"/>
  <c r="AE82" i="1"/>
  <c r="AE85" i="1" s="1"/>
  <c r="AD82" i="1"/>
  <c r="AD85" i="1" s="1"/>
  <c r="AC82" i="1"/>
  <c r="AC85" i="1" s="1"/>
  <c r="AV80" i="1"/>
  <c r="AU80" i="1"/>
  <c r="AT80" i="1"/>
  <c r="AT174" i="1" s="1"/>
  <c r="AS80" i="1"/>
  <c r="AS174" i="1" s="1"/>
  <c r="AR80" i="1"/>
  <c r="AR174" i="1" s="1"/>
  <c r="AQ80" i="1"/>
  <c r="AQ174" i="1" s="1"/>
  <c r="AP80" i="1"/>
  <c r="AP174" i="1" s="1"/>
  <c r="AO80" i="1"/>
  <c r="AO174" i="1" s="1"/>
  <c r="AN80" i="1"/>
  <c r="AN174" i="1" s="1"/>
  <c r="AM80" i="1"/>
  <c r="AM174" i="1" s="1"/>
  <c r="AL80" i="1"/>
  <c r="AL174" i="1" s="1"/>
  <c r="AK80" i="1"/>
  <c r="AJ80" i="1"/>
  <c r="AI80" i="1"/>
  <c r="AI174" i="1" s="1"/>
  <c r="AI68" i="1"/>
  <c r="AH68" i="1"/>
  <c r="AG68" i="1"/>
  <c r="AF68" i="1"/>
  <c r="AD68" i="1"/>
  <c r="AC68" i="1"/>
  <c r="D65" i="1"/>
  <c r="AK63" i="1"/>
  <c r="AK61" i="1"/>
  <c r="AE60" i="1"/>
  <c r="AB60" i="1"/>
  <c r="AK57" i="1"/>
  <c r="AJ57" i="1"/>
  <c r="AJ71" i="1" s="1"/>
  <c r="AE55" i="1"/>
  <c r="AE209" i="1" s="1"/>
  <c r="AD55" i="1"/>
  <c r="X55" i="1"/>
  <c r="X209" i="1" s="1"/>
  <c r="V55" i="1"/>
  <c r="V209" i="1" s="1"/>
  <c r="U55" i="1"/>
  <c r="U70" i="1" s="1"/>
  <c r="T55" i="1"/>
  <c r="T209" i="1" s="1"/>
  <c r="S55" i="1"/>
  <c r="S70" i="1" s="1"/>
  <c r="R55" i="1"/>
  <c r="Q55" i="1"/>
  <c r="Q70" i="1" s="1"/>
  <c r="P55" i="1"/>
  <c r="P209" i="1" s="1"/>
  <c r="O55" i="1"/>
  <c r="O70" i="1" s="1"/>
  <c r="N55" i="1"/>
  <c r="N70" i="1" s="1"/>
  <c r="M55" i="1"/>
  <c r="M70" i="1" s="1"/>
  <c r="L55" i="1"/>
  <c r="L70" i="1" s="1"/>
  <c r="K55" i="1"/>
  <c r="K70" i="1" s="1"/>
  <c r="J55" i="1"/>
  <c r="J70" i="1" s="1"/>
  <c r="I55" i="1"/>
  <c r="I70" i="1" s="1"/>
  <c r="H55" i="1"/>
  <c r="H70" i="1" s="1"/>
  <c r="G55" i="1"/>
  <c r="G70" i="1" s="1"/>
  <c r="F55" i="1"/>
  <c r="F70" i="1" s="1"/>
  <c r="E55" i="1"/>
  <c r="E70" i="1" s="1"/>
  <c r="AQ53" i="1"/>
  <c r="AP53" i="1"/>
  <c r="AO53" i="1"/>
  <c r="AM53" i="1"/>
  <c r="AI52" i="1"/>
  <c r="AV256" i="1"/>
  <c r="AU48" i="1"/>
  <c r="AT48" i="1"/>
  <c r="AT84" i="1" s="1"/>
  <c r="AT85" i="1" s="1"/>
  <c r="AS48" i="1"/>
  <c r="AS84" i="1" s="1"/>
  <c r="AS85" i="1" s="1"/>
  <c r="AR48" i="1"/>
  <c r="AR55" i="1" s="1"/>
  <c r="AQ48" i="1"/>
  <c r="AQ55" i="1" s="1"/>
  <c r="AP48" i="1"/>
  <c r="AP84" i="1" s="1"/>
  <c r="AP85" i="1" s="1"/>
  <c r="AO48" i="1"/>
  <c r="AO84" i="1" s="1"/>
  <c r="AO85" i="1" s="1"/>
  <c r="AN48" i="1"/>
  <c r="AN55" i="1" s="1"/>
  <c r="AN209" i="1" s="1"/>
  <c r="AM48" i="1"/>
  <c r="AL48" i="1"/>
  <c r="AL55" i="1" s="1"/>
  <c r="AK48" i="1"/>
  <c r="AK55" i="1" s="1"/>
  <c r="AJ48" i="1"/>
  <c r="AI48" i="1"/>
  <c r="AI55" i="1" s="1"/>
  <c r="AI209" i="1" s="1"/>
  <c r="AH48" i="1"/>
  <c r="AH55" i="1" s="1"/>
  <c r="AH70" i="1" s="1"/>
  <c r="AG48" i="1"/>
  <c r="AG55" i="1" s="1"/>
  <c r="AG70" i="1" s="1"/>
  <c r="AF48" i="1"/>
  <c r="AF55" i="1" s="1"/>
  <c r="AF209" i="1" s="1"/>
  <c r="AC48" i="1"/>
  <c r="AC55" i="1" s="1"/>
  <c r="AC70" i="1" s="1"/>
  <c r="AB46" i="1"/>
  <c r="AB55" i="1" s="1"/>
  <c r="AB209" i="1" s="1"/>
  <c r="AA46" i="1"/>
  <c r="AA55" i="1" s="1"/>
  <c r="AA209" i="1" s="1"/>
  <c r="Z46" i="1"/>
  <c r="Z55" i="1" s="1"/>
  <c r="Z209" i="1" s="1"/>
  <c r="Y46" i="1"/>
  <c r="Y55" i="1" s="1"/>
  <c r="Y70" i="1" s="1"/>
  <c r="W46" i="1"/>
  <c r="W55" i="1" s="1"/>
  <c r="W70" i="1" s="1"/>
  <c r="AJ45" i="1"/>
  <c r="AJ115" i="1" s="1"/>
  <c r="E38" i="1"/>
  <c r="AI37" i="1"/>
  <c r="AE36" i="1"/>
  <c r="AD36" i="1"/>
  <c r="AC36" i="1"/>
  <c r="AB36" i="1"/>
  <c r="AA36" i="1"/>
  <c r="Z36" i="1"/>
  <c r="Z37" i="1" s="1"/>
  <c r="Y36" i="1"/>
  <c r="X36" i="1"/>
  <c r="AV35" i="1"/>
  <c r="AV212" i="1" s="1"/>
  <c r="AU35" i="1"/>
  <c r="AU40" i="1" s="1"/>
  <c r="AD35" i="1"/>
  <c r="AD40" i="1" s="1"/>
  <c r="AA35" i="1"/>
  <c r="AA37" i="1" s="1"/>
  <c r="Z35" i="1"/>
  <c r="Z40" i="1" s="1"/>
  <c r="Y35" i="1"/>
  <c r="X35" i="1"/>
  <c r="W35" i="1"/>
  <c r="W37" i="1" s="1"/>
  <c r="V35" i="1"/>
  <c r="V40" i="1" s="1"/>
  <c r="U35" i="1"/>
  <c r="T35" i="1"/>
  <c r="S35" i="1"/>
  <c r="S40" i="1" s="1"/>
  <c r="R35" i="1"/>
  <c r="R40" i="1" s="1"/>
  <c r="Q35" i="1"/>
  <c r="P35" i="1"/>
  <c r="P37" i="1" s="1"/>
  <c r="O35" i="1"/>
  <c r="O37" i="1" s="1"/>
  <c r="N35" i="1"/>
  <c r="N40" i="1" s="1"/>
  <c r="M35" i="1"/>
  <c r="L35" i="1"/>
  <c r="K35" i="1"/>
  <c r="K37" i="1" s="1"/>
  <c r="J35" i="1"/>
  <c r="I35" i="1"/>
  <c r="H35" i="1"/>
  <c r="H37" i="1" s="1"/>
  <c r="G35" i="1"/>
  <c r="G40" i="1" s="1"/>
  <c r="F35" i="1"/>
  <c r="F40" i="1" s="1"/>
  <c r="E35" i="1"/>
  <c r="E40" i="1" s="1"/>
  <c r="AC33" i="1"/>
  <c r="AC35" i="1" s="1"/>
  <c r="AB33" i="1"/>
  <c r="AB35" i="1" s="1"/>
  <c r="AM24" i="1"/>
  <c r="AP19" i="1"/>
  <c r="AO19" i="1"/>
  <c r="AN19" i="1"/>
  <c r="AL19" i="1"/>
  <c r="AT17" i="1"/>
  <c r="AS17" i="1"/>
  <c r="AR17" i="1"/>
  <c r="AQ17" i="1"/>
  <c r="AP17" i="1"/>
  <c r="AO17" i="1"/>
  <c r="AN17" i="1"/>
  <c r="AK17" i="1"/>
  <c r="AT15" i="1"/>
  <c r="AT35" i="1" s="1"/>
  <c r="AS15" i="1"/>
  <c r="AS35" i="1" s="1"/>
  <c r="AR15" i="1"/>
  <c r="AR35" i="1" s="1"/>
  <c r="AR37" i="1" s="1"/>
  <c r="AQ15" i="1"/>
  <c r="AQ35" i="1" s="1"/>
  <c r="AQ40" i="1" s="1"/>
  <c r="AP15" i="1"/>
  <c r="AP35" i="1" s="1"/>
  <c r="AO15" i="1"/>
  <c r="AO35" i="1" s="1"/>
  <c r="AN15" i="1"/>
  <c r="AN35" i="1" s="1"/>
  <c r="AM15" i="1"/>
  <c r="AM35" i="1" s="1"/>
  <c r="AM37" i="1" s="1"/>
  <c r="AL15" i="1"/>
  <c r="AL35" i="1" s="1"/>
  <c r="AL40" i="1" s="1"/>
  <c r="AK15" i="1"/>
  <c r="AK35" i="1" s="1"/>
  <c r="AK37" i="1" s="1"/>
  <c r="AJ15" i="1"/>
  <c r="AJ35" i="1" s="1"/>
  <c r="AI15" i="1"/>
  <c r="AI35" i="1" s="1"/>
  <c r="AI40" i="1" s="1"/>
  <c r="AH15" i="1"/>
  <c r="AH35" i="1" s="1"/>
  <c r="AG15" i="1"/>
  <c r="AG35" i="1" s="1"/>
  <c r="AF15" i="1"/>
  <c r="AF35" i="1" s="1"/>
  <c r="AF37" i="1" s="1"/>
  <c r="AE15" i="1"/>
  <c r="AE35" i="1" s="1"/>
  <c r="AE37" i="1" s="1"/>
  <c r="Z12" i="1"/>
  <c r="AA12" i="1" s="1"/>
  <c r="AB12" i="1" s="1"/>
  <c r="AC12" i="1" s="1"/>
  <c r="AD12" i="1" s="1"/>
  <c r="AE12" i="1" s="1"/>
  <c r="F12" i="1"/>
  <c r="G12" i="1" s="1"/>
  <c r="H12" i="1" s="1"/>
  <c r="I12" i="1" s="1"/>
  <c r="J12" i="1" s="1"/>
  <c r="K12" i="1" s="1"/>
  <c r="L12" i="1" s="1"/>
  <c r="M12" i="1" s="1"/>
  <c r="N12" i="1" s="1"/>
  <c r="O12" i="1" s="1"/>
  <c r="P12" i="1" s="1"/>
  <c r="Q12" i="1" s="1"/>
  <c r="R12" i="1" s="1"/>
  <c r="S12" i="1" s="1"/>
  <c r="T12" i="1" s="1"/>
  <c r="U12" i="1" s="1"/>
  <c r="V12" i="1" s="1"/>
  <c r="W12" i="1" s="1"/>
  <c r="X12" i="1" s="1"/>
  <c r="AN84" i="1" l="1"/>
  <c r="AN85" i="1" s="1"/>
  <c r="AK70" i="1"/>
  <c r="AK71" i="1"/>
  <c r="AQ132" i="1"/>
  <c r="AQ137" i="1" s="1"/>
  <c r="AK195" i="1"/>
  <c r="AO195" i="1"/>
  <c r="AS195" i="1"/>
  <c r="AL195" i="1"/>
  <c r="AT195" i="1"/>
  <c r="AB174" i="1"/>
  <c r="AB71" i="1"/>
  <c r="G173" i="1"/>
  <c r="G197" i="1" s="1"/>
  <c r="G227" i="1" s="1"/>
  <c r="AQ37" i="1"/>
  <c r="AO55" i="1"/>
  <c r="AO70" i="1" s="1"/>
  <c r="AE174" i="1"/>
  <c r="AE71" i="1"/>
  <c r="AC120" i="1"/>
  <c r="AC122" i="1" s="1"/>
  <c r="AX211" i="1"/>
  <c r="AX122" i="1"/>
  <c r="AX173" i="1"/>
  <c r="AU174" i="1"/>
  <c r="AU220" i="1" s="1"/>
  <c r="F173" i="1"/>
  <c r="N173" i="1"/>
  <c r="N197" i="1" s="1"/>
  <c r="N227" i="1" s="1"/>
  <c r="R173" i="1"/>
  <c r="R197" i="1" s="1"/>
  <c r="R227" i="1" s="1"/>
  <c r="Z173" i="1"/>
  <c r="AK122" i="1"/>
  <c r="AU122" i="1"/>
  <c r="AL173" i="1"/>
  <c r="AL197" i="1" s="1"/>
  <c r="AL227" i="1" s="1"/>
  <c r="E173" i="1"/>
  <c r="E219" i="1" s="1"/>
  <c r="AV174" i="1"/>
  <c r="AV220" i="1" s="1"/>
  <c r="S173" i="1"/>
  <c r="S197" i="1" s="1"/>
  <c r="S227" i="1" s="1"/>
  <c r="R37" i="1"/>
  <c r="H40" i="1"/>
  <c r="H173" i="1" s="1"/>
  <c r="S37" i="1"/>
  <c r="K40" i="1"/>
  <c r="K173" i="1" s="1"/>
  <c r="K197" i="1" s="1"/>
  <c r="K227" i="1" s="1"/>
  <c r="AA40" i="1"/>
  <c r="AM55" i="1"/>
  <c r="AD70" i="1"/>
  <c r="AJ174" i="1"/>
  <c r="AJ220" i="1" s="1"/>
  <c r="AJ84" i="1"/>
  <c r="AJ85" i="1" s="1"/>
  <c r="W120" i="1"/>
  <c r="W122" i="1" s="1"/>
  <c r="AA120" i="1"/>
  <c r="AA122" i="1" s="1"/>
  <c r="AI120" i="1"/>
  <c r="AI122" i="1" s="1"/>
  <c r="AO132" i="1"/>
  <c r="AS132" i="1"/>
  <c r="AS137" i="1" s="1"/>
  <c r="AN132" i="1"/>
  <c r="AR132" i="1"/>
  <c r="AR137" i="1" s="1"/>
  <c r="AF137" i="1"/>
  <c r="AQ165" i="1"/>
  <c r="AQ164" i="1" s="1"/>
  <c r="AQ168" i="1" s="1"/>
  <c r="S209" i="1"/>
  <c r="E197" i="1"/>
  <c r="E227" i="1" s="1"/>
  <c r="G37" i="1"/>
  <c r="O40" i="1"/>
  <c r="O173" i="1" s="1"/>
  <c r="AE40" i="1"/>
  <c r="AP55" i="1"/>
  <c r="AP70" i="1" s="1"/>
  <c r="AR84" i="1"/>
  <c r="AR85" i="1" s="1"/>
  <c r="AJ120" i="1"/>
  <c r="AJ122" i="1" s="1"/>
  <c r="AC170" i="1"/>
  <c r="AD209" i="1"/>
  <c r="W40" i="1"/>
  <c r="V165" i="1"/>
  <c r="V164" i="1" s="1"/>
  <c r="V168" i="1" s="1"/>
  <c r="V173" i="1" s="1"/>
  <c r="AJ55" i="1"/>
  <c r="AJ209" i="1" s="1"/>
  <c r="AS55" i="1"/>
  <c r="Y120" i="1"/>
  <c r="Y122" i="1" s="1"/>
  <c r="AD164" i="1"/>
  <c r="AD168" i="1" s="1"/>
  <c r="AD170" i="1" s="1"/>
  <c r="AS40" i="1"/>
  <c r="AS37" i="1"/>
  <c r="AH40" i="1"/>
  <c r="AH173" i="1" s="1"/>
  <c r="AH37" i="1"/>
  <c r="AP40" i="1"/>
  <c r="AP37" i="1"/>
  <c r="AR40" i="1"/>
  <c r="AM70" i="1"/>
  <c r="AM209" i="1"/>
  <c r="AU84" i="1"/>
  <c r="AU85" i="1" s="1"/>
  <c r="AU55" i="1"/>
  <c r="AU173" i="1" s="1"/>
  <c r="R70" i="1"/>
  <c r="R209" i="1"/>
  <c r="AQ84" i="1"/>
  <c r="AQ85" i="1" s="1"/>
  <c r="AQ173" i="1" s="1"/>
  <c r="AM195" i="1"/>
  <c r="AQ195" i="1"/>
  <c r="L37" i="1"/>
  <c r="L40" i="1"/>
  <c r="T37" i="1"/>
  <c r="T40" i="1"/>
  <c r="X37" i="1"/>
  <c r="AB37" i="1"/>
  <c r="AB40" i="1"/>
  <c r="AF40" i="1"/>
  <c r="AF173" i="1" s="1"/>
  <c r="AM84" i="1"/>
  <c r="AM85" i="1" s="1"/>
  <c r="X40" i="1"/>
  <c r="X173" i="1" s="1"/>
  <c r="AK40" i="1"/>
  <c r="AK173" i="1" s="1"/>
  <c r="AK219" i="1" s="1"/>
  <c r="AS168" i="1"/>
  <c r="AS170" i="1" s="1"/>
  <c r="AB170" i="1"/>
  <c r="AI195" i="1"/>
  <c r="AU195" i="1"/>
  <c r="AN37" i="1"/>
  <c r="AN40" i="1"/>
  <c r="AT40" i="1"/>
  <c r="AT37" i="1"/>
  <c r="F197" i="1"/>
  <c r="F227" i="1" s="1"/>
  <c r="J40" i="1"/>
  <c r="J37" i="1"/>
  <c r="Z197" i="1"/>
  <c r="Z227" i="1" s="1"/>
  <c r="AJ37" i="1"/>
  <c r="AJ40" i="1"/>
  <c r="AJ173" i="1" s="1"/>
  <c r="P40" i="1"/>
  <c r="P173" i="1" s="1"/>
  <c r="P197" i="1" s="1"/>
  <c r="P227" i="1" s="1"/>
  <c r="AM40" i="1"/>
  <c r="AT55" i="1"/>
  <c r="AJ70" i="1"/>
  <c r="AN137" i="1"/>
  <c r="W165" i="1"/>
  <c r="W164" i="1" s="1"/>
  <c r="W168" i="1" s="1"/>
  <c r="AT168" i="1"/>
  <c r="AT170" i="1" s="1"/>
  <c r="Y170" i="1"/>
  <c r="AJ170" i="1"/>
  <c r="O190" i="1"/>
  <c r="O194" i="1" s="1"/>
  <c r="O197" i="1" s="1"/>
  <c r="O227" i="1" s="1"/>
  <c r="AJ195" i="1"/>
  <c r="AN195" i="1"/>
  <c r="AR195" i="1"/>
  <c r="AK174" i="1"/>
  <c r="AK220" i="1" s="1"/>
  <c r="AJ137" i="1"/>
  <c r="AP195" i="1"/>
  <c r="AR209" i="1"/>
  <c r="AR70" i="1"/>
  <c r="T70" i="1"/>
  <c r="AB70" i="1"/>
  <c r="I37" i="1"/>
  <c r="I40" i="1"/>
  <c r="M37" i="1"/>
  <c r="M40" i="1"/>
  <c r="Q37" i="1"/>
  <c r="Q40" i="1"/>
  <c r="U37" i="1"/>
  <c r="U40" i="1"/>
  <c r="Y37" i="1"/>
  <c r="Y40" i="1"/>
  <c r="AC37" i="1"/>
  <c r="AC40" i="1"/>
  <c r="AG37" i="1"/>
  <c r="AG40" i="1"/>
  <c r="AO37" i="1"/>
  <c r="AO40" i="1"/>
  <c r="AO173" i="1" s="1"/>
  <c r="F37" i="1"/>
  <c r="N37" i="1"/>
  <c r="V37" i="1"/>
  <c r="AD37" i="1"/>
  <c r="AD137" i="1"/>
  <c r="AH137" i="1"/>
  <c r="AL137" i="1"/>
  <c r="AP137" i="1"/>
  <c r="AH197" i="1"/>
  <c r="AH227" i="1" s="1"/>
  <c r="AL37" i="1"/>
  <c r="H197" i="1"/>
  <c r="H227" i="1" s="1"/>
  <c r="X197" i="1"/>
  <c r="X227" i="1" s="1"/>
  <c r="AF197" i="1"/>
  <c r="AF227" i="1" s="1"/>
  <c r="P70" i="1"/>
  <c r="X70" i="1"/>
  <c r="AF70" i="1"/>
  <c r="AN70" i="1"/>
  <c r="AL209" i="1"/>
  <c r="AL70" i="1"/>
  <c r="V70" i="1"/>
  <c r="Z70" i="1"/>
  <c r="AI70" i="1"/>
  <c r="AG137" i="1"/>
  <c r="W209" i="1"/>
  <c r="AH209" i="1"/>
  <c r="AQ209" i="1"/>
  <c r="AQ70" i="1"/>
  <c r="AA70" i="1"/>
  <c r="AE70" i="1"/>
  <c r="E308" i="1"/>
  <c r="E307" i="1"/>
  <c r="E300" i="1"/>
  <c r="E305" i="1"/>
  <c r="E302" i="1"/>
  <c r="E291" i="1"/>
  <c r="E290" i="1"/>
  <c r="E303" i="1"/>
  <c r="E280" i="1"/>
  <c r="E277" i="1"/>
  <c r="E267" i="1"/>
  <c r="E265" i="1"/>
  <c r="E263" i="1"/>
  <c r="E275" i="1"/>
  <c r="E268" i="1"/>
  <c r="E266" i="1"/>
  <c r="E264" i="1"/>
  <c r="E256" i="1"/>
  <c r="E255" i="1"/>
  <c r="E254" i="1"/>
  <c r="E253" i="1"/>
  <c r="E252" i="1"/>
  <c r="E251" i="1"/>
  <c r="E250" i="1"/>
  <c r="E246" i="1"/>
  <c r="E243" i="1"/>
  <c r="E242" i="1"/>
  <c r="E241" i="1"/>
  <c r="E240" i="1"/>
  <c r="E239" i="1"/>
  <c r="E258" i="1"/>
  <c r="E257" i="1"/>
  <c r="E238" i="1"/>
  <c r="E237" i="1"/>
  <c r="E234" i="1"/>
  <c r="E233" i="1"/>
  <c r="E232" i="1"/>
  <c r="E231" i="1"/>
  <c r="E230" i="1"/>
  <c r="E220" i="1"/>
  <c r="E211" i="1"/>
  <c r="E223" i="1"/>
  <c r="E222" i="1"/>
  <c r="E212" i="1"/>
  <c r="E225" i="1"/>
  <c r="I308" i="1"/>
  <c r="I307" i="1"/>
  <c r="I300" i="1"/>
  <c r="I291" i="1"/>
  <c r="I290" i="1"/>
  <c r="I280" i="1"/>
  <c r="I277" i="1"/>
  <c r="I267" i="1"/>
  <c r="I265" i="1"/>
  <c r="I263" i="1"/>
  <c r="I275" i="1"/>
  <c r="I268" i="1"/>
  <c r="I266" i="1"/>
  <c r="I264" i="1"/>
  <c r="I256" i="1"/>
  <c r="I255" i="1"/>
  <c r="I254" i="1"/>
  <c r="I253" i="1"/>
  <c r="I252" i="1"/>
  <c r="I251" i="1"/>
  <c r="I250" i="1"/>
  <c r="I246" i="1"/>
  <c r="I243" i="1"/>
  <c r="I242" i="1"/>
  <c r="I241" i="1"/>
  <c r="I240" i="1"/>
  <c r="I239" i="1"/>
  <c r="I258" i="1"/>
  <c r="I257" i="1"/>
  <c r="I238" i="1"/>
  <c r="I237" i="1"/>
  <c r="I234" i="1"/>
  <c r="I233" i="1"/>
  <c r="I232" i="1"/>
  <c r="I231" i="1"/>
  <c r="I230" i="1"/>
  <c r="I220" i="1"/>
  <c r="I211" i="1"/>
  <c r="I223" i="1"/>
  <c r="I222" i="1"/>
  <c r="I212" i="1"/>
  <c r="I225" i="1"/>
  <c r="M308" i="1"/>
  <c r="M307" i="1"/>
  <c r="M300" i="1"/>
  <c r="M291" i="1"/>
  <c r="M290" i="1"/>
  <c r="M280" i="1"/>
  <c r="M267" i="1"/>
  <c r="M265" i="1"/>
  <c r="M263" i="1"/>
  <c r="M277" i="1"/>
  <c r="M275" i="1"/>
  <c r="M268" i="1"/>
  <c r="M266" i="1"/>
  <c r="M264" i="1"/>
  <c r="M256" i="1"/>
  <c r="M255" i="1"/>
  <c r="M254" i="1"/>
  <c r="M253" i="1"/>
  <c r="M252" i="1"/>
  <c r="M251" i="1"/>
  <c r="M250" i="1"/>
  <c r="M246" i="1"/>
  <c r="M243" i="1"/>
  <c r="M242" i="1"/>
  <c r="M241" i="1"/>
  <c r="M240" i="1"/>
  <c r="M239" i="1"/>
  <c r="M238" i="1"/>
  <c r="M258" i="1"/>
  <c r="M257" i="1"/>
  <c r="M237" i="1"/>
  <c r="M234" i="1"/>
  <c r="M233" i="1"/>
  <c r="M232" i="1"/>
  <c r="M231" i="1"/>
  <c r="M230" i="1"/>
  <c r="M220" i="1"/>
  <c r="M211" i="1"/>
  <c r="M223" i="1"/>
  <c r="M222" i="1"/>
  <c r="M212" i="1"/>
  <c r="M225" i="1"/>
  <c r="Q308" i="1"/>
  <c r="Q307" i="1"/>
  <c r="Q300" i="1"/>
  <c r="Q291" i="1"/>
  <c r="Q290" i="1"/>
  <c r="Q280" i="1"/>
  <c r="Q267" i="1"/>
  <c r="Q265" i="1"/>
  <c r="Q263" i="1"/>
  <c r="Q277" i="1"/>
  <c r="Q275" i="1"/>
  <c r="Q268" i="1"/>
  <c r="Q266" i="1"/>
  <c r="Q264" i="1"/>
  <c r="Q256" i="1"/>
  <c r="Q255" i="1"/>
  <c r="Q254" i="1"/>
  <c r="Q253" i="1"/>
  <c r="Q252" i="1"/>
  <c r="Q251" i="1"/>
  <c r="Q250" i="1"/>
  <c r="Q246" i="1"/>
  <c r="Q243" i="1"/>
  <c r="Q242" i="1"/>
  <c r="Q241" i="1"/>
  <c r="Q240" i="1"/>
  <c r="Q239" i="1"/>
  <c r="Q238" i="1"/>
  <c r="Q258" i="1"/>
  <c r="Q257" i="1"/>
  <c r="Q237" i="1"/>
  <c r="Q234" i="1"/>
  <c r="Q233" i="1"/>
  <c r="Q232" i="1"/>
  <c r="Q231" i="1"/>
  <c r="Q230" i="1"/>
  <c r="Q220" i="1"/>
  <c r="Q211" i="1"/>
  <c r="Q223" i="1"/>
  <c r="Q222" i="1"/>
  <c r="Q212" i="1"/>
  <c r="Q225" i="1"/>
  <c r="U296" i="1"/>
  <c r="U308" i="1"/>
  <c r="U295" i="1"/>
  <c r="U307" i="1"/>
  <c r="U300" i="1"/>
  <c r="U297" i="1"/>
  <c r="U293" i="1"/>
  <c r="U291" i="1"/>
  <c r="U290" i="1"/>
  <c r="U289" i="1"/>
  <c r="U287" i="1"/>
  <c r="U294" i="1"/>
  <c r="U292" i="1"/>
  <c r="U286" i="1"/>
  <c r="U284" i="1"/>
  <c r="U280" i="1"/>
  <c r="U285" i="1"/>
  <c r="U288" i="1"/>
  <c r="U277" i="1"/>
  <c r="U267" i="1"/>
  <c r="U265" i="1"/>
  <c r="U263" i="1"/>
  <c r="U275" i="1"/>
  <c r="U268" i="1"/>
  <c r="U266" i="1"/>
  <c r="U264" i="1"/>
  <c r="U256" i="1"/>
  <c r="U255" i="1"/>
  <c r="U254" i="1"/>
  <c r="U253" i="1"/>
  <c r="U252" i="1"/>
  <c r="U251" i="1"/>
  <c r="U250" i="1"/>
  <c r="U246" i="1"/>
  <c r="U243" i="1"/>
  <c r="U242" i="1"/>
  <c r="U241" i="1"/>
  <c r="U240" i="1"/>
  <c r="U239" i="1"/>
  <c r="U238" i="1"/>
  <c r="U258" i="1"/>
  <c r="U257" i="1"/>
  <c r="U237" i="1"/>
  <c r="U234" i="1"/>
  <c r="U233" i="1"/>
  <c r="U232" i="1"/>
  <c r="U231" i="1"/>
  <c r="U230" i="1"/>
  <c r="U220" i="1"/>
  <c r="U211" i="1"/>
  <c r="U223" i="1"/>
  <c r="U222" i="1"/>
  <c r="U212" i="1"/>
  <c r="U225" i="1"/>
  <c r="Y296" i="1"/>
  <c r="Y308" i="1"/>
  <c r="Y295" i="1"/>
  <c r="Y307" i="1"/>
  <c r="Y300" i="1"/>
  <c r="Y297" i="1"/>
  <c r="Y293" i="1"/>
  <c r="Y291" i="1"/>
  <c r="Y290" i="1"/>
  <c r="Y289" i="1"/>
  <c r="Y287" i="1"/>
  <c r="Y294" i="1"/>
  <c r="Y292" i="1"/>
  <c r="Y286" i="1"/>
  <c r="Y284" i="1"/>
  <c r="Y288" i="1"/>
  <c r="Y280" i="1"/>
  <c r="Y285" i="1"/>
  <c r="Y277" i="1"/>
  <c r="Y267" i="1"/>
  <c r="Y265" i="1"/>
  <c r="Y263" i="1"/>
  <c r="Y275" i="1"/>
  <c r="Y268" i="1"/>
  <c r="Y266" i="1"/>
  <c r="Y264" i="1"/>
  <c r="Y256" i="1"/>
  <c r="Y255" i="1"/>
  <c r="Y254" i="1"/>
  <c r="Y253" i="1"/>
  <c r="Y252" i="1"/>
  <c r="Y251" i="1"/>
  <c r="Y250" i="1"/>
  <c r="Y246" i="1"/>
  <c r="Y243" i="1"/>
  <c r="Y242" i="1"/>
  <c r="Y241" i="1"/>
  <c r="Y240" i="1"/>
  <c r="Y239" i="1"/>
  <c r="Y238" i="1"/>
  <c r="Y258" i="1"/>
  <c r="Y257" i="1"/>
  <c r="Y237" i="1"/>
  <c r="Y234" i="1"/>
  <c r="Y233" i="1"/>
  <c r="Y232" i="1"/>
  <c r="Y231" i="1"/>
  <c r="Y230" i="1"/>
  <c r="Y220" i="1"/>
  <c r="Y211" i="1"/>
  <c r="Y223" i="1"/>
  <c r="Y222" i="1"/>
  <c r="Y212" i="1"/>
  <c r="Y225" i="1"/>
  <c r="AC296" i="1"/>
  <c r="AC308" i="1"/>
  <c r="AC295" i="1"/>
  <c r="AC307" i="1"/>
  <c r="AC300" i="1"/>
  <c r="AC297" i="1"/>
  <c r="AC293" i="1"/>
  <c r="AC291" i="1"/>
  <c r="AC290" i="1"/>
  <c r="AC289" i="1"/>
  <c r="AC287" i="1"/>
  <c r="AC292" i="1"/>
  <c r="AC286" i="1"/>
  <c r="AC284" i="1"/>
  <c r="AC294" i="1"/>
  <c r="AC280" i="1"/>
  <c r="AC285" i="1"/>
  <c r="AC288" i="1"/>
  <c r="AC277" i="1"/>
  <c r="AC267" i="1"/>
  <c r="AC265" i="1"/>
  <c r="AC263" i="1"/>
  <c r="AC275" i="1"/>
  <c r="AC268" i="1"/>
  <c r="AC266" i="1"/>
  <c r="AC264" i="1"/>
  <c r="AC256" i="1"/>
  <c r="AC255" i="1"/>
  <c r="AC254" i="1"/>
  <c r="AC253" i="1"/>
  <c r="AC252" i="1"/>
  <c r="AC251" i="1"/>
  <c r="AC250" i="1"/>
  <c r="AC246" i="1"/>
  <c r="AC243" i="1"/>
  <c r="AC242" i="1"/>
  <c r="AC241" i="1"/>
  <c r="AC240" i="1"/>
  <c r="AC239" i="1"/>
  <c r="AC238" i="1"/>
  <c r="AC258" i="1"/>
  <c r="AC257" i="1"/>
  <c r="AC237" i="1"/>
  <c r="AC234" i="1"/>
  <c r="AC233" i="1"/>
  <c r="AC232" i="1"/>
  <c r="AC231" i="1"/>
  <c r="AC230" i="1"/>
  <c r="AC220" i="1"/>
  <c r="AC211" i="1"/>
  <c r="AC223" i="1"/>
  <c r="AC222" i="1"/>
  <c r="AC212" i="1"/>
  <c r="AC225" i="1"/>
  <c r="AG296" i="1"/>
  <c r="AG308" i="1"/>
  <c r="AG295" i="1"/>
  <c r="AG307" i="1"/>
  <c r="AG300" i="1"/>
  <c r="AG297" i="1"/>
  <c r="AG293" i="1"/>
  <c r="AG294" i="1"/>
  <c r="AG291" i="1"/>
  <c r="AG290" i="1"/>
  <c r="AG289" i="1"/>
  <c r="AG287" i="1"/>
  <c r="AG292" i="1"/>
  <c r="AG305" i="1"/>
  <c r="AG286" i="1"/>
  <c r="AG284" i="1"/>
  <c r="AG288" i="1"/>
  <c r="AG280" i="1"/>
  <c r="AG285" i="1"/>
  <c r="AG306" i="1"/>
  <c r="AG277" i="1"/>
  <c r="AG267" i="1"/>
  <c r="AG265" i="1"/>
  <c r="AG263" i="1"/>
  <c r="AG258" i="1"/>
  <c r="AG275" i="1"/>
  <c r="AG268" i="1"/>
  <c r="AG266" i="1"/>
  <c r="AG264" i="1"/>
  <c r="AG256" i="1"/>
  <c r="AG255" i="1"/>
  <c r="AG254" i="1"/>
  <c r="AG253" i="1"/>
  <c r="AG252" i="1"/>
  <c r="AG251" i="1"/>
  <c r="AG250" i="1"/>
  <c r="AG246" i="1"/>
  <c r="AG243" i="1"/>
  <c r="AG242" i="1"/>
  <c r="AG241" i="1"/>
  <c r="AG240" i="1"/>
  <c r="AG239" i="1"/>
  <c r="AG238" i="1"/>
  <c r="AG257" i="1"/>
  <c r="AG237" i="1"/>
  <c r="AG234" i="1"/>
  <c r="AG233" i="1"/>
  <c r="AG232" i="1"/>
  <c r="AG231" i="1"/>
  <c r="AG230" i="1"/>
  <c r="AG220" i="1"/>
  <c r="AG211" i="1"/>
  <c r="AG223" i="1"/>
  <c r="AG222" i="1"/>
  <c r="AG212" i="1"/>
  <c r="AG225" i="1"/>
  <c r="AK304" i="1"/>
  <c r="AK296" i="1"/>
  <c r="AK308" i="1"/>
  <c r="AK295" i="1"/>
  <c r="AK309" i="1"/>
  <c r="AK307" i="1"/>
  <c r="AL302" i="1"/>
  <c r="AK300" i="1"/>
  <c r="AK297" i="1"/>
  <c r="AK303" i="1"/>
  <c r="AK293" i="1"/>
  <c r="AK291" i="1"/>
  <c r="AK290" i="1"/>
  <c r="AK289" i="1"/>
  <c r="AK287" i="1"/>
  <c r="AK306" i="1"/>
  <c r="AK305" i="1"/>
  <c r="AK292" i="1"/>
  <c r="AK294" i="1"/>
  <c r="AK286" i="1"/>
  <c r="AK284" i="1"/>
  <c r="AK275" i="1"/>
  <c r="AK280" i="1"/>
  <c r="AK285" i="1"/>
  <c r="AK278" i="1"/>
  <c r="AK288" i="1"/>
  <c r="AK277" i="1"/>
  <c r="AK267" i="1"/>
  <c r="AK265" i="1"/>
  <c r="AK263" i="1"/>
  <c r="AK258" i="1"/>
  <c r="AK260" i="1"/>
  <c r="AK268" i="1"/>
  <c r="AK266" i="1"/>
  <c r="AK264" i="1"/>
  <c r="AK256" i="1"/>
  <c r="AK255" i="1"/>
  <c r="AK254" i="1"/>
  <c r="AK253" i="1"/>
  <c r="AK252" i="1"/>
  <c r="AK251" i="1"/>
  <c r="AK250" i="1"/>
  <c r="AK246" i="1"/>
  <c r="AK243" i="1"/>
  <c r="AK242" i="1"/>
  <c r="AK241" i="1"/>
  <c r="AK240" i="1"/>
  <c r="AK239" i="1"/>
  <c r="AK238" i="1"/>
  <c r="AK257" i="1"/>
  <c r="AK237" i="1"/>
  <c r="AK234" i="1"/>
  <c r="AK233" i="1"/>
  <c r="AK232" i="1"/>
  <c r="AK231" i="1"/>
  <c r="AK230" i="1"/>
  <c r="AK214" i="1"/>
  <c r="AK211" i="1"/>
  <c r="AK223" i="1"/>
  <c r="AK222" i="1"/>
  <c r="AK212" i="1"/>
  <c r="AK225" i="1"/>
  <c r="AO304" i="1"/>
  <c r="AO296" i="1"/>
  <c r="AO308" i="1"/>
  <c r="AO295" i="1"/>
  <c r="AO309" i="1"/>
  <c r="AO307" i="1"/>
  <c r="AP302" i="1"/>
  <c r="AO300" i="1"/>
  <c r="AO297" i="1"/>
  <c r="AO293" i="1"/>
  <c r="AO306" i="1"/>
  <c r="AO305" i="1"/>
  <c r="AO294" i="1"/>
  <c r="AO291" i="1"/>
  <c r="AO290" i="1"/>
  <c r="AO289" i="1"/>
  <c r="AO287" i="1"/>
  <c r="AO292" i="1"/>
  <c r="AO303" i="1"/>
  <c r="AO286" i="1"/>
  <c r="AO284" i="1"/>
  <c r="AO275" i="1"/>
  <c r="AO288" i="1"/>
  <c r="AO280" i="1"/>
  <c r="AO285" i="1"/>
  <c r="AO278" i="1"/>
  <c r="AO279" i="1"/>
  <c r="AO277" i="1"/>
  <c r="AO267" i="1"/>
  <c r="AO265" i="1"/>
  <c r="AO263" i="1"/>
  <c r="AO258" i="1"/>
  <c r="AP269" i="1"/>
  <c r="AO260" i="1"/>
  <c r="AO268" i="1"/>
  <c r="AO266" i="1"/>
  <c r="AO264" i="1"/>
  <c r="AO256" i="1"/>
  <c r="AO255" i="1"/>
  <c r="AO254" i="1"/>
  <c r="AO253" i="1"/>
  <c r="AO252" i="1"/>
  <c r="AO251" i="1"/>
  <c r="AO250" i="1"/>
  <c r="AO246" i="1"/>
  <c r="AO243" i="1"/>
  <c r="AO242" i="1"/>
  <c r="AO241" i="1"/>
  <c r="AO240" i="1"/>
  <c r="AO239" i="1"/>
  <c r="AO238" i="1"/>
  <c r="AO257" i="1"/>
  <c r="AO237" i="1"/>
  <c r="AO234" i="1"/>
  <c r="AO233" i="1"/>
  <c r="AO232" i="1"/>
  <c r="AO231" i="1"/>
  <c r="AO230" i="1"/>
  <c r="AO220" i="1"/>
  <c r="AO214" i="1"/>
  <c r="AO211" i="1"/>
  <c r="AO223" i="1"/>
  <c r="AO222" i="1"/>
  <c r="AO212" i="1"/>
  <c r="AO210" i="1"/>
  <c r="AO225" i="1"/>
  <c r="AS304" i="1"/>
  <c r="AS296" i="1"/>
  <c r="AS308" i="1"/>
  <c r="AS295" i="1"/>
  <c r="AS309" i="1"/>
  <c r="AS307" i="1"/>
  <c r="AS300" i="1"/>
  <c r="AS297" i="1"/>
  <c r="AS306" i="1"/>
  <c r="AS305" i="1"/>
  <c r="AS293" i="1"/>
  <c r="AS291" i="1"/>
  <c r="AS290" i="1"/>
  <c r="AS289" i="1"/>
  <c r="AS287" i="1"/>
  <c r="AS303" i="1"/>
  <c r="AS301" i="1"/>
  <c r="AS292" i="1"/>
  <c r="AS286" i="1"/>
  <c r="AS284" i="1"/>
  <c r="AS275" i="1"/>
  <c r="AS280" i="1"/>
  <c r="AS285" i="1"/>
  <c r="AS278" i="1"/>
  <c r="AS294" i="1"/>
  <c r="AS288" i="1"/>
  <c r="AS279" i="1"/>
  <c r="AS277" i="1"/>
  <c r="AS270" i="1"/>
  <c r="AS267" i="1"/>
  <c r="AS265" i="1"/>
  <c r="AS263" i="1"/>
  <c r="AS258" i="1"/>
  <c r="AS260" i="1"/>
  <c r="AS269" i="1"/>
  <c r="AS268" i="1"/>
  <c r="AS266" i="1"/>
  <c r="AS264" i="1"/>
  <c r="AS256" i="1"/>
  <c r="AS255" i="1"/>
  <c r="AS254" i="1"/>
  <c r="AS253" i="1"/>
  <c r="AS252" i="1"/>
  <c r="AS251" i="1"/>
  <c r="AS250" i="1"/>
  <c r="AS246" i="1"/>
  <c r="AS243" i="1"/>
  <c r="AS242" i="1"/>
  <c r="AS241" i="1"/>
  <c r="AS240" i="1"/>
  <c r="AS239" i="1"/>
  <c r="AS238" i="1"/>
  <c r="AS257" i="1"/>
  <c r="AR246" i="1"/>
  <c r="AS237" i="1"/>
  <c r="AS234" i="1"/>
  <c r="AS233" i="1"/>
  <c r="AS232" i="1"/>
  <c r="AS231" i="1"/>
  <c r="AS230" i="1"/>
  <c r="AS220" i="1"/>
  <c r="AS214" i="1"/>
  <c r="AS211" i="1"/>
  <c r="AS223" i="1"/>
  <c r="AS222" i="1"/>
  <c r="AS212" i="1"/>
  <c r="AS210" i="1"/>
  <c r="AS225" i="1"/>
  <c r="AS213" i="1"/>
  <c r="G207" i="1"/>
  <c r="K207" i="1"/>
  <c r="O207" i="1"/>
  <c r="S207" i="1"/>
  <c r="AA207" i="1"/>
  <c r="AE207" i="1"/>
  <c r="AI207" i="1"/>
  <c r="AM207" i="1"/>
  <c r="AU207" i="1"/>
  <c r="G208" i="1"/>
  <c r="K208" i="1"/>
  <c r="O208" i="1"/>
  <c r="S208" i="1"/>
  <c r="W208" i="1"/>
  <c r="AA208" i="1"/>
  <c r="AE208" i="1"/>
  <c r="AI208" i="1"/>
  <c r="AM208" i="1"/>
  <c r="AQ208" i="1"/>
  <c r="AU208" i="1"/>
  <c r="F209" i="1"/>
  <c r="J209" i="1"/>
  <c r="N209" i="1"/>
  <c r="Y210" i="1"/>
  <c r="F308" i="1"/>
  <c r="F307" i="1"/>
  <c r="F300" i="1"/>
  <c r="F291" i="1"/>
  <c r="F280" i="1"/>
  <c r="F290" i="1"/>
  <c r="F277" i="1"/>
  <c r="F267" i="1"/>
  <c r="F265" i="1"/>
  <c r="F263" i="1"/>
  <c r="F275" i="1"/>
  <c r="F268" i="1"/>
  <c r="F266" i="1"/>
  <c r="F264" i="1"/>
  <c r="F256" i="1"/>
  <c r="F255" i="1"/>
  <c r="F254" i="1"/>
  <c r="F253" i="1"/>
  <c r="F252" i="1"/>
  <c r="F251" i="1"/>
  <c r="F250" i="1"/>
  <c r="F246" i="1"/>
  <c r="F243" i="1"/>
  <c r="F242" i="1"/>
  <c r="F241" i="1"/>
  <c r="F240" i="1"/>
  <c r="F239" i="1"/>
  <c r="F258" i="1"/>
  <c r="F257" i="1"/>
  <c r="F211" i="1"/>
  <c r="F223" i="1"/>
  <c r="F222" i="1"/>
  <c r="F212" i="1"/>
  <c r="F225" i="1"/>
  <c r="F238" i="1"/>
  <c r="F237" i="1"/>
  <c r="F234" i="1"/>
  <c r="F233" i="1"/>
  <c r="F232" i="1"/>
  <c r="F231" i="1"/>
  <c r="F230" i="1"/>
  <c r="F220" i="1"/>
  <c r="J308" i="1"/>
  <c r="J307" i="1"/>
  <c r="J300" i="1"/>
  <c r="J290" i="1"/>
  <c r="J280" i="1"/>
  <c r="J291" i="1"/>
  <c r="J277" i="1"/>
  <c r="J267" i="1"/>
  <c r="J265" i="1"/>
  <c r="J263" i="1"/>
  <c r="J275" i="1"/>
  <c r="J268" i="1"/>
  <c r="J266" i="1"/>
  <c r="J264" i="1"/>
  <c r="J256" i="1"/>
  <c r="J255" i="1"/>
  <c r="J254" i="1"/>
  <c r="J253" i="1"/>
  <c r="J252" i="1"/>
  <c r="J251" i="1"/>
  <c r="J250" i="1"/>
  <c r="J246" i="1"/>
  <c r="J243" i="1"/>
  <c r="J242" i="1"/>
  <c r="J241" i="1"/>
  <c r="J240" i="1"/>
  <c r="J239" i="1"/>
  <c r="J258" i="1"/>
  <c r="J257" i="1"/>
  <c r="J211" i="1"/>
  <c r="J223" i="1"/>
  <c r="J222" i="1"/>
  <c r="J212" i="1"/>
  <c r="J225" i="1"/>
  <c r="J238" i="1"/>
  <c r="J237" i="1"/>
  <c r="J234" i="1"/>
  <c r="J233" i="1"/>
  <c r="J232" i="1"/>
  <c r="J231" i="1"/>
  <c r="J230" i="1"/>
  <c r="J220" i="1"/>
  <c r="N308" i="1"/>
  <c r="N307" i="1"/>
  <c r="N300" i="1"/>
  <c r="N291" i="1"/>
  <c r="N280" i="1"/>
  <c r="N290" i="1"/>
  <c r="N277" i="1"/>
  <c r="N267" i="1"/>
  <c r="N265" i="1"/>
  <c r="N263" i="1"/>
  <c r="N275" i="1"/>
  <c r="N268" i="1"/>
  <c r="N266" i="1"/>
  <c r="N264" i="1"/>
  <c r="N256" i="1"/>
  <c r="N255" i="1"/>
  <c r="N254" i="1"/>
  <c r="N253" i="1"/>
  <c r="N252" i="1"/>
  <c r="N251" i="1"/>
  <c r="N250" i="1"/>
  <c r="N246" i="1"/>
  <c r="N243" i="1"/>
  <c r="N242" i="1"/>
  <c r="N241" i="1"/>
  <c r="N240" i="1"/>
  <c r="N239" i="1"/>
  <c r="N238" i="1"/>
  <c r="N258" i="1"/>
  <c r="N257" i="1"/>
  <c r="N211" i="1"/>
  <c r="N223" i="1"/>
  <c r="N222" i="1"/>
  <c r="N212" i="1"/>
  <c r="N225" i="1"/>
  <c r="N237" i="1"/>
  <c r="N234" i="1"/>
  <c r="N233" i="1"/>
  <c r="N232" i="1"/>
  <c r="N231" i="1"/>
  <c r="N230" i="1"/>
  <c r="N220" i="1"/>
  <c r="R308" i="1"/>
  <c r="R307" i="1"/>
  <c r="R300" i="1"/>
  <c r="R290" i="1"/>
  <c r="R280" i="1"/>
  <c r="R291" i="1"/>
  <c r="R277" i="1"/>
  <c r="R267" i="1"/>
  <c r="R265" i="1"/>
  <c r="R263" i="1"/>
  <c r="R275" i="1"/>
  <c r="R268" i="1"/>
  <c r="R266" i="1"/>
  <c r="R264" i="1"/>
  <c r="R256" i="1"/>
  <c r="R255" i="1"/>
  <c r="R254" i="1"/>
  <c r="R253" i="1"/>
  <c r="R252" i="1"/>
  <c r="R251" i="1"/>
  <c r="R250" i="1"/>
  <c r="R246" i="1"/>
  <c r="R243" i="1"/>
  <c r="R242" i="1"/>
  <c r="R241" i="1"/>
  <c r="R240" i="1"/>
  <c r="R239" i="1"/>
  <c r="R238" i="1"/>
  <c r="R258" i="1"/>
  <c r="R257" i="1"/>
  <c r="R211" i="1"/>
  <c r="R223" i="1"/>
  <c r="R222" i="1"/>
  <c r="R212" i="1"/>
  <c r="R210" i="1"/>
  <c r="R225" i="1"/>
  <c r="R237" i="1"/>
  <c r="R234" i="1"/>
  <c r="R233" i="1"/>
  <c r="R232" i="1"/>
  <c r="R231" i="1"/>
  <c r="R230" i="1"/>
  <c r="R220" i="1"/>
  <c r="V308" i="1"/>
  <c r="V307" i="1"/>
  <c r="V300" i="1"/>
  <c r="V297" i="1"/>
  <c r="V296" i="1"/>
  <c r="V295" i="1"/>
  <c r="V294" i="1"/>
  <c r="V292" i="1"/>
  <c r="V288" i="1"/>
  <c r="V291" i="1"/>
  <c r="V289" i="1"/>
  <c r="V280" i="1"/>
  <c r="V285" i="1"/>
  <c r="V293" i="1"/>
  <c r="V290" i="1"/>
  <c r="V287" i="1"/>
  <c r="V277" i="1"/>
  <c r="V286" i="1"/>
  <c r="V284" i="1"/>
  <c r="V267" i="1"/>
  <c r="V265" i="1"/>
  <c r="V263" i="1"/>
  <c r="V275" i="1"/>
  <c r="V268" i="1"/>
  <c r="V266" i="1"/>
  <c r="V264" i="1"/>
  <c r="V256" i="1"/>
  <c r="V255" i="1"/>
  <c r="V254" i="1"/>
  <c r="V253" i="1"/>
  <c r="V252" i="1"/>
  <c r="V251" i="1"/>
  <c r="V250" i="1"/>
  <c r="V246" i="1"/>
  <c r="V243" i="1"/>
  <c r="V242" i="1"/>
  <c r="V241" i="1"/>
  <c r="V240" i="1"/>
  <c r="V239" i="1"/>
  <c r="V238" i="1"/>
  <c r="V258" i="1"/>
  <c r="V257" i="1"/>
  <c r="V211" i="1"/>
  <c r="V223" i="1"/>
  <c r="V222" i="1"/>
  <c r="V212" i="1"/>
  <c r="V210" i="1"/>
  <c r="V225" i="1"/>
  <c r="V237" i="1"/>
  <c r="V234" i="1"/>
  <c r="V233" i="1"/>
  <c r="V232" i="1"/>
  <c r="V231" i="1"/>
  <c r="V230" i="1"/>
  <c r="V220" i="1"/>
  <c r="Z308" i="1"/>
  <c r="Z295" i="1"/>
  <c r="Z307" i="1"/>
  <c r="Z300" i="1"/>
  <c r="Z297" i="1"/>
  <c r="Z294" i="1"/>
  <c r="Z292" i="1"/>
  <c r="Z288" i="1"/>
  <c r="Z296" i="1"/>
  <c r="Z290" i="1"/>
  <c r="Z287" i="1"/>
  <c r="Z280" i="1"/>
  <c r="Z293" i="1"/>
  <c r="Z285" i="1"/>
  <c r="Z291" i="1"/>
  <c r="Z289" i="1"/>
  <c r="Z277" i="1"/>
  <c r="Z286" i="1"/>
  <c r="Z284" i="1"/>
  <c r="Z267" i="1"/>
  <c r="Z265" i="1"/>
  <c r="Z263" i="1"/>
  <c r="Z275" i="1"/>
  <c r="Z268" i="1"/>
  <c r="Z266" i="1"/>
  <c r="Z264" i="1"/>
  <c r="Z256" i="1"/>
  <c r="Z255" i="1"/>
  <c r="Z254" i="1"/>
  <c r="Z253" i="1"/>
  <c r="Z252" i="1"/>
  <c r="Z251" i="1"/>
  <c r="Z250" i="1"/>
  <c r="Z246" i="1"/>
  <c r="Z243" i="1"/>
  <c r="Z242" i="1"/>
  <c r="Z241" i="1"/>
  <c r="Z240" i="1"/>
  <c r="Z239" i="1"/>
  <c r="Z238" i="1"/>
  <c r="Z258" i="1"/>
  <c r="Z257" i="1"/>
  <c r="Z211" i="1"/>
  <c r="Z223" i="1"/>
  <c r="Z222" i="1"/>
  <c r="Z212" i="1"/>
  <c r="Z210" i="1"/>
  <c r="Z225" i="1"/>
  <c r="Z237" i="1"/>
  <c r="Z234" i="1"/>
  <c r="Z233" i="1"/>
  <c r="Z232" i="1"/>
  <c r="Z231" i="1"/>
  <c r="Z230" i="1"/>
  <c r="Z220" i="1"/>
  <c r="Z219" i="1"/>
  <c r="AD308" i="1"/>
  <c r="AD295" i="1"/>
  <c r="AD307" i="1"/>
  <c r="AD300" i="1"/>
  <c r="AD297" i="1"/>
  <c r="AD305" i="1"/>
  <c r="AD294" i="1"/>
  <c r="AD292" i="1"/>
  <c r="AD296" i="1"/>
  <c r="AD288" i="1"/>
  <c r="AD293" i="1"/>
  <c r="AD291" i="1"/>
  <c r="AD289" i="1"/>
  <c r="AD280" i="1"/>
  <c r="AD285" i="1"/>
  <c r="AD290" i="1"/>
  <c r="AD287" i="1"/>
  <c r="AD277" i="1"/>
  <c r="AD286" i="1"/>
  <c r="AD284" i="1"/>
  <c r="AD267" i="1"/>
  <c r="AD265" i="1"/>
  <c r="AD263" i="1"/>
  <c r="AD275" i="1"/>
  <c r="AD268" i="1"/>
  <c r="AD266" i="1"/>
  <c r="AD264" i="1"/>
  <c r="AD256" i="1"/>
  <c r="AD255" i="1"/>
  <c r="AD254" i="1"/>
  <c r="AD253" i="1"/>
  <c r="AD252" i="1"/>
  <c r="AD251" i="1"/>
  <c r="AD250" i="1"/>
  <c r="AD246" i="1"/>
  <c r="AD243" i="1"/>
  <c r="AD242" i="1"/>
  <c r="AD241" i="1"/>
  <c r="AD240" i="1"/>
  <c r="AD239" i="1"/>
  <c r="AD238" i="1"/>
  <c r="AD258" i="1"/>
  <c r="AD257" i="1"/>
  <c r="AD211" i="1"/>
  <c r="AD223" i="1"/>
  <c r="AD222" i="1"/>
  <c r="AD212" i="1"/>
  <c r="AD210" i="1"/>
  <c r="AD225" i="1"/>
  <c r="AD237" i="1"/>
  <c r="AD234" i="1"/>
  <c r="AD233" i="1"/>
  <c r="AD232" i="1"/>
  <c r="AD231" i="1"/>
  <c r="AD230" i="1"/>
  <c r="AD220" i="1"/>
  <c r="AH308" i="1"/>
  <c r="AH295" i="1"/>
  <c r="AH307" i="1"/>
  <c r="AH300" i="1"/>
  <c r="AH297" i="1"/>
  <c r="AH306" i="1"/>
  <c r="AH305" i="1"/>
  <c r="AH294" i="1"/>
  <c r="AH296" i="1"/>
  <c r="AH292" i="1"/>
  <c r="AH288" i="1"/>
  <c r="AH290" i="1"/>
  <c r="AH287" i="1"/>
  <c r="AH280" i="1"/>
  <c r="AH285" i="1"/>
  <c r="AH291" i="1"/>
  <c r="AH289" i="1"/>
  <c r="AH277" i="1"/>
  <c r="AH293" i="1"/>
  <c r="AH286" i="1"/>
  <c r="AH284" i="1"/>
  <c r="AH267" i="1"/>
  <c r="AH265" i="1"/>
  <c r="AH263" i="1"/>
  <c r="AH258" i="1"/>
  <c r="AH275" i="1"/>
  <c r="AH268" i="1"/>
  <c r="AH266" i="1"/>
  <c r="AH264" i="1"/>
  <c r="AH256" i="1"/>
  <c r="AH255" i="1"/>
  <c r="AH254" i="1"/>
  <c r="AH253" i="1"/>
  <c r="AH252" i="1"/>
  <c r="AH251" i="1"/>
  <c r="AH250" i="1"/>
  <c r="AH246" i="1"/>
  <c r="AH243" i="1"/>
  <c r="AH242" i="1"/>
  <c r="AH241" i="1"/>
  <c r="AH240" i="1"/>
  <c r="AH239" i="1"/>
  <c r="AH238" i="1"/>
  <c r="AH257" i="1"/>
  <c r="AH211" i="1"/>
  <c r="AH223" i="1"/>
  <c r="AH222" i="1"/>
  <c r="AH212" i="1"/>
  <c r="AH210" i="1"/>
  <c r="AH225" i="1"/>
  <c r="AH237" i="1"/>
  <c r="AH234" i="1"/>
  <c r="AH233" i="1"/>
  <c r="AH232" i="1"/>
  <c r="AH231" i="1"/>
  <c r="AH230" i="1"/>
  <c r="AH220" i="1"/>
  <c r="AH219" i="1"/>
  <c r="AL308" i="1"/>
  <c r="AL295" i="1"/>
  <c r="AL309" i="1"/>
  <c r="AL307" i="1"/>
  <c r="AM302" i="1"/>
  <c r="AL300" i="1"/>
  <c r="AL297" i="1"/>
  <c r="AL306" i="1"/>
  <c r="AL305" i="1"/>
  <c r="AL303" i="1"/>
  <c r="AL294" i="1"/>
  <c r="AL304" i="1"/>
  <c r="AL296" i="1"/>
  <c r="AL292" i="1"/>
  <c r="AL288" i="1"/>
  <c r="AL291" i="1"/>
  <c r="AL289" i="1"/>
  <c r="AL280" i="1"/>
  <c r="AL285" i="1"/>
  <c r="AL278" i="1"/>
  <c r="AL293" i="1"/>
  <c r="AL290" i="1"/>
  <c r="AL287" i="1"/>
  <c r="AL277" i="1"/>
  <c r="AL286" i="1"/>
  <c r="AL284" i="1"/>
  <c r="AL267" i="1"/>
  <c r="AL265" i="1"/>
  <c r="AL263" i="1"/>
  <c r="AL258" i="1"/>
  <c r="AL275" i="1"/>
  <c r="AL260" i="1"/>
  <c r="AL268" i="1"/>
  <c r="AL266" i="1"/>
  <c r="AL264" i="1"/>
  <c r="AL256" i="1"/>
  <c r="AL255" i="1"/>
  <c r="AL254" i="1"/>
  <c r="AL253" i="1"/>
  <c r="AL252" i="1"/>
  <c r="AL251" i="1"/>
  <c r="AL250" i="1"/>
  <c r="AL246" i="1"/>
  <c r="AL243" i="1"/>
  <c r="AL242" i="1"/>
  <c r="AL241" i="1"/>
  <c r="AL240" i="1"/>
  <c r="AL239" i="1"/>
  <c r="AL238" i="1"/>
  <c r="AL257" i="1"/>
  <c r="AL211" i="1"/>
  <c r="AL223" i="1"/>
  <c r="AL222" i="1"/>
  <c r="AL212" i="1"/>
  <c r="AL210" i="1"/>
  <c r="AL225" i="1"/>
  <c r="AL237" i="1"/>
  <c r="AL234" i="1"/>
  <c r="AL233" i="1"/>
  <c r="AL232" i="1"/>
  <c r="AL231" i="1"/>
  <c r="AL230" i="1"/>
  <c r="AL220" i="1"/>
  <c r="AL214" i="1"/>
  <c r="AP308" i="1"/>
  <c r="AP295" i="1"/>
  <c r="AP309" i="1"/>
  <c r="AP307" i="1"/>
  <c r="AQ302" i="1"/>
  <c r="AP300" i="1"/>
  <c r="AP297" i="1"/>
  <c r="AP306" i="1"/>
  <c r="AP305" i="1"/>
  <c r="AP303" i="1"/>
  <c r="AP301" i="1"/>
  <c r="AP294" i="1"/>
  <c r="AP292" i="1"/>
  <c r="AP288" i="1"/>
  <c r="AP290" i="1"/>
  <c r="AP287" i="1"/>
  <c r="AP280" i="1"/>
  <c r="AP293" i="1"/>
  <c r="AP285" i="1"/>
  <c r="AP278" i="1"/>
  <c r="AP304" i="1"/>
  <c r="AP291" i="1"/>
  <c r="AP289" i="1"/>
  <c r="AP279" i="1"/>
  <c r="AP277" i="1"/>
  <c r="AP296" i="1"/>
  <c r="AP286" i="1"/>
  <c r="AP284" i="1"/>
  <c r="AP275" i="1"/>
  <c r="AP267" i="1"/>
  <c r="AP265" i="1"/>
  <c r="AP263" i="1"/>
  <c r="AP258" i="1"/>
  <c r="AQ269" i="1"/>
  <c r="AP260" i="1"/>
  <c r="AP268" i="1"/>
  <c r="AP266" i="1"/>
  <c r="AP264" i="1"/>
  <c r="AP256" i="1"/>
  <c r="AP255" i="1"/>
  <c r="AP254" i="1"/>
  <c r="AP253" i="1"/>
  <c r="AP252" i="1"/>
  <c r="AP251" i="1"/>
  <c r="AP250" i="1"/>
  <c r="AP246" i="1"/>
  <c r="AP243" i="1"/>
  <c r="AP242" i="1"/>
  <c r="AP241" i="1"/>
  <c r="AP240" i="1"/>
  <c r="AP239" i="1"/>
  <c r="AP238" i="1"/>
  <c r="AP257" i="1"/>
  <c r="AP211" i="1"/>
  <c r="AP223" i="1"/>
  <c r="AP222" i="1"/>
  <c r="AP212" i="1"/>
  <c r="AP210" i="1"/>
  <c r="AP225" i="1"/>
  <c r="AP237" i="1"/>
  <c r="AP234" i="1"/>
  <c r="AP233" i="1"/>
  <c r="AP232" i="1"/>
  <c r="AP231" i="1"/>
  <c r="AP230" i="1"/>
  <c r="AP220" i="1"/>
  <c r="AP214" i="1"/>
  <c r="AT308" i="1"/>
  <c r="AT295" i="1"/>
  <c r="AT309" i="1"/>
  <c r="AT307" i="1"/>
  <c r="AT300" i="1"/>
  <c r="AT297" i="1"/>
  <c r="AT306" i="1"/>
  <c r="AT305" i="1"/>
  <c r="AT303" i="1"/>
  <c r="AT302" i="1"/>
  <c r="AT301" i="1"/>
  <c r="AT294" i="1"/>
  <c r="AT292" i="1"/>
  <c r="AT304" i="1"/>
  <c r="AT296" i="1"/>
  <c r="AT288" i="1"/>
  <c r="AT293" i="1"/>
  <c r="AT291" i="1"/>
  <c r="AT289" i="1"/>
  <c r="AT280" i="1"/>
  <c r="AT285" i="1"/>
  <c r="AT290" i="1"/>
  <c r="AT287" i="1"/>
  <c r="AT277" i="1"/>
  <c r="AT286" i="1"/>
  <c r="AT284" i="1"/>
  <c r="AT267" i="1"/>
  <c r="AT265" i="1"/>
  <c r="AT263" i="1"/>
  <c r="AT258" i="1"/>
  <c r="AT260" i="1"/>
  <c r="AT269" i="1"/>
  <c r="AT268" i="1"/>
  <c r="AT266" i="1"/>
  <c r="AT264" i="1"/>
  <c r="AT275" i="1"/>
  <c r="AT270" i="1"/>
  <c r="AT256" i="1"/>
  <c r="AT255" i="1"/>
  <c r="AT254" i="1"/>
  <c r="AT253" i="1"/>
  <c r="AT252" i="1"/>
  <c r="AT251" i="1"/>
  <c r="AT250" i="1"/>
  <c r="AT246" i="1"/>
  <c r="AT243" i="1"/>
  <c r="AT242" i="1"/>
  <c r="AT241" i="1"/>
  <c r="AT240" i="1"/>
  <c r="AT239" i="1"/>
  <c r="AT238" i="1"/>
  <c r="AT257" i="1"/>
  <c r="AT211" i="1"/>
  <c r="AT223" i="1"/>
  <c r="AT222" i="1"/>
  <c r="AT212" i="1"/>
  <c r="AT210" i="1"/>
  <c r="AT225" i="1"/>
  <c r="AT213" i="1"/>
  <c r="AT237" i="1"/>
  <c r="AT234" i="1"/>
  <c r="AT233" i="1"/>
  <c r="AT232" i="1"/>
  <c r="AT231" i="1"/>
  <c r="AT230" i="1"/>
  <c r="AT220" i="1"/>
  <c r="AT214" i="1"/>
  <c r="H207" i="1"/>
  <c r="L207" i="1"/>
  <c r="P207" i="1"/>
  <c r="T207" i="1"/>
  <c r="X207" i="1"/>
  <c r="AB207" i="1"/>
  <c r="AF207" i="1"/>
  <c r="AJ207" i="1"/>
  <c r="AN207" i="1"/>
  <c r="AR207" i="1"/>
  <c r="H208" i="1"/>
  <c r="L208" i="1"/>
  <c r="P208" i="1"/>
  <c r="T208" i="1"/>
  <c r="X208" i="1"/>
  <c r="AB208" i="1"/>
  <c r="AF208" i="1"/>
  <c r="AJ208" i="1"/>
  <c r="AN208" i="1"/>
  <c r="AR208" i="1"/>
  <c r="G209" i="1"/>
  <c r="K209" i="1"/>
  <c r="O209" i="1"/>
  <c r="AC210" i="1"/>
  <c r="G307" i="1"/>
  <c r="G300" i="1"/>
  <c r="G308" i="1"/>
  <c r="G290" i="1"/>
  <c r="G277" i="1"/>
  <c r="G291" i="1"/>
  <c r="G280" i="1"/>
  <c r="G275" i="1"/>
  <c r="G268" i="1"/>
  <c r="G266" i="1"/>
  <c r="G264" i="1"/>
  <c r="G267" i="1"/>
  <c r="G265" i="1"/>
  <c r="G263" i="1"/>
  <c r="G256" i="1"/>
  <c r="G255" i="1"/>
  <c r="G254" i="1"/>
  <c r="G253" i="1"/>
  <c r="G252" i="1"/>
  <c r="G251" i="1"/>
  <c r="G250" i="1"/>
  <c r="G246" i="1"/>
  <c r="G243" i="1"/>
  <c r="G242" i="1"/>
  <c r="G241" i="1"/>
  <c r="G240" i="1"/>
  <c r="G239" i="1"/>
  <c r="G258" i="1"/>
  <c r="G257" i="1"/>
  <c r="G223" i="1"/>
  <c r="G222" i="1"/>
  <c r="G212" i="1"/>
  <c r="G225" i="1"/>
  <c r="G238" i="1"/>
  <c r="G237" i="1"/>
  <c r="G234" i="1"/>
  <c r="G233" i="1"/>
  <c r="G232" i="1"/>
  <c r="G231" i="1"/>
  <c r="G230" i="1"/>
  <c r="G220" i="1"/>
  <c r="G211" i="1"/>
  <c r="K307" i="1"/>
  <c r="K300" i="1"/>
  <c r="K308" i="1"/>
  <c r="K291" i="1"/>
  <c r="K277" i="1"/>
  <c r="K290" i="1"/>
  <c r="K280" i="1"/>
  <c r="K275" i="1"/>
  <c r="K268" i="1"/>
  <c r="K266" i="1"/>
  <c r="K264" i="1"/>
  <c r="K267" i="1"/>
  <c r="K265" i="1"/>
  <c r="K263" i="1"/>
  <c r="K256" i="1"/>
  <c r="K255" i="1"/>
  <c r="K254" i="1"/>
  <c r="K253" i="1"/>
  <c r="K252" i="1"/>
  <c r="K251" i="1"/>
  <c r="K250" i="1"/>
  <c r="K246" i="1"/>
  <c r="K243" i="1"/>
  <c r="K242" i="1"/>
  <c r="K241" i="1"/>
  <c r="K240" i="1"/>
  <c r="K239" i="1"/>
  <c r="K258" i="1"/>
  <c r="K257" i="1"/>
  <c r="K223" i="1"/>
  <c r="K222" i="1"/>
  <c r="K212" i="1"/>
  <c r="K225" i="1"/>
  <c r="K238" i="1"/>
  <c r="K237" i="1"/>
  <c r="K234" i="1"/>
  <c r="K233" i="1"/>
  <c r="K232" i="1"/>
  <c r="K231" i="1"/>
  <c r="K230" i="1"/>
  <c r="K220" i="1"/>
  <c r="K211" i="1"/>
  <c r="O307" i="1"/>
  <c r="O300" i="1"/>
  <c r="O308" i="1"/>
  <c r="O290" i="1"/>
  <c r="O277" i="1"/>
  <c r="O291" i="1"/>
  <c r="O280" i="1"/>
  <c r="O275" i="1"/>
  <c r="O268" i="1"/>
  <c r="O266" i="1"/>
  <c r="O264" i="1"/>
  <c r="O267" i="1"/>
  <c r="O265" i="1"/>
  <c r="O263" i="1"/>
  <c r="O256" i="1"/>
  <c r="O255" i="1"/>
  <c r="O254" i="1"/>
  <c r="O253" i="1"/>
  <c r="O252" i="1"/>
  <c r="O251" i="1"/>
  <c r="O250" i="1"/>
  <c r="O246" i="1"/>
  <c r="O243" i="1"/>
  <c r="O242" i="1"/>
  <c r="O241" i="1"/>
  <c r="O240" i="1"/>
  <c r="O239" i="1"/>
  <c r="O258" i="1"/>
  <c r="O257" i="1"/>
  <c r="O238" i="1"/>
  <c r="O223" i="1"/>
  <c r="O222" i="1"/>
  <c r="O212" i="1"/>
  <c r="O225" i="1"/>
  <c r="O237" i="1"/>
  <c r="O234" i="1"/>
  <c r="O233" i="1"/>
  <c r="O232" i="1"/>
  <c r="O231" i="1"/>
  <c r="O230" i="1"/>
  <c r="O220" i="1"/>
  <c r="O219" i="1"/>
  <c r="O211" i="1"/>
  <c r="S307" i="1"/>
  <c r="S300" i="1"/>
  <c r="S297" i="1"/>
  <c r="S296" i="1"/>
  <c r="S294" i="1"/>
  <c r="S295" i="1"/>
  <c r="S288" i="1"/>
  <c r="S293" i="1"/>
  <c r="S287" i="1"/>
  <c r="S285" i="1"/>
  <c r="S292" i="1"/>
  <c r="S291" i="1"/>
  <c r="S289" i="1"/>
  <c r="S277" i="1"/>
  <c r="S308" i="1"/>
  <c r="S286" i="1"/>
  <c r="S284" i="1"/>
  <c r="S290" i="1"/>
  <c r="S280" i="1"/>
  <c r="S275" i="1"/>
  <c r="S268" i="1"/>
  <c r="S266" i="1"/>
  <c r="S264" i="1"/>
  <c r="S267" i="1"/>
  <c r="S265" i="1"/>
  <c r="S263" i="1"/>
  <c r="S256" i="1"/>
  <c r="S255" i="1"/>
  <c r="S254" i="1"/>
  <c r="S253" i="1"/>
  <c r="S252" i="1"/>
  <c r="S251" i="1"/>
  <c r="S250" i="1"/>
  <c r="S246" i="1"/>
  <c r="S243" i="1"/>
  <c r="S242" i="1"/>
  <c r="S241" i="1"/>
  <c r="S240" i="1"/>
  <c r="S239" i="1"/>
  <c r="S258" i="1"/>
  <c r="S257" i="1"/>
  <c r="S223" i="1"/>
  <c r="S222" i="1"/>
  <c r="S212" i="1"/>
  <c r="S210" i="1"/>
  <c r="S225" i="1"/>
  <c r="S237" i="1"/>
  <c r="S234" i="1"/>
  <c r="S233" i="1"/>
  <c r="S232" i="1"/>
  <c r="S231" i="1"/>
  <c r="S230" i="1"/>
  <c r="S220" i="1"/>
  <c r="S219" i="1"/>
  <c r="S238" i="1"/>
  <c r="S211" i="1"/>
  <c r="W307" i="1"/>
  <c r="W300" i="1"/>
  <c r="W297" i="1"/>
  <c r="W296" i="1"/>
  <c r="W294" i="1"/>
  <c r="W288" i="1"/>
  <c r="W308" i="1"/>
  <c r="W293" i="1"/>
  <c r="W285" i="1"/>
  <c r="W290" i="1"/>
  <c r="W287" i="1"/>
  <c r="W277" i="1"/>
  <c r="W295" i="1"/>
  <c r="W286" i="1"/>
  <c r="W284" i="1"/>
  <c r="W292" i="1"/>
  <c r="W291" i="1"/>
  <c r="W289" i="1"/>
  <c r="W280" i="1"/>
  <c r="W275" i="1"/>
  <c r="W268" i="1"/>
  <c r="W266" i="1"/>
  <c r="W264" i="1"/>
  <c r="W267" i="1"/>
  <c r="W265" i="1"/>
  <c r="W263" i="1"/>
  <c r="W256" i="1"/>
  <c r="W255" i="1"/>
  <c r="W254" i="1"/>
  <c r="W253" i="1"/>
  <c r="W252" i="1"/>
  <c r="W251" i="1"/>
  <c r="W250" i="1"/>
  <c r="W246" i="1"/>
  <c r="W243" i="1"/>
  <c r="W242" i="1"/>
  <c r="W241" i="1"/>
  <c r="W240" i="1"/>
  <c r="W239" i="1"/>
  <c r="W238" i="1"/>
  <c r="W258" i="1"/>
  <c r="W257" i="1"/>
  <c r="W223" i="1"/>
  <c r="W222" i="1"/>
  <c r="W212" i="1"/>
  <c r="W210" i="1"/>
  <c r="W225" i="1"/>
  <c r="W237" i="1"/>
  <c r="W234" i="1"/>
  <c r="W233" i="1"/>
  <c r="W232" i="1"/>
  <c r="W231" i="1"/>
  <c r="W230" i="1"/>
  <c r="W220" i="1"/>
  <c r="W211" i="1"/>
  <c r="AA307" i="1"/>
  <c r="AA300" i="1"/>
  <c r="AA297" i="1"/>
  <c r="AA296" i="1"/>
  <c r="AA308" i="1"/>
  <c r="AA294" i="1"/>
  <c r="AA288" i="1"/>
  <c r="AA295" i="1"/>
  <c r="AA293" i="1"/>
  <c r="AA285" i="1"/>
  <c r="AA292" i="1"/>
  <c r="AA291" i="1"/>
  <c r="AA289" i="1"/>
  <c r="AA277" i="1"/>
  <c r="AA286" i="1"/>
  <c r="AA284" i="1"/>
  <c r="AA290" i="1"/>
  <c r="AA287" i="1"/>
  <c r="AA280" i="1"/>
  <c r="AA275" i="1"/>
  <c r="AA268" i="1"/>
  <c r="AA266" i="1"/>
  <c r="AA264" i="1"/>
  <c r="AA267" i="1"/>
  <c r="AA265" i="1"/>
  <c r="AA263" i="1"/>
  <c r="AA256" i="1"/>
  <c r="AA255" i="1"/>
  <c r="AA254" i="1"/>
  <c r="AA253" i="1"/>
  <c r="AA252" i="1"/>
  <c r="AA251" i="1"/>
  <c r="AA250" i="1"/>
  <c r="AA246" i="1"/>
  <c r="AA243" i="1"/>
  <c r="AA242" i="1"/>
  <c r="AA241" i="1"/>
  <c r="AA240" i="1"/>
  <c r="AA239" i="1"/>
  <c r="AA238" i="1"/>
  <c r="AA258" i="1"/>
  <c r="AA257" i="1"/>
  <c r="AA223" i="1"/>
  <c r="AA222" i="1"/>
  <c r="AA212" i="1"/>
  <c r="AA210" i="1"/>
  <c r="AA225" i="1"/>
  <c r="AA237" i="1"/>
  <c r="AA234" i="1"/>
  <c r="AA233" i="1"/>
  <c r="AA232" i="1"/>
  <c r="AA231" i="1"/>
  <c r="AA230" i="1"/>
  <c r="AA220" i="1"/>
  <c r="AA211" i="1"/>
  <c r="AE307" i="1"/>
  <c r="AE300" i="1"/>
  <c r="AE297" i="1"/>
  <c r="AE305" i="1"/>
  <c r="AE294" i="1"/>
  <c r="AE296" i="1"/>
  <c r="AE308" i="1"/>
  <c r="AE295" i="1"/>
  <c r="AE288" i="1"/>
  <c r="AE293" i="1"/>
  <c r="AE285" i="1"/>
  <c r="AE290" i="1"/>
  <c r="AE287" i="1"/>
  <c r="AE277" i="1"/>
  <c r="AE286" i="1"/>
  <c r="AE284" i="1"/>
  <c r="AE292" i="1"/>
  <c r="AE291" i="1"/>
  <c r="AE289" i="1"/>
  <c r="AE280" i="1"/>
  <c r="AE275" i="1"/>
  <c r="AE268" i="1"/>
  <c r="AE266" i="1"/>
  <c r="AE264" i="1"/>
  <c r="AE267" i="1"/>
  <c r="AE265" i="1"/>
  <c r="AE263" i="1"/>
  <c r="AE256" i="1"/>
  <c r="AE255" i="1"/>
  <c r="AE254" i="1"/>
  <c r="AE253" i="1"/>
  <c r="AE252" i="1"/>
  <c r="AE251" i="1"/>
  <c r="AE250" i="1"/>
  <c r="AE246" i="1"/>
  <c r="AE243" i="1"/>
  <c r="AE242" i="1"/>
  <c r="AE241" i="1"/>
  <c r="AE240" i="1"/>
  <c r="AE239" i="1"/>
  <c r="AE238" i="1"/>
  <c r="AE258" i="1"/>
  <c r="AE257" i="1"/>
  <c r="AE223" i="1"/>
  <c r="AE222" i="1"/>
  <c r="AE212" i="1"/>
  <c r="AE210" i="1"/>
  <c r="AE225" i="1"/>
  <c r="AE237" i="1"/>
  <c r="AE234" i="1"/>
  <c r="AE233" i="1"/>
  <c r="AE232" i="1"/>
  <c r="AE231" i="1"/>
  <c r="AE230" i="1"/>
  <c r="AE220" i="1"/>
  <c r="AE211" i="1"/>
  <c r="AI309" i="1"/>
  <c r="AI307" i="1"/>
  <c r="AI300" i="1"/>
  <c r="AI297" i="1"/>
  <c r="AI306" i="1"/>
  <c r="AI305" i="1"/>
  <c r="AI303" i="1"/>
  <c r="AI294" i="1"/>
  <c r="AI304" i="1"/>
  <c r="AI296" i="1"/>
  <c r="AI295" i="1"/>
  <c r="AI288" i="1"/>
  <c r="AI293" i="1"/>
  <c r="AI285" i="1"/>
  <c r="AI308" i="1"/>
  <c r="AI292" i="1"/>
  <c r="AI291" i="1"/>
  <c r="AI289" i="1"/>
  <c r="AI277" i="1"/>
  <c r="AI286" i="1"/>
  <c r="AI284" i="1"/>
  <c r="AI275" i="1"/>
  <c r="AI290" i="1"/>
  <c r="AI287" i="1"/>
  <c r="AI280" i="1"/>
  <c r="AI260" i="1"/>
  <c r="AI268" i="1"/>
  <c r="AI266" i="1"/>
  <c r="AI264" i="1"/>
  <c r="AI267" i="1"/>
  <c r="AI265" i="1"/>
  <c r="AI263" i="1"/>
  <c r="AI256" i="1"/>
  <c r="AI255" i="1"/>
  <c r="AI254" i="1"/>
  <c r="AI253" i="1"/>
  <c r="AI252" i="1"/>
  <c r="AI251" i="1"/>
  <c r="AI250" i="1"/>
  <c r="AI246" i="1"/>
  <c r="AI243" i="1"/>
  <c r="AI242" i="1"/>
  <c r="AI241" i="1"/>
  <c r="AI240" i="1"/>
  <c r="AI239" i="1"/>
  <c r="AI238" i="1"/>
  <c r="AI257" i="1"/>
  <c r="AI258" i="1"/>
  <c r="AI223" i="1"/>
  <c r="AI222" i="1"/>
  <c r="AI212" i="1"/>
  <c r="AI210" i="1"/>
  <c r="AI225" i="1"/>
  <c r="AI237" i="1"/>
  <c r="AI234" i="1"/>
  <c r="AI233" i="1"/>
  <c r="AI232" i="1"/>
  <c r="AI231" i="1"/>
  <c r="AI230" i="1"/>
  <c r="AI220" i="1"/>
  <c r="AM309" i="1"/>
  <c r="AM307" i="1"/>
  <c r="AN302" i="1"/>
  <c r="AM300" i="1"/>
  <c r="AM297" i="1"/>
  <c r="AM306" i="1"/>
  <c r="AM305" i="1"/>
  <c r="AM303" i="1"/>
  <c r="AM294" i="1"/>
  <c r="AM304" i="1"/>
  <c r="AM296" i="1"/>
  <c r="AM288" i="1"/>
  <c r="AM308" i="1"/>
  <c r="AM293" i="1"/>
  <c r="AM285" i="1"/>
  <c r="AM278" i="1"/>
  <c r="AM295" i="1"/>
  <c r="AM290" i="1"/>
  <c r="AM287" i="1"/>
  <c r="AM277" i="1"/>
  <c r="AM286" i="1"/>
  <c r="AM284" i="1"/>
  <c r="AM275" i="1"/>
  <c r="AM292" i="1"/>
  <c r="AM291" i="1"/>
  <c r="AM289" i="1"/>
  <c r="AM280" i="1"/>
  <c r="AM260" i="1"/>
  <c r="AM268" i="1"/>
  <c r="AM266" i="1"/>
  <c r="AM264" i="1"/>
  <c r="AM267" i="1"/>
  <c r="AM265" i="1"/>
  <c r="AM263" i="1"/>
  <c r="AM258" i="1"/>
  <c r="AM256" i="1"/>
  <c r="AM255" i="1"/>
  <c r="AM254" i="1"/>
  <c r="AM253" i="1"/>
  <c r="AM252" i="1"/>
  <c r="AM251" i="1"/>
  <c r="AM250" i="1"/>
  <c r="AM246" i="1"/>
  <c r="AM243" i="1"/>
  <c r="AM242" i="1"/>
  <c r="AM241" i="1"/>
  <c r="AM240" i="1"/>
  <c r="AM239" i="1"/>
  <c r="AM238" i="1"/>
  <c r="AM257" i="1"/>
  <c r="AM223" i="1"/>
  <c r="AM222" i="1"/>
  <c r="AM212" i="1"/>
  <c r="AM210" i="1"/>
  <c r="AM225" i="1"/>
  <c r="AM237" i="1"/>
  <c r="AM234" i="1"/>
  <c r="AM233" i="1"/>
  <c r="AM232" i="1"/>
  <c r="AM231" i="1"/>
  <c r="AM230" i="1"/>
  <c r="AM220" i="1"/>
  <c r="AM214" i="1"/>
  <c r="AM211" i="1"/>
  <c r="AQ309" i="1"/>
  <c r="AQ307" i="1"/>
  <c r="AR302" i="1"/>
  <c r="AQ300" i="1"/>
  <c r="AQ297" i="1"/>
  <c r="AQ306" i="1"/>
  <c r="AQ305" i="1"/>
  <c r="AQ303" i="1"/>
  <c r="AQ301" i="1"/>
  <c r="AQ294" i="1"/>
  <c r="AQ304" i="1"/>
  <c r="AQ296" i="1"/>
  <c r="AQ308" i="1"/>
  <c r="AQ288" i="1"/>
  <c r="AQ295" i="1"/>
  <c r="AQ293" i="1"/>
  <c r="AQ285" i="1"/>
  <c r="AQ278" i="1"/>
  <c r="AQ292" i="1"/>
  <c r="AQ291" i="1"/>
  <c r="AQ289" i="1"/>
  <c r="AQ279" i="1"/>
  <c r="AQ277" i="1"/>
  <c r="AQ286" i="1"/>
  <c r="AQ284" i="1"/>
  <c r="AQ275" i="1"/>
  <c r="AQ290" i="1"/>
  <c r="AQ287" i="1"/>
  <c r="AQ280" i="1"/>
  <c r="AR269" i="1"/>
  <c r="AQ260" i="1"/>
  <c r="AQ268" i="1"/>
  <c r="AQ266" i="1"/>
  <c r="AQ264" i="1"/>
  <c r="AQ267" i="1"/>
  <c r="AQ265" i="1"/>
  <c r="AQ263" i="1"/>
  <c r="AQ258" i="1"/>
  <c r="AQ256" i="1"/>
  <c r="AQ255" i="1"/>
  <c r="AQ254" i="1"/>
  <c r="AQ253" i="1"/>
  <c r="AQ252" i="1"/>
  <c r="AQ251" i="1"/>
  <c r="AQ250" i="1"/>
  <c r="AQ243" i="1"/>
  <c r="AQ242" i="1"/>
  <c r="AQ241" i="1"/>
  <c r="AQ240" i="1"/>
  <c r="AQ239" i="1"/>
  <c r="AQ238" i="1"/>
  <c r="AQ257" i="1"/>
  <c r="AQ223" i="1"/>
  <c r="AQ222" i="1"/>
  <c r="AQ212" i="1"/>
  <c r="AQ210" i="1"/>
  <c r="AQ225" i="1"/>
  <c r="AQ237" i="1"/>
  <c r="AQ234" i="1"/>
  <c r="AQ233" i="1"/>
  <c r="AQ232" i="1"/>
  <c r="AQ231" i="1"/>
  <c r="AQ230" i="1"/>
  <c r="AQ220" i="1"/>
  <c r="AQ214" i="1"/>
  <c r="AQ211" i="1"/>
  <c r="AU309" i="1"/>
  <c r="AU307" i="1"/>
  <c r="AU300" i="1"/>
  <c r="AU297" i="1"/>
  <c r="AU306" i="1"/>
  <c r="AU305" i="1"/>
  <c r="AU303" i="1"/>
  <c r="AU302" i="1"/>
  <c r="AU301" i="1"/>
  <c r="AU294" i="1"/>
  <c r="AU304" i="1"/>
  <c r="AU296" i="1"/>
  <c r="AU308" i="1"/>
  <c r="AU292" i="1"/>
  <c r="AU295" i="1"/>
  <c r="AU288" i="1"/>
  <c r="AU293" i="1"/>
  <c r="AU285" i="1"/>
  <c r="AU290" i="1"/>
  <c r="AU287" i="1"/>
  <c r="AU277" i="1"/>
  <c r="AU286" i="1"/>
  <c r="AU284" i="1"/>
  <c r="AU275" i="1"/>
  <c r="AU291" i="1"/>
  <c r="AU289" i="1"/>
  <c r="AU280" i="1"/>
  <c r="AU260" i="1"/>
  <c r="AU269" i="1"/>
  <c r="AU268" i="1"/>
  <c r="AU266" i="1"/>
  <c r="AU264" i="1"/>
  <c r="AU270" i="1"/>
  <c r="AU267" i="1"/>
  <c r="AU265" i="1"/>
  <c r="AU263" i="1"/>
  <c r="AU258" i="1"/>
  <c r="AU256" i="1"/>
  <c r="AU255" i="1"/>
  <c r="AU254" i="1"/>
  <c r="AU253" i="1"/>
  <c r="AU252" i="1"/>
  <c r="AU251" i="1"/>
  <c r="AU250" i="1"/>
  <c r="AU246" i="1"/>
  <c r="AU243" i="1"/>
  <c r="AU242" i="1"/>
  <c r="AU241" i="1"/>
  <c r="AU240" i="1"/>
  <c r="AU239" i="1"/>
  <c r="AU238" i="1"/>
  <c r="AU257" i="1"/>
  <c r="AU223" i="1"/>
  <c r="AU222" i="1"/>
  <c r="AU212" i="1"/>
  <c r="AU210" i="1"/>
  <c r="AU225" i="1"/>
  <c r="AU237" i="1"/>
  <c r="AU234" i="1"/>
  <c r="AU233" i="1"/>
  <c r="AU232" i="1"/>
  <c r="AU231" i="1"/>
  <c r="AU230" i="1"/>
  <c r="AU214" i="1"/>
  <c r="E207" i="1"/>
  <c r="I207" i="1"/>
  <c r="M207" i="1"/>
  <c r="Q207" i="1"/>
  <c r="U207" i="1"/>
  <c r="Y207" i="1"/>
  <c r="AC207" i="1"/>
  <c r="AG207" i="1"/>
  <c r="AK207" i="1"/>
  <c r="AO207" i="1"/>
  <c r="E208" i="1"/>
  <c r="I208" i="1"/>
  <c r="M208" i="1"/>
  <c r="Q208" i="1"/>
  <c r="U208" i="1"/>
  <c r="Y208" i="1"/>
  <c r="AC208" i="1"/>
  <c r="AG208" i="1"/>
  <c r="AK208" i="1"/>
  <c r="AO208" i="1"/>
  <c r="AS208" i="1"/>
  <c r="H209" i="1"/>
  <c r="BG209" i="1" s="1"/>
  <c r="L209" i="1"/>
  <c r="Q210" i="1"/>
  <c r="AG210" i="1"/>
  <c r="H308" i="1"/>
  <c r="H300" i="1"/>
  <c r="H307" i="1"/>
  <c r="H291" i="1"/>
  <c r="H290" i="1"/>
  <c r="H277" i="1"/>
  <c r="H280" i="1"/>
  <c r="H275" i="1"/>
  <c r="H268" i="1"/>
  <c r="H266" i="1"/>
  <c r="H264" i="1"/>
  <c r="H267" i="1"/>
  <c r="H265" i="1"/>
  <c r="H263" i="1"/>
  <c r="H258" i="1"/>
  <c r="H257" i="1"/>
  <c r="H256" i="1"/>
  <c r="H255" i="1"/>
  <c r="H254" i="1"/>
  <c r="H253" i="1"/>
  <c r="H252" i="1"/>
  <c r="H251" i="1"/>
  <c r="H250" i="1"/>
  <c r="H246" i="1"/>
  <c r="H243" i="1"/>
  <c r="H242" i="1"/>
  <c r="H241" i="1"/>
  <c r="H240" i="1"/>
  <c r="H239" i="1"/>
  <c r="H225" i="1"/>
  <c r="H238" i="1"/>
  <c r="H237" i="1"/>
  <c r="H234" i="1"/>
  <c r="H233" i="1"/>
  <c r="H232" i="1"/>
  <c r="H231" i="1"/>
  <c r="H230" i="1"/>
  <c r="H220" i="1"/>
  <c r="H211" i="1"/>
  <c r="H223" i="1"/>
  <c r="H222" i="1"/>
  <c r="H212" i="1"/>
  <c r="L308" i="1"/>
  <c r="L300" i="1"/>
  <c r="L307" i="1"/>
  <c r="L291" i="1"/>
  <c r="L290" i="1"/>
  <c r="L277" i="1"/>
  <c r="L280" i="1"/>
  <c r="L275" i="1"/>
  <c r="L268" i="1"/>
  <c r="L266" i="1"/>
  <c r="L264" i="1"/>
  <c r="L267" i="1"/>
  <c r="L265" i="1"/>
  <c r="L263" i="1"/>
  <c r="L258" i="1"/>
  <c r="L257" i="1"/>
  <c r="L256" i="1"/>
  <c r="L255" i="1"/>
  <c r="L254" i="1"/>
  <c r="L253" i="1"/>
  <c r="L252" i="1"/>
  <c r="L251" i="1"/>
  <c r="L250" i="1"/>
  <c r="L246" i="1"/>
  <c r="L243" i="1"/>
  <c r="L242" i="1"/>
  <c r="L241" i="1"/>
  <c r="L240" i="1"/>
  <c r="L239" i="1"/>
  <c r="L225" i="1"/>
  <c r="L238" i="1"/>
  <c r="L237" i="1"/>
  <c r="L234" i="1"/>
  <c r="L233" i="1"/>
  <c r="L232" i="1"/>
  <c r="L231" i="1"/>
  <c r="L230" i="1"/>
  <c r="L220" i="1"/>
  <c r="L211" i="1"/>
  <c r="L223" i="1"/>
  <c r="L222" i="1"/>
  <c r="L212" i="1"/>
  <c r="P308" i="1"/>
  <c r="P307" i="1"/>
  <c r="P291" i="1"/>
  <c r="P290" i="1"/>
  <c r="P300" i="1"/>
  <c r="P277" i="1"/>
  <c r="P280" i="1"/>
  <c r="P275" i="1"/>
  <c r="P268" i="1"/>
  <c r="P266" i="1"/>
  <c r="P264" i="1"/>
  <c r="P267" i="1"/>
  <c r="P265" i="1"/>
  <c r="P263" i="1"/>
  <c r="P258" i="1"/>
  <c r="P257" i="1"/>
  <c r="P256" i="1"/>
  <c r="P255" i="1"/>
  <c r="P254" i="1"/>
  <c r="P253" i="1"/>
  <c r="P252" i="1"/>
  <c r="P251" i="1"/>
  <c r="P250" i="1"/>
  <c r="P246" i="1"/>
  <c r="P243" i="1"/>
  <c r="P242" i="1"/>
  <c r="P241" i="1"/>
  <c r="P240" i="1"/>
  <c r="P239" i="1"/>
  <c r="P238" i="1"/>
  <c r="P225" i="1"/>
  <c r="P237" i="1"/>
  <c r="P234" i="1"/>
  <c r="P233" i="1"/>
  <c r="P232" i="1"/>
  <c r="P231" i="1"/>
  <c r="P230" i="1"/>
  <c r="P220" i="1"/>
  <c r="P211" i="1"/>
  <c r="P223" i="1"/>
  <c r="P222" i="1"/>
  <c r="P212" i="1"/>
  <c r="P210" i="1"/>
  <c r="T296" i="1"/>
  <c r="T308" i="1"/>
  <c r="T295" i="1"/>
  <c r="T297" i="1"/>
  <c r="T293" i="1"/>
  <c r="T300" i="1"/>
  <c r="T291" i="1"/>
  <c r="T290" i="1"/>
  <c r="T289" i="1"/>
  <c r="T292" i="1"/>
  <c r="T288" i="1"/>
  <c r="T277" i="1"/>
  <c r="T307" i="1"/>
  <c r="T286" i="1"/>
  <c r="T284" i="1"/>
  <c r="T280" i="1"/>
  <c r="T294" i="1"/>
  <c r="T287" i="1"/>
  <c r="T285" i="1"/>
  <c r="T275" i="1"/>
  <c r="T268" i="1"/>
  <c r="T266" i="1"/>
  <c r="T264" i="1"/>
  <c r="T267" i="1"/>
  <c r="T265" i="1"/>
  <c r="T263" i="1"/>
  <c r="T258" i="1"/>
  <c r="T257" i="1"/>
  <c r="T256" i="1"/>
  <c r="T255" i="1"/>
  <c r="T254" i="1"/>
  <c r="T253" i="1"/>
  <c r="T252" i="1"/>
  <c r="T251" i="1"/>
  <c r="T250" i="1"/>
  <c r="T246" i="1"/>
  <c r="T243" i="1"/>
  <c r="T242" i="1"/>
  <c r="T241" i="1"/>
  <c r="T240" i="1"/>
  <c r="T239" i="1"/>
  <c r="T238" i="1"/>
  <c r="T225" i="1"/>
  <c r="T237" i="1"/>
  <c r="T234" i="1"/>
  <c r="T233" i="1"/>
  <c r="T232" i="1"/>
  <c r="T231" i="1"/>
  <c r="T230" i="1"/>
  <c r="T220" i="1"/>
  <c r="T211" i="1"/>
  <c r="T223" i="1"/>
  <c r="T222" i="1"/>
  <c r="T212" i="1"/>
  <c r="T210" i="1"/>
  <c r="X296" i="1"/>
  <c r="X308" i="1"/>
  <c r="X295" i="1"/>
  <c r="X297" i="1"/>
  <c r="X300" i="1"/>
  <c r="X293" i="1"/>
  <c r="X307" i="1"/>
  <c r="X291" i="1"/>
  <c r="X290" i="1"/>
  <c r="X289" i="1"/>
  <c r="X287" i="1"/>
  <c r="X277" i="1"/>
  <c r="X286" i="1"/>
  <c r="X284" i="1"/>
  <c r="X294" i="1"/>
  <c r="X292" i="1"/>
  <c r="X288" i="1"/>
  <c r="X280" i="1"/>
  <c r="X285" i="1"/>
  <c r="X275" i="1"/>
  <c r="X268" i="1"/>
  <c r="X266" i="1"/>
  <c r="X264" i="1"/>
  <c r="X267" i="1"/>
  <c r="X265" i="1"/>
  <c r="X263" i="1"/>
  <c r="X258" i="1"/>
  <c r="X257" i="1"/>
  <c r="X256" i="1"/>
  <c r="X255" i="1"/>
  <c r="X254" i="1"/>
  <c r="X253" i="1"/>
  <c r="X252" i="1"/>
  <c r="X251" i="1"/>
  <c r="X250" i="1"/>
  <c r="X246" i="1"/>
  <c r="X243" i="1"/>
  <c r="X242" i="1"/>
  <c r="X241" i="1"/>
  <c r="X240" i="1"/>
  <c r="X239" i="1"/>
  <c r="X238" i="1"/>
  <c r="X225" i="1"/>
  <c r="X237" i="1"/>
  <c r="X234" i="1"/>
  <c r="X233" i="1"/>
  <c r="X232" i="1"/>
  <c r="X231" i="1"/>
  <c r="X230" i="1"/>
  <c r="X220" i="1"/>
  <c r="X211" i="1"/>
  <c r="X223" i="1"/>
  <c r="X222" i="1"/>
  <c r="X212" i="1"/>
  <c r="X210" i="1"/>
  <c r="AB296" i="1"/>
  <c r="AB308" i="1"/>
  <c r="AB295" i="1"/>
  <c r="AB300" i="1"/>
  <c r="AB294" i="1"/>
  <c r="AB307" i="1"/>
  <c r="AB293" i="1"/>
  <c r="AB291" i="1"/>
  <c r="AB290" i="1"/>
  <c r="AB289" i="1"/>
  <c r="AB287" i="1"/>
  <c r="AB292" i="1"/>
  <c r="AB288" i="1"/>
  <c r="AB277" i="1"/>
  <c r="AB286" i="1"/>
  <c r="AB284" i="1"/>
  <c r="AB297" i="1"/>
  <c r="AB280" i="1"/>
  <c r="AB285" i="1"/>
  <c r="AB275" i="1"/>
  <c r="AB268" i="1"/>
  <c r="AB266" i="1"/>
  <c r="AB264" i="1"/>
  <c r="AB267" i="1"/>
  <c r="AB265" i="1"/>
  <c r="AB263" i="1"/>
  <c r="AB258" i="1"/>
  <c r="AB257" i="1"/>
  <c r="AB256" i="1"/>
  <c r="AB255" i="1"/>
  <c r="AB254" i="1"/>
  <c r="AB253" i="1"/>
  <c r="AB252" i="1"/>
  <c r="AB251" i="1"/>
  <c r="AB250" i="1"/>
  <c r="AB246" i="1"/>
  <c r="AB243" i="1"/>
  <c r="AB242" i="1"/>
  <c r="AB241" i="1"/>
  <c r="AB240" i="1"/>
  <c r="AB239" i="1"/>
  <c r="AB238" i="1"/>
  <c r="AB225" i="1"/>
  <c r="AB237" i="1"/>
  <c r="AB234" i="1"/>
  <c r="AB233" i="1"/>
  <c r="AB232" i="1"/>
  <c r="AB231" i="1"/>
  <c r="AB230" i="1"/>
  <c r="AB220" i="1"/>
  <c r="AB211" i="1"/>
  <c r="AB223" i="1"/>
  <c r="AB222" i="1"/>
  <c r="AB212" i="1"/>
  <c r="AB210" i="1"/>
  <c r="AF305" i="1"/>
  <c r="AF296" i="1"/>
  <c r="AF308" i="1"/>
  <c r="AF295" i="1"/>
  <c r="AF307" i="1"/>
  <c r="AF293" i="1"/>
  <c r="AF297" i="1"/>
  <c r="AF294" i="1"/>
  <c r="AF291" i="1"/>
  <c r="AF290" i="1"/>
  <c r="AF289" i="1"/>
  <c r="AF287" i="1"/>
  <c r="AF277" i="1"/>
  <c r="AF286" i="1"/>
  <c r="AF284" i="1"/>
  <c r="AF292" i="1"/>
  <c r="AF288" i="1"/>
  <c r="AF280" i="1"/>
  <c r="AF300" i="1"/>
  <c r="AF285" i="1"/>
  <c r="AF275" i="1"/>
  <c r="AF268" i="1"/>
  <c r="AF266" i="1"/>
  <c r="AF264" i="1"/>
  <c r="AF267" i="1"/>
  <c r="AF265" i="1"/>
  <c r="AF263" i="1"/>
  <c r="AF258" i="1"/>
  <c r="AF257" i="1"/>
  <c r="AF256" i="1"/>
  <c r="AF255" i="1"/>
  <c r="AF254" i="1"/>
  <c r="AF253" i="1"/>
  <c r="AF252" i="1"/>
  <c r="AF251" i="1"/>
  <c r="AF250" i="1"/>
  <c r="AF246" i="1"/>
  <c r="AF243" i="1"/>
  <c r="AF242" i="1"/>
  <c r="AF241" i="1"/>
  <c r="AF240" i="1"/>
  <c r="AF239" i="1"/>
  <c r="AF238" i="1"/>
  <c r="AF225" i="1"/>
  <c r="AF237" i="1"/>
  <c r="AF234" i="1"/>
  <c r="AF233" i="1"/>
  <c r="AF232" i="1"/>
  <c r="AF231" i="1"/>
  <c r="AF230" i="1"/>
  <c r="AF220" i="1"/>
  <c r="AF211" i="1"/>
  <c r="AF223" i="1"/>
  <c r="AF222" i="1"/>
  <c r="AF212" i="1"/>
  <c r="AF210" i="1"/>
  <c r="AJ306" i="1"/>
  <c r="AJ305" i="1"/>
  <c r="AJ303" i="1"/>
  <c r="AJ304" i="1"/>
  <c r="AJ296" i="1"/>
  <c r="AJ308" i="1"/>
  <c r="AJ295" i="1"/>
  <c r="AJ294" i="1"/>
  <c r="AK302" i="1"/>
  <c r="AJ297" i="1"/>
  <c r="AJ293" i="1"/>
  <c r="AJ309" i="1"/>
  <c r="AJ300" i="1"/>
  <c r="AJ291" i="1"/>
  <c r="AJ290" i="1"/>
  <c r="AJ289" i="1"/>
  <c r="AJ287" i="1"/>
  <c r="AJ307" i="1"/>
  <c r="AJ292" i="1"/>
  <c r="AJ288" i="1"/>
  <c r="AJ277" i="1"/>
  <c r="AJ286" i="1"/>
  <c r="AJ284" i="1"/>
  <c r="AJ275" i="1"/>
  <c r="AJ280" i="1"/>
  <c r="AJ285" i="1"/>
  <c r="AJ268" i="1"/>
  <c r="AJ266" i="1"/>
  <c r="AJ264" i="1"/>
  <c r="AJ267" i="1"/>
  <c r="AJ265" i="1"/>
  <c r="AJ263" i="1"/>
  <c r="AJ258" i="1"/>
  <c r="AJ260" i="1"/>
  <c r="AJ257" i="1"/>
  <c r="AJ256" i="1"/>
  <c r="AJ255" i="1"/>
  <c r="AJ254" i="1"/>
  <c r="AJ253" i="1"/>
  <c r="AJ252" i="1"/>
  <c r="AJ251" i="1"/>
  <c r="AJ250" i="1"/>
  <c r="AJ246" i="1"/>
  <c r="AJ243" i="1"/>
  <c r="AJ242" i="1"/>
  <c r="AJ241" i="1"/>
  <c r="AJ240" i="1"/>
  <c r="AJ239" i="1"/>
  <c r="AJ238" i="1"/>
  <c r="AJ225" i="1"/>
  <c r="AJ237" i="1"/>
  <c r="AJ234" i="1"/>
  <c r="AJ233" i="1"/>
  <c r="AJ232" i="1"/>
  <c r="AJ231" i="1"/>
  <c r="AJ230" i="1"/>
  <c r="AJ214" i="1"/>
  <c r="AJ211" i="1"/>
  <c r="AJ223" i="1"/>
  <c r="AJ222" i="1"/>
  <c r="AJ212" i="1"/>
  <c r="AJ210" i="1"/>
  <c r="AN306" i="1"/>
  <c r="AN305" i="1"/>
  <c r="AN303" i="1"/>
  <c r="AN304" i="1"/>
  <c r="AN296" i="1"/>
  <c r="AN308" i="1"/>
  <c r="AN295" i="1"/>
  <c r="AO302" i="1"/>
  <c r="AN297" i="1"/>
  <c r="AN309" i="1"/>
  <c r="AN300" i="1"/>
  <c r="AN293" i="1"/>
  <c r="AN307" i="1"/>
  <c r="AN294" i="1"/>
  <c r="AN291" i="1"/>
  <c r="AN290" i="1"/>
  <c r="AN289" i="1"/>
  <c r="AN287" i="1"/>
  <c r="AN277" i="1"/>
  <c r="AN286" i="1"/>
  <c r="AN284" i="1"/>
  <c r="AN275" i="1"/>
  <c r="AN292" i="1"/>
  <c r="AN288" i="1"/>
  <c r="AN280" i="1"/>
  <c r="AN285" i="1"/>
  <c r="AN278" i="1"/>
  <c r="AN268" i="1"/>
  <c r="AN266" i="1"/>
  <c r="AN264" i="1"/>
  <c r="AN267" i="1"/>
  <c r="AN265" i="1"/>
  <c r="AN263" i="1"/>
  <c r="AN258" i="1"/>
  <c r="AN260" i="1"/>
  <c r="AN257" i="1"/>
  <c r="AN256" i="1"/>
  <c r="AN255" i="1"/>
  <c r="AN254" i="1"/>
  <c r="AN253" i="1"/>
  <c r="AN252" i="1"/>
  <c r="AN251" i="1"/>
  <c r="AN250" i="1"/>
  <c r="AN246" i="1"/>
  <c r="AN243" i="1"/>
  <c r="AN242" i="1"/>
  <c r="AN241" i="1"/>
  <c r="AN240" i="1"/>
  <c r="AN239" i="1"/>
  <c r="AN238" i="1"/>
  <c r="AN225" i="1"/>
  <c r="AN237" i="1"/>
  <c r="AN234" i="1"/>
  <c r="AN233" i="1"/>
  <c r="AN232" i="1"/>
  <c r="AN231" i="1"/>
  <c r="AN230" i="1"/>
  <c r="AN220" i="1"/>
  <c r="AN214" i="1"/>
  <c r="AN211" i="1"/>
  <c r="AN223" i="1"/>
  <c r="AN222" i="1"/>
  <c r="AN212" i="1"/>
  <c r="AN210" i="1"/>
  <c r="AR306" i="1"/>
  <c r="AR305" i="1"/>
  <c r="AR303" i="1"/>
  <c r="AR301" i="1"/>
  <c r="AR304" i="1"/>
  <c r="AR296" i="1"/>
  <c r="AR308" i="1"/>
  <c r="AR295" i="1"/>
  <c r="AR309" i="1"/>
  <c r="AR300" i="1"/>
  <c r="AR294" i="1"/>
  <c r="AR307" i="1"/>
  <c r="AR293" i="1"/>
  <c r="AR291" i="1"/>
  <c r="AR290" i="1"/>
  <c r="AR289" i="1"/>
  <c r="AR287" i="1"/>
  <c r="AR292" i="1"/>
  <c r="AR288" i="1"/>
  <c r="AR279" i="1"/>
  <c r="AR277" i="1"/>
  <c r="AR297" i="1"/>
  <c r="AR286" i="1"/>
  <c r="AR284" i="1"/>
  <c r="AR275" i="1"/>
  <c r="AS302" i="1"/>
  <c r="AR280" i="1"/>
  <c r="AR285" i="1"/>
  <c r="AR278" i="1"/>
  <c r="AR268" i="1"/>
  <c r="AR266" i="1"/>
  <c r="AR264" i="1"/>
  <c r="AR267" i="1"/>
  <c r="AR265" i="1"/>
  <c r="AR263" i="1"/>
  <c r="AR258" i="1"/>
  <c r="AR260" i="1"/>
  <c r="AR257" i="1"/>
  <c r="AQ246" i="1"/>
  <c r="AR256" i="1"/>
  <c r="AR255" i="1"/>
  <c r="AR254" i="1"/>
  <c r="AR253" i="1"/>
  <c r="AR252" i="1"/>
  <c r="AR251" i="1"/>
  <c r="AR250" i="1"/>
  <c r="AR243" i="1"/>
  <c r="AR242" i="1"/>
  <c r="AR241" i="1"/>
  <c r="AR240" i="1"/>
  <c r="AR239" i="1"/>
  <c r="AR238" i="1"/>
  <c r="AR225" i="1"/>
  <c r="AR237" i="1"/>
  <c r="AR234" i="1"/>
  <c r="AR233" i="1"/>
  <c r="AR232" i="1"/>
  <c r="AR231" i="1"/>
  <c r="AR230" i="1"/>
  <c r="AR220" i="1"/>
  <c r="AR214" i="1"/>
  <c r="AR211" i="1"/>
  <c r="AR223" i="1"/>
  <c r="AR222" i="1"/>
  <c r="AR212" i="1"/>
  <c r="AR210" i="1"/>
  <c r="AV306" i="1"/>
  <c r="AV305" i="1"/>
  <c r="AV303" i="1"/>
  <c r="AV302" i="1"/>
  <c r="AV301" i="1"/>
  <c r="AV304" i="1"/>
  <c r="AV296" i="1"/>
  <c r="AV308" i="1"/>
  <c r="AV307" i="1"/>
  <c r="AV293" i="1"/>
  <c r="AV297" i="1"/>
  <c r="AV294" i="1"/>
  <c r="AV291" i="1"/>
  <c r="AV290" i="1"/>
  <c r="AV289" i="1"/>
  <c r="AV287" i="1"/>
  <c r="AV277" i="1"/>
  <c r="AV286" i="1"/>
  <c r="AV284" i="1"/>
  <c r="AV275" i="1"/>
  <c r="AV300" i="1"/>
  <c r="AV288" i="1"/>
  <c r="AV309" i="1"/>
  <c r="AV292" i="1"/>
  <c r="AV285" i="1"/>
  <c r="AV269" i="1"/>
  <c r="AV268" i="1"/>
  <c r="AV266" i="1"/>
  <c r="AV264" i="1"/>
  <c r="AV270" i="1"/>
  <c r="AV267" i="1"/>
  <c r="AV265" i="1"/>
  <c r="AV263" i="1"/>
  <c r="AV258" i="1"/>
  <c r="AV260" i="1"/>
  <c r="AV257" i="1"/>
  <c r="AV255" i="1"/>
  <c r="AV254" i="1"/>
  <c r="AV253" i="1"/>
  <c r="AV252" i="1"/>
  <c r="AV251" i="1"/>
  <c r="AV250" i="1"/>
  <c r="AV246" i="1"/>
  <c r="AV243" i="1"/>
  <c r="AV242" i="1"/>
  <c r="AV241" i="1"/>
  <c r="AV240" i="1"/>
  <c r="AV239" i="1"/>
  <c r="AV238" i="1"/>
  <c r="AV225" i="1"/>
  <c r="AV237" i="1"/>
  <c r="AV234" i="1"/>
  <c r="AV233" i="1"/>
  <c r="AV232" i="1"/>
  <c r="AV231" i="1"/>
  <c r="AV230" i="1"/>
  <c r="AV222" i="1"/>
  <c r="AV210" i="1"/>
  <c r="F207" i="1"/>
  <c r="J207" i="1"/>
  <c r="N207" i="1"/>
  <c r="R207" i="1"/>
  <c r="Z207" i="1"/>
  <c r="AD207" i="1"/>
  <c r="AH207" i="1"/>
  <c r="AL207" i="1"/>
  <c r="AP207" i="1"/>
  <c r="AT207" i="1"/>
  <c r="F208" i="1"/>
  <c r="J208" i="1"/>
  <c r="N208" i="1"/>
  <c r="R208" i="1"/>
  <c r="V208" i="1"/>
  <c r="Z208" i="1"/>
  <c r="AD208" i="1"/>
  <c r="AH208" i="1"/>
  <c r="AL208" i="1"/>
  <c r="AP208" i="1"/>
  <c r="AT208" i="1"/>
  <c r="E209" i="1"/>
  <c r="I209" i="1"/>
  <c r="M209" i="1"/>
  <c r="Q209" i="1"/>
  <c r="U209" i="1"/>
  <c r="Y209" i="1"/>
  <c r="AC209" i="1"/>
  <c r="AG209" i="1"/>
  <c r="AK209" i="1"/>
  <c r="AO209" i="1"/>
  <c r="E210" i="1"/>
  <c r="I210" i="1"/>
  <c r="M210" i="1"/>
  <c r="U210" i="1"/>
  <c r="AK210" i="1"/>
  <c r="AV195" i="1"/>
  <c r="AV280" i="1"/>
  <c r="AV37" i="1"/>
  <c r="AV40" i="1"/>
  <c r="AV173" i="1" s="1"/>
  <c r="AU37" i="1"/>
  <c r="AV170" i="1"/>
  <c r="AU137" i="1"/>
  <c r="AV137" i="1"/>
  <c r="AU211" i="1"/>
  <c r="AV211" i="1"/>
  <c r="AV122" i="1"/>
  <c r="AV55" i="1"/>
  <c r="AV295" i="1"/>
  <c r="G219" i="1" l="1"/>
  <c r="N219" i="1"/>
  <c r="AQ213" i="1"/>
  <c r="BA208" i="1"/>
  <c r="AN226" i="1"/>
  <c r="L226" i="1"/>
  <c r="AX197" i="1"/>
  <c r="AX227" i="1" s="1"/>
  <c r="AX219" i="1"/>
  <c r="AS209" i="1"/>
  <c r="AS173" i="1"/>
  <c r="AR213" i="1"/>
  <c r="BA214" i="1"/>
  <c r="AP209" i="1"/>
  <c r="AG173" i="1"/>
  <c r="AG197" i="1" s="1"/>
  <c r="AG227" i="1" s="1"/>
  <c r="Y173" i="1"/>
  <c r="Y219" i="1" s="1"/>
  <c r="Q173" i="1"/>
  <c r="Q197" i="1" s="1"/>
  <c r="Q227" i="1" s="1"/>
  <c r="I197" i="1"/>
  <c r="I227" i="1" s="1"/>
  <c r="I173" i="1"/>
  <c r="J173" i="1"/>
  <c r="J197" i="1" s="1"/>
  <c r="J227" i="1" s="1"/>
  <c r="AS70" i="1"/>
  <c r="T173" i="1"/>
  <c r="T197" i="1" s="1"/>
  <c r="T227" i="1" s="1"/>
  <c r="AE197" i="1"/>
  <c r="AE227" i="1" s="1"/>
  <c r="AE173" i="1"/>
  <c r="AE219" i="1" s="1"/>
  <c r="AI173" i="1"/>
  <c r="K219" i="1"/>
  <c r="AL219" i="1"/>
  <c r="AT209" i="1"/>
  <c r="AT173" i="1"/>
  <c r="AT197" i="1" s="1"/>
  <c r="AT227" i="1" s="1"/>
  <c r="AK197" i="1"/>
  <c r="AK227" i="1" s="1"/>
  <c r="AB173" i="1"/>
  <c r="AB197" i="1" s="1"/>
  <c r="AB227" i="1" s="1"/>
  <c r="AR173" i="1"/>
  <c r="AR219" i="1" s="1"/>
  <c r="AD173" i="1"/>
  <c r="AP173" i="1"/>
  <c r="AP197" i="1" s="1"/>
  <c r="AP227" i="1" s="1"/>
  <c r="AI211" i="1"/>
  <c r="AS207" i="1"/>
  <c r="AC173" i="1"/>
  <c r="AC197" i="1" s="1"/>
  <c r="AC227" i="1" s="1"/>
  <c r="U173" i="1"/>
  <c r="U219" i="1" s="1"/>
  <c r="M173" i="1"/>
  <c r="M197" i="1" s="1"/>
  <c r="M227" i="1" s="1"/>
  <c r="AM197" i="1"/>
  <c r="AM227" i="1" s="1"/>
  <c r="AM173" i="1"/>
  <c r="AN173" i="1"/>
  <c r="AN219" i="1" s="1"/>
  <c r="L173" i="1"/>
  <c r="L219" i="1" s="1"/>
  <c r="W173" i="1"/>
  <c r="AA173" i="1"/>
  <c r="AA197" i="1" s="1"/>
  <c r="AA227" i="1" s="1"/>
  <c r="AU226" i="1"/>
  <c r="U226" i="1"/>
  <c r="AJ226" i="1"/>
  <c r="AQ226" i="1"/>
  <c r="F226" i="1"/>
  <c r="AQ170" i="1"/>
  <c r="AQ207" i="1"/>
  <c r="V170" i="1"/>
  <c r="V197" i="1"/>
  <c r="V227" i="1" s="1"/>
  <c r="V207" i="1"/>
  <c r="AM226" i="1"/>
  <c r="AI226" i="1"/>
  <c r="BG208" i="1"/>
  <c r="F219" i="1"/>
  <c r="AO137" i="1"/>
  <c r="S226" i="1"/>
  <c r="AP219" i="1"/>
  <c r="AJ197" i="1"/>
  <c r="AJ227" i="1" s="1"/>
  <c r="W170" i="1"/>
  <c r="W207" i="1"/>
  <c r="AU70" i="1"/>
  <c r="AU209" i="1"/>
  <c r="H226" i="1"/>
  <c r="AT70" i="1"/>
  <c r="AB219" i="1"/>
  <c r="P219" i="1"/>
  <c r="J219" i="1"/>
  <c r="Q219" i="1"/>
  <c r="AG219" i="1"/>
  <c r="X219" i="1"/>
  <c r="T219" i="1"/>
  <c r="AU219" i="1"/>
  <c r="AJ219" i="1"/>
  <c r="AM219" i="1"/>
  <c r="V219" i="1"/>
  <c r="R219" i="1"/>
  <c r="Q226" i="1"/>
  <c r="I219" i="1"/>
  <c r="E226" i="1"/>
  <c r="AW197" i="1"/>
  <c r="AW227" i="1" s="1"/>
  <c r="T226" i="1"/>
  <c r="X226" i="1"/>
  <c r="H219" i="1"/>
  <c r="AT219" i="1"/>
  <c r="AC219" i="1"/>
  <c r="M219" i="1"/>
  <c r="AB226" i="1"/>
  <c r="P226" i="1"/>
  <c r="AR226" i="1"/>
  <c r="AF219" i="1"/>
  <c r="AR188" i="1"/>
  <c r="BA210" i="1"/>
  <c r="AP226" i="1"/>
  <c r="AF226" i="1"/>
  <c r="BA212" i="1"/>
  <c r="AO226" i="1"/>
  <c r="G226" i="1"/>
  <c r="AD226" i="1"/>
  <c r="N226" i="1"/>
  <c r="J226" i="1"/>
  <c r="BA211" i="1"/>
  <c r="AV226" i="1"/>
  <c r="BG211" i="1"/>
  <c r="AE226" i="1"/>
  <c r="O226" i="1"/>
  <c r="K226" i="1"/>
  <c r="BG207" i="1"/>
  <c r="AT226" i="1"/>
  <c r="Z226" i="1"/>
  <c r="V226" i="1"/>
  <c r="R226" i="1"/>
  <c r="AS226" i="1"/>
  <c r="AK226" i="1"/>
  <c r="AG226" i="1"/>
  <c r="Y226" i="1"/>
  <c r="I226" i="1"/>
  <c r="BG212" i="1"/>
  <c r="AA226" i="1"/>
  <c r="W226" i="1"/>
  <c r="AL226" i="1"/>
  <c r="AH226" i="1"/>
  <c r="AC226" i="1"/>
  <c r="M226" i="1"/>
  <c r="AU197" i="1"/>
  <c r="AU227" i="1" s="1"/>
  <c r="AV70" i="1"/>
  <c r="AV209" i="1"/>
  <c r="BA209" i="1" s="1"/>
  <c r="BA207" i="1" l="1"/>
  <c r="U197" i="1"/>
  <c r="U227" i="1" s="1"/>
  <c r="Y197" i="1"/>
  <c r="Y227" i="1" s="1"/>
  <c r="L197" i="1"/>
  <c r="L227" i="1" s="1"/>
  <c r="AA219" i="1"/>
  <c r="AN197" i="1"/>
  <c r="AN227" i="1" s="1"/>
  <c r="AI197" i="1"/>
  <c r="AI227" i="1" s="1"/>
  <c r="AI219" i="1"/>
  <c r="AD197" i="1"/>
  <c r="AD227" i="1" s="1"/>
  <c r="AD219" i="1"/>
  <c r="AR197" i="1"/>
  <c r="AR227" i="1" s="1"/>
  <c r="I204" i="1"/>
  <c r="BG219" i="1"/>
  <c r="AO197" i="1"/>
  <c r="AO227" i="1" s="1"/>
  <c r="AO219" i="1"/>
  <c r="AQ197" i="1"/>
  <c r="AQ227" i="1" s="1"/>
  <c r="AQ219" i="1"/>
  <c r="W197" i="1"/>
  <c r="W227" i="1" s="1"/>
  <c r="W219" i="1"/>
  <c r="AS197" i="1"/>
  <c r="AS227" i="1" s="1"/>
  <c r="AS219" i="1"/>
  <c r="AV219" i="1"/>
  <c r="AV197" i="1"/>
  <c r="AV227" i="1" s="1"/>
</calcChain>
</file>

<file path=xl/comments1.xml><?xml version="1.0" encoding="utf-8"?>
<comments xmlns="http://schemas.openxmlformats.org/spreadsheetml/2006/main">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text>
        <r>
          <rPr>
            <sz val="9"/>
            <color indexed="81"/>
            <rFont val="Arial"/>
            <family val="2"/>
          </rPr>
          <t>$800M was added for CCPI Round 3 extension for sequestration, plus $20M for university grants.</t>
        </r>
      </text>
    </comment>
    <comment ref="AK16" authorId="0" shapeId="0">
      <text>
        <r>
          <rPr>
            <b/>
            <sz val="9"/>
            <color indexed="81"/>
            <rFont val="Arial"/>
            <family val="2"/>
          </rPr>
          <t>Kelly  Gallagher:</t>
        </r>
        <r>
          <rPr>
            <sz val="9"/>
            <color indexed="81"/>
            <rFont val="Arial"/>
            <family val="2"/>
          </rPr>
          <t xml:space="preserve">
Assuming, for now, it will be spent on new FutureGen</t>
        </r>
      </text>
    </comment>
    <comment ref="AK17" authorId="0" shapeId="0">
      <text>
        <r>
          <rPr>
            <sz val="9"/>
            <color indexed="81"/>
            <rFont val="Arial"/>
            <family val="2"/>
          </rPr>
          <t>$1,520M for carbon capture competitive solicitation (also known as industrial capture and energy efficiency) - plus $48M for site characterization and solicitation.</t>
        </r>
      </text>
    </comment>
    <comment ref="AE38" authorId="1" shapeId="0">
      <text>
        <r>
          <rPr>
            <b/>
            <sz val="8"/>
            <color indexed="81"/>
            <rFont val="Tahoma"/>
            <family val="2"/>
          </rPr>
          <t>LDA:</t>
        </r>
        <r>
          <rPr>
            <sz val="8"/>
            <color indexed="81"/>
            <rFont val="Tahoma"/>
            <family val="2"/>
          </rPr>
          <t xml:space="preserve">
Value of -$98m includes funding of -$1m minus $97m deferral</t>
        </r>
      </text>
    </comment>
    <comment ref="AF38" authorId="1" shapeId="0">
      <text>
        <r>
          <rPr>
            <b/>
            <sz val="8"/>
            <color indexed="81"/>
            <rFont val="Tahoma"/>
            <family val="2"/>
          </rPr>
          <t xml:space="preserve"> LDA:</t>
        </r>
        <r>
          <rPr>
            <sz val="8"/>
            <color indexed="81"/>
            <rFont val="Tahoma"/>
            <family val="2"/>
          </rPr>
          <t xml:space="preserve">
Value of -$160m includes $97m minus $257m deferral</t>
        </r>
      </text>
    </comment>
    <comment ref="AN48" authorId="2" shapeId="0">
      <text>
        <r>
          <rPr>
            <b/>
            <sz val="8"/>
            <color indexed="81"/>
            <rFont val="Tahoma"/>
            <family val="2"/>
          </rPr>
          <t>ldiazan:</t>
        </r>
        <r>
          <rPr>
            <sz val="8"/>
            <color indexed="81"/>
            <rFont val="Tahoma"/>
            <family val="2"/>
          </rPr>
          <t xml:space="preserve">
Includes $53.7m for "strategic programs"</t>
        </r>
      </text>
    </comment>
    <comment ref="AG49" authorId="3" shapeId="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3" authorId="4" shapeId="0">
      <text>
        <r>
          <rPr>
            <sz val="7"/>
            <color indexed="81"/>
            <rFont val="Tahoma"/>
            <family val="2"/>
          </rPr>
          <t xml:space="preserve">Includes all EERE prior balances
</t>
        </r>
      </text>
    </comment>
    <comment ref="AN53" authorId="4" shapeId="0">
      <text>
        <r>
          <rPr>
            <sz val="7"/>
            <color indexed="81"/>
            <rFont val="Tahoma"/>
            <family val="2"/>
          </rPr>
          <t>Includes all EERE prior balances</t>
        </r>
      </text>
    </comment>
    <comment ref="AI83" authorId="0" shapeId="0">
      <text>
        <r>
          <rPr>
            <sz val="9"/>
            <color indexed="81"/>
            <rFont val="Arial"/>
            <family val="2"/>
          </rPr>
          <t>Projects in fuel cell category that seem to belong to solar were included in solar congressionally directed projects</t>
        </r>
      </text>
    </comment>
    <comment ref="AH112" authorId="3" shapeId="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112" authorId="0" shapeId="0">
      <text>
        <r>
          <rPr>
            <sz val="9"/>
            <color indexed="81"/>
            <rFont val="Arial"/>
            <family val="2"/>
          </rPr>
          <t xml:space="preserve">NREL: Solar equip. recapitalization, South Table Mountain infrastructure dev't, and Energy Systems Integration Facility
</t>
        </r>
      </text>
    </comment>
    <comment ref="AJ112" authorId="0" shapeId="0">
      <text>
        <r>
          <rPr>
            <sz val="9"/>
            <color indexed="81"/>
            <rFont val="Arial"/>
            <family val="2"/>
          </rPr>
          <t>NREL: South Table Mountain infrastructure dev't, and Energy Systems Integration Facility - excludes O&amp;M at NREL</t>
        </r>
      </text>
    </comment>
    <comment ref="AK112" authorId="0" shapeId="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112" authorId="5" shapeId="0">
      <text>
        <r>
          <rPr>
            <b/>
            <sz val="9"/>
            <color indexed="81"/>
            <rFont val="Arial"/>
            <family val="2"/>
          </rPr>
          <t>Gallagher, Kelly Sims:</t>
        </r>
        <r>
          <rPr>
            <sz val="9"/>
            <color indexed="81"/>
            <rFont val="Arial"/>
            <family val="2"/>
          </rPr>
          <t xml:space="preserve">
Includes energy systems integration facility NREL, excludes O&amp;M</t>
        </r>
      </text>
    </comment>
    <comment ref="AN115" authorId="2" shapeId="0">
      <text>
        <r>
          <rPr>
            <b/>
            <sz val="8"/>
            <color indexed="81"/>
            <rFont val="Tahoma"/>
            <family val="2"/>
          </rPr>
          <t>ldiazan:</t>
        </r>
        <r>
          <rPr>
            <sz val="8"/>
            <color indexed="81"/>
            <rFont val="Tahoma"/>
            <family val="2"/>
          </rPr>
          <t xml:space="preserve">
Includes $53.7m for "strategic programs"</t>
        </r>
      </text>
    </comment>
    <comment ref="AE118" authorId="6" shapeId="0">
      <text>
        <r>
          <rPr>
            <b/>
            <sz val="8"/>
            <color indexed="81"/>
            <rFont val="Tahoma"/>
            <family val="2"/>
          </rPr>
          <t>From Control Table by Appropriation</t>
        </r>
        <r>
          <rPr>
            <sz val="8"/>
            <color indexed="81"/>
            <rFont val="Tahoma"/>
            <family val="2"/>
          </rPr>
          <t xml:space="preserve">
</t>
        </r>
      </text>
    </comment>
    <comment ref="AD121" authorId="7" shapeId="0">
      <text>
        <r>
          <rPr>
            <b/>
            <sz val="8"/>
            <color indexed="81"/>
            <rFont val="Tahoma"/>
            <family val="2"/>
          </rPr>
          <t>Removed  "intergovernmental activities" which were already included under "policy and management"</t>
        </r>
      </text>
    </comment>
    <comment ref="AL166" authorId="2" shapeId="0">
      <text>
        <r>
          <rPr>
            <sz val="8"/>
            <color indexed="81"/>
            <rFont val="Tahoma"/>
            <family val="2"/>
          </rPr>
          <t xml:space="preserve">FY10 - transfer from State Dept. </t>
        </r>
      </text>
    </comment>
    <comment ref="AI192" authorId="2" shapeId="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<sst xmlns="http://schemas.openxmlformats.org/spreadsheetml/2006/main" count="761" uniqueCount="470">
  <si>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</si>
  <si>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</si>
  <si>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</si>
  <si>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</si>
  <si>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</si>
  <si>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</si>
  <si>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</si>
  <si>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</si>
  <si>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</si>
  <si>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</si>
  <si>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</si>
  <si>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</si>
  <si>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</si>
  <si>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</si>
  <si>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</si>
  <si>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</si>
  <si>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</si>
  <si>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</si>
  <si>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</si>
  <si>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</si>
  <si>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</si>
  <si>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</si>
  <si>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</si>
  <si>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</si>
  <si>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</si>
  <si>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</si>
  <si>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</si>
  <si>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</si>
  <si>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</si>
  <si>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</si>
  <si>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</si>
  <si>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</si>
  <si>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</si>
  <si>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</si>
  <si>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</si>
  <si>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</si>
  <si>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</si>
  <si>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</si>
  <si>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</si>
  <si>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</si>
  <si>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</si>
  <si>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</si>
  <si>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</si>
  <si>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</si>
  <si>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</si>
  <si>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</si>
  <si>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</si>
  <si>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</si>
  <si>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</si>
  <si>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</si>
  <si>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</si>
  <si>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</si>
  <si>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</si>
  <si>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</si>
  <si>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</si>
  <si>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</si>
  <si>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</si>
  <si>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</si>
  <si>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</si>
  <si>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</si>
  <si>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</si>
  <si>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</si>
  <si>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</si>
  <si>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</si>
  <si>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</si>
  <si>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</si>
  <si>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</si>
  <si>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</si>
  <si>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</si>
  <si>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</si>
  <si>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</si>
  <si>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</si>
  <si>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</si>
  <si>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</si>
  <si>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</si>
  <si>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</si>
  <si>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</si>
  <si>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</si>
  <si>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</si>
  <si>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</si>
  <si>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</si>
  <si>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</si>
  <si>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</si>
  <si>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</si>
  <si>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</si>
  <si>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</si>
  <si>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</si>
  <si>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</si>
  <si>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</si>
  <si>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</si>
  <si>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</si>
  <si>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</si>
  <si>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</si>
  <si>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</si>
  <si>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</si>
  <si>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</si>
  <si>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</si>
  <si>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</si>
  <si>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</si>
  <si>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</si>
  <si>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</si>
  <si>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</si>
  <si>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</si>
  <si>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</si>
  <si>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</si>
  <si>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</si>
  <si>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</si>
  <si>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</si>
  <si>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</si>
  <si>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</si>
  <si>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</si>
  <si>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</si>
  <si>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</si>
  <si>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</si>
  <si>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</si>
  <si>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</si>
  <si>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</si>
  <si>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</si>
  <si>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</si>
  <si>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</si>
  <si>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</si>
  <si>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</si>
  <si>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</si>
  <si>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</si>
  <si>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</si>
  <si>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</si>
  <si>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</si>
  <si>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</si>
  <si>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</si>
  <si>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</si>
  <si>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</si>
  <si>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</si>
  <si>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</si>
  <si>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</si>
  <si>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</si>
  <si>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</si>
  <si>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</si>
  <si>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</si>
  <si>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</si>
  <si>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</si>
  <si>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</si>
  <si>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</si>
  <si>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</si>
  <si>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</si>
  <si>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</si>
  <si>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</si>
  <si>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</si>
  <si>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</si>
  <si>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</si>
  <si>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</si>
  <si>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</si>
  <si>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</si>
  <si>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</si>
  <si>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</si>
  <si>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</si>
  <si>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</si>
  <si>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</si>
  <si>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</si>
  <si>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</si>
  <si>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</si>
  <si>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</si>
  <si>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</si>
  <si>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</si>
  <si>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</si>
  <si>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</si>
  <si>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</si>
  <si>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</si>
  <si>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</si>
  <si>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</si>
  <si>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</si>
  <si>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</si>
  <si>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</si>
  <si>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</si>
  <si>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</si>
  <si>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</si>
  <si>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</si>
  <si>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</si>
  <si>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</si>
  <si>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</si>
  <si>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</si>
  <si>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</si>
  <si>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</si>
  <si>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</si>
  <si>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</si>
  <si>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</si>
  <si>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</si>
  <si>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</si>
  <si>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</si>
  <si>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</si>
  <si>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</si>
  <si>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</si>
  <si>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</si>
  <si>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</si>
  <si>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</si>
  <si>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</si>
  <si>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</si>
  <si>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</si>
  <si>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</si>
  <si>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</si>
  <si>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</si>
  <si>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</si>
  <si>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</si>
  <si>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</si>
  <si>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</si>
  <si>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</si>
  <si>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</si>
  <si>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</si>
  <si>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</si>
  <si>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</si>
  <si>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</si>
  <si>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</si>
  <si>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</si>
  <si>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</si>
  <si>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</si>
  <si>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</si>
  <si>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</si>
  <si>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</si>
  <si>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</si>
  <si>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</si>
  <si>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</si>
  <si>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</si>
  <si>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</si>
  <si>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</si>
  <si>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</si>
  <si>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</si>
  <si>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</si>
  <si>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</si>
  <si>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</si>
  <si>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</si>
  <si>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</si>
  <si>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</si>
  <si>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</si>
  <si>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</si>
  <si>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</si>
  <si>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</si>
  <si>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</si>
  <si>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</si>
  <si>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</si>
  <si>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</si>
  <si>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</si>
  <si>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</si>
  <si>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</si>
  <si>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</si>
  <si>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</si>
  <si>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</si>
  <si>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 xml:space="preserve">Smart Grid Investment Program </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</si>
  <si>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</si>
  <si>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</si>
  <si>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</si>
  <si>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</si>
  <si>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</si>
  <si>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</si>
  <si>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</si>
  <si>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</si>
  <si>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</si>
  <si>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</si>
  <si>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</si>
  <si>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</si>
  <si>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</si>
  <si>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</si>
  <si>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</si>
  <si>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</si>
  <si>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</si>
  <si>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</si>
  <si>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</si>
  <si>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</si>
  <si>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</si>
  <si>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</si>
  <si>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</si>
  <si>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</si>
  <si>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</si>
  <si>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</si>
  <si>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</si>
  <si>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</si>
  <si>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</si>
  <si>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</si>
  <si>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</si>
  <si>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</si>
  <si>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</si>
  <si>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</si>
  <si>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</si>
  <si>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</si>
  <si>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</si>
  <si>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</si>
  <si>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</si>
  <si>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</si>
  <si>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</si>
  <si>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</si>
  <si>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</si>
  <si>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</si>
  <si>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</si>
  <si>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</si>
  <si>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</si>
  <si>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</si>
  <si>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</si>
  <si>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</si>
  <si>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</si>
  <si>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</si>
  <si>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</si>
  <si>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</si>
  <si>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</si>
  <si>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</si>
  <si>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</si>
  <si>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</si>
  <si>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</si>
  <si>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</si>
  <si>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</si>
  <si>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</si>
  <si>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</si>
  <si>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</si>
  <si>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</si>
  <si>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</si>
  <si>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</si>
  <si>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</si>
  <si>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</si>
  <si>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</si>
  <si>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</si>
  <si>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</si>
  <si>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</si>
  <si>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</si>
  <si>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</si>
  <si>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</si>
  <si>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</si>
  <si>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</si>
  <si>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</si>
  <si>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</si>
  <si>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</si>
  <si>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</si>
  <si>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</si>
  <si>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</si>
  <si>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</si>
  <si>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</si>
  <si>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</si>
  <si>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</si>
  <si>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</si>
  <si>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</si>
  <si>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</si>
  <si>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</si>
  <si>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</si>
  <si>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</si>
  <si>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</si>
  <si>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</si>
  <si>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</si>
  <si>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</si>
  <si>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</si>
  <si>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</si>
  <si>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</si>
  <si>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</si>
  <si>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</si>
  <si>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</si>
  <si>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</si>
  <si>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</si>
  <si>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</si>
  <si>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</si>
  <si>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</si>
  <si>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</si>
  <si>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</si>
  <si>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</si>
  <si>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</si>
  <si>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</si>
  <si>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</si>
  <si>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</si>
  <si>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</si>
  <si>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</si>
  <si>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</si>
  <si>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</si>
  <si>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</si>
  <si>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</si>
  <si>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</si>
  <si>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</si>
  <si>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</si>
  <si>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</si>
  <si>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</si>
  <si>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</si>
  <si>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</si>
  <si>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</si>
  <si>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</si>
  <si>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</si>
  <si>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</si>
  <si>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</si>
  <si>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</si>
  <si>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</si>
  <si>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</si>
  <si>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Industry (FY13 on, includes 'Advanced manufacturing')</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</si>
  <si>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</si>
  <si>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</si>
  <si>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</si>
  <si>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</si>
  <si>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</si>
  <si>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</si>
  <si>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</si>
  <si>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</si>
  <si>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</si>
  <si>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</si>
  <si>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</si>
  <si>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</si>
  <si>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</si>
  <si>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RD&amp;D Totals for Renewables in 2010$</t>
  </si>
  <si>
    <t>RD&amp;D Totals for Efficiency in 2010$</t>
  </si>
  <si>
    <t>RD&amp;D Totals for Fossil in 2010$</t>
  </si>
  <si>
    <t>R&amp;D Totals in 2010$</t>
  </si>
  <si>
    <t>Table 10.1</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</si>
  <si>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</si>
  <si>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</si>
  <si>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</si>
  <si>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</si>
  <si>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Storage (FY14 on-separated from Research &amp; Development)</t>
  </si>
  <si>
    <t>State Energy Reliability and Assurance Grants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</si>
  <si>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</si>
  <si>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</si>
  <si>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</si>
  <si>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</si>
  <si>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</si>
  <si>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</si>
  <si>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</si>
  <si>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</si>
  <si>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</si>
  <si>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</si>
  <si>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</si>
  <si>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</si>
  <si>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</si>
  <si>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</si>
  <si>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Sum of BES and Fusion</t>
  </si>
  <si>
    <t>Reagan FY89/FY81</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</si>
  <si>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 FY18: total minus storage, direction, permitting and reliability, and infrastructure security, included in other categories. From FY19 on, includes separate Office of Cybersecurity, Energy Security, and Emergency Response)</t>
  </si>
  <si>
    <t>Prior year balances (cancellation of prior year balance)</t>
  </si>
  <si>
    <t>Energy Policy and Systems Analysis (FY18 on - incl. Office of Policy, Technology Transitions and Strategic Partnership Projects)</t>
  </si>
  <si>
    <t>Carbon Sequestration (FY12-on it incl. carbon capture and carbon storage, FY15-on inc. natural gas CCS, and STEP (supercritical CO2); FY20-on, renamed Carbon Capture Utilization and Storage))</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</si>
  <si>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R&amp;D":FY20-order Advanced Energy Systems, Cross-cutting Research, NETL Coal R&amp;D, Supercritical Transformational Electric Power, and Tranformational Coal Pilots)</t>
  </si>
  <si>
    <t>Conservation Weatherization Program  - excluding training and technical assistance</t>
  </si>
  <si>
    <t>Weatherization Readiness Fund</t>
  </si>
  <si>
    <t>Build Back Better Challenge Grants</t>
  </si>
  <si>
    <t>Local Government Clean Energy Workforce Program</t>
  </si>
  <si>
    <t>Light water reactor, SMRs and other (FY12 on-LWR SMR (Small Modular Reactor) Licensing Technical Support)</t>
  </si>
  <si>
    <t>Reactor concepts RD&amp;D (including SMRs from at least 2020)</t>
  </si>
  <si>
    <t>Mineral Sustainability</t>
  </si>
  <si>
    <t>Carbon Dioxide Removal</t>
  </si>
  <si>
    <t>Advanced Coal Energy Systems and CCUS</t>
  </si>
  <si>
    <t>Projects</t>
  </si>
  <si>
    <t>ARPA-C</t>
  </si>
  <si>
    <t>Office of Clean Energy Demonstration</t>
  </si>
  <si>
    <t>Demonstration activities</t>
  </si>
  <si>
    <t>OCED Total</t>
  </si>
  <si>
    <t>Office of Technology Transitions</t>
  </si>
  <si>
    <t>Title 17 - Innovative technology loan guarantee program - renewable, adv. fossil, hydrogen fuel cells, adv. nuclear, CCS, efficiency, pollution control, refineries; FY22 on incl. Loan Guarantee Credit Subsidy</t>
  </si>
  <si>
    <t>Efficiency deployment</t>
  </si>
  <si>
    <t>Efficiency, sume of deployment</t>
  </si>
  <si>
    <t>GDP deflator to 2012$ (from FY21 OMB Historical Tables)</t>
  </si>
  <si>
    <t>GDP deflator to 2020$ (from FY21 OMB Historical Tables)</t>
  </si>
  <si>
    <t>https://www.whitehouse.gov/omb/historical-tables/</t>
  </si>
  <si>
    <t>ARPA-C Total</t>
  </si>
  <si>
    <t>ARPA-Climate</t>
  </si>
  <si>
    <t>ARPA-Energy</t>
  </si>
  <si>
    <t>OCDE</t>
  </si>
  <si>
    <t>ALL FIGURES BELOW THIS LINE ARE IN 2020 DOLLARS</t>
  </si>
  <si>
    <t>RD&amp;D Totals for Fossil in 2020$</t>
  </si>
  <si>
    <t>RD&amp;D Totals for Efficiency in 2020$</t>
  </si>
  <si>
    <t>RD&amp;D Totals for Renewables in 2020$</t>
  </si>
  <si>
    <t>Electricity T&amp;D in 2020$</t>
  </si>
  <si>
    <t xml:space="preserve">       Rescision of Emergency Funding (for Title 17 and Advanced Technology Vehicle Manufacturing Loan Program)</t>
  </si>
  <si>
    <t>2023R</t>
  </si>
  <si>
    <t>2022CR</t>
  </si>
  <si>
    <t xml:space="preserve">Gas (from FY10-on includes unconventional fossil energy technologies); FY22-on including advanced remediation technologies, methane mitigation technologies, natural gas decarbonization and H2, </t>
  </si>
  <si>
    <t>University reactors (FY12-on 'Integrated University Program'); FY23-on includes 'Directed R&amp;D and University Program'</t>
  </si>
  <si>
    <t>Advanced Reactor Demonstration Program and FY23-on including 'Versatile Text Reactor Project'</t>
  </si>
  <si>
    <t xml:space="preserve">Sum of 1985-2023R </t>
  </si>
  <si>
    <t>Carbon removal</t>
  </si>
  <si>
    <t>Updated by Kelly Gallagher and Laura Diaz Anadon May 2009, February 2010, March 2011, February 2012, April 2013, March 2014, September 2015, March 2016, June 2017, March 2018, August 2019, July 2020, July 2021, April 2022</t>
  </si>
  <si>
    <t>Tribal Energy Loan Guarantee Program</t>
  </si>
  <si>
    <t>Fossil (including CCS and CDR)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</si>
</sst>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
  </numFmts>
  <fonts count="73"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sz val="8"/>
      <color indexed="20"/>
      <name val="Arial"/>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
      <sz val="11"/>
      <color indexed="8"/>
      <name val="Calibri"/>
      <family val="2"/>
      <scheme val="minor"/>
    </font>
    <font>
      <b/>
      <u/>
      <sz val="8"/>
      <color rgb="FF7030A0"/>
      <name val="Arial"/>
      <family val="2"/>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8">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7" fillId="0" borderId="0" applyNumberFormat="0" applyFill="0" applyBorder="0" applyAlignment="0" applyProtection="0"/>
    <xf numFmtId="0" fontId="48" fillId="0" borderId="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52"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3" fillId="37"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53" fillId="23" borderId="0" applyNumberFormat="0" applyBorder="0" applyAlignment="0" applyProtection="0"/>
    <xf numFmtId="0" fontId="57" fillId="26" borderId="35" applyNumberFormat="0" applyAlignment="0" applyProtection="0"/>
    <xf numFmtId="0" fontId="59" fillId="27" borderId="38" applyNumberFormat="0" applyAlignment="0" applyProtection="0"/>
    <xf numFmtId="0" fontId="61" fillId="0" borderId="0" applyNumberFormat="0" applyFill="0" applyBorder="0" applyAlignment="0" applyProtection="0"/>
    <xf numFmtId="0" fontId="52" fillId="22" borderId="0" applyNumberFormat="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5" fillId="25" borderId="35" applyNumberFormat="0" applyAlignment="0" applyProtection="0"/>
    <xf numFmtId="0" fontId="58" fillId="0" borderId="37" applyNumberFormat="0" applyFill="0" applyAlignment="0" applyProtection="0"/>
    <xf numFmtId="0" fontId="54" fillId="24" borderId="0" applyNumberFormat="0" applyBorder="0" applyAlignment="0" applyProtection="0"/>
    <xf numFmtId="0" fontId="48" fillId="28" borderId="39" applyNumberFormat="0" applyFont="0" applyAlignment="0" applyProtection="0"/>
    <xf numFmtId="0" fontId="56" fillId="26" borderId="36" applyNumberFormat="0" applyAlignment="0" applyProtection="0"/>
    <xf numFmtId="0" fontId="62" fillId="0" borderId="40" applyNumberFormat="0" applyFill="0" applyAlignment="0" applyProtection="0"/>
    <xf numFmtId="0" fontId="60" fillId="0" borderId="0" applyNumberFormat="0" applyFill="0" applyBorder="0" applyAlignment="0" applyProtection="0"/>
    <xf numFmtId="9" fontId="65" fillId="0" borderId="0" applyFont="0" applyFill="0" applyBorder="0" applyAlignment="0" applyProtection="0"/>
    <xf numFmtId="0" fontId="71" fillId="0" borderId="0"/>
  </cellStyleXfs>
  <cellXfs count="336">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0" fontId="46" fillId="18"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0" fontId="64" fillId="0" borderId="0" xfId="0" applyFont="1" applyFill="1"/>
    <xf numFmtId="164" fontId="64" fillId="0" borderId="0" xfId="0" applyNumberFormat="1" applyFont="1" applyBorder="1"/>
    <xf numFmtId="0" fontId="4" fillId="19" borderId="41" xfId="0" applyFont="1" applyFill="1" applyBorder="1" applyAlignment="1">
      <alignment horizontal="center" wrapText="1"/>
    </xf>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4"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6" xfId="0" applyNumberFormat="1" applyFont="1" applyBorder="1"/>
    <xf numFmtId="0" fontId="4" fillId="0" borderId="24" xfId="0" applyFont="1" applyBorder="1"/>
    <xf numFmtId="0" fontId="4" fillId="0" borderId="45" xfId="0" applyFont="1" applyBorder="1"/>
    <xf numFmtId="0" fontId="4" fillId="0" borderId="46"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5"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6" xfId="0" applyNumberFormat="1" applyFont="1" applyBorder="1"/>
    <xf numFmtId="0" fontId="22" fillId="18" borderId="46" xfId="0" applyFont="1" applyFill="1" applyBorder="1"/>
    <xf numFmtId="0" fontId="22" fillId="18" borderId="16" xfId="0" applyFont="1" applyFill="1" applyBorder="1"/>
    <xf numFmtId="0" fontId="3" fillId="0" borderId="46" xfId="0" applyFont="1" applyBorder="1"/>
    <xf numFmtId="164" fontId="10" fillId="0" borderId="46" xfId="0" applyNumberFormat="1" applyFont="1" applyBorder="1"/>
    <xf numFmtId="0" fontId="10" fillId="0" borderId="46" xfId="0" applyFont="1" applyBorder="1"/>
    <xf numFmtId="0" fontId="4" fillId="18" borderId="20" xfId="0" applyFont="1" applyFill="1" applyBorder="1"/>
    <xf numFmtId="168" fontId="4" fillId="0" borderId="20" xfId="0" applyNumberFormat="1" applyFont="1" applyBorder="1"/>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6" fillId="0" borderId="0" xfId="0" applyFont="1" applyBorder="1"/>
    <xf numFmtId="164" fontId="67" fillId="0" borderId="14" xfId="0" applyNumberFormat="1" applyFont="1" applyBorder="1"/>
    <xf numFmtId="0" fontId="67" fillId="0" borderId="14" xfId="0" applyFont="1" applyBorder="1"/>
    <xf numFmtId="166" fontId="4" fillId="0" borderId="0" xfId="86" applyNumberFormat="1" applyFont="1" applyBorder="1"/>
    <xf numFmtId="164" fontId="3" fillId="21" borderId="14" xfId="0" applyNumberFormat="1" applyFont="1" applyFill="1" applyBorder="1"/>
    <xf numFmtId="164" fontId="68" fillId="0" borderId="0" xfId="0" applyNumberFormat="1" applyFont="1" applyBorder="1"/>
    <xf numFmtId="0" fontId="68" fillId="0" borderId="0" xfId="0" applyFont="1" applyBorder="1"/>
    <xf numFmtId="2" fontId="68" fillId="0" borderId="0" xfId="0" applyNumberFormat="1" applyFont="1" applyBorder="1"/>
    <xf numFmtId="166" fontId="68" fillId="0" borderId="0" xfId="86" applyNumberFormat="1" applyFont="1" applyBorder="1"/>
    <xf numFmtId="0" fontId="4" fillId="19" borderId="47" xfId="0" applyFont="1" applyFill="1" applyBorder="1" applyAlignment="1">
      <alignment horizontal="center" wrapText="1"/>
    </xf>
    <xf numFmtId="0" fontId="69" fillId="0" borderId="0" xfId="0" applyFont="1" applyBorder="1"/>
    <xf numFmtId="9" fontId="69" fillId="0" borderId="0" xfId="0" applyNumberFormat="1" applyFont="1" applyBorder="1"/>
    <xf numFmtId="0" fontId="70" fillId="0" borderId="0" xfId="0" applyFont="1" applyBorder="1"/>
    <xf numFmtId="9" fontId="70"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8" xfId="0" applyFont="1" applyBorder="1"/>
    <xf numFmtId="0" fontId="3" fillId="0" borderId="48" xfId="0" applyFont="1" applyBorder="1"/>
    <xf numFmtId="164" fontId="4" fillId="0" borderId="48" xfId="0" applyNumberFormat="1" applyFont="1" applyBorder="1"/>
    <xf numFmtId="164" fontId="10" fillId="0" borderId="48" xfId="0" applyNumberFormat="1" applyFont="1" applyBorder="1"/>
    <xf numFmtId="0" fontId="10" fillId="0" borderId="48" xfId="0" applyFont="1" applyBorder="1"/>
    <xf numFmtId="2" fontId="4" fillId="0" borderId="18" xfId="0" applyNumberFormat="1" applyFont="1" applyBorder="1"/>
    <xf numFmtId="0" fontId="4" fillId="0" borderId="14" xfId="0" quotePrefix="1" applyFont="1" applyBorder="1"/>
    <xf numFmtId="0" fontId="4" fillId="0" borderId="47" xfId="0" applyFont="1" applyFill="1" applyBorder="1"/>
    <xf numFmtId="0" fontId="4" fillId="19" borderId="49" xfId="0" applyFont="1" applyFill="1" applyBorder="1" applyAlignment="1">
      <alignment horizontal="center" wrapText="1"/>
    </xf>
    <xf numFmtId="0" fontId="4" fillId="19" borderId="0" xfId="0" applyFont="1" applyFill="1" applyBorder="1" applyAlignment="1">
      <alignment horizontal="center" wrapText="1"/>
    </xf>
    <xf numFmtId="164" fontId="22" fillId="0" borderId="0" xfId="0" applyNumberFormat="1" applyFont="1" applyFill="1" applyBorder="1"/>
    <xf numFmtId="2" fontId="4" fillId="0" borderId="0" xfId="0" applyNumberFormat="1" applyFont="1" applyFill="1" applyBorder="1"/>
    <xf numFmtId="0" fontId="2" fillId="0" borderId="0" xfId="34" applyAlignment="1" applyProtection="1"/>
    <xf numFmtId="0" fontId="22" fillId="53" borderId="14" xfId="0" applyFont="1" applyFill="1" applyBorder="1"/>
    <xf numFmtId="164" fontId="22" fillId="53" borderId="14" xfId="0" applyNumberFormat="1" applyFont="1" applyFill="1" applyBorder="1"/>
    <xf numFmtId="0" fontId="3" fillId="21" borderId="20" xfId="0" applyFont="1" applyFill="1" applyBorder="1"/>
    <xf numFmtId="164" fontId="3" fillId="21" borderId="25" xfId="0" applyNumberFormat="1" applyFont="1" applyFill="1" applyBorder="1"/>
    <xf numFmtId="0" fontId="3" fillId="21" borderId="25" xfId="0" applyFont="1" applyFill="1" applyBorder="1"/>
    <xf numFmtId="164" fontId="3" fillId="0" borderId="25" xfId="0" applyNumberFormat="1" applyFont="1" applyFill="1" applyBorder="1"/>
    <xf numFmtId="0" fontId="3" fillId="0" borderId="25" xfId="0" applyFont="1" applyFill="1" applyBorder="1"/>
    <xf numFmtId="10" fontId="4" fillId="21" borderId="25" xfId="86" applyNumberFormat="1" applyFont="1" applyFill="1" applyBorder="1"/>
    <xf numFmtId="0" fontId="4" fillId="21" borderId="25" xfId="0" applyFont="1" applyFill="1" applyBorder="1"/>
    <xf numFmtId="10" fontId="4" fillId="0" borderId="25" xfId="86" applyNumberFormat="1" applyFont="1" applyFill="1" applyBorder="1"/>
    <xf numFmtId="0" fontId="4" fillId="0" borderId="25" xfId="0" applyFont="1" applyFill="1" applyBorder="1"/>
    <xf numFmtId="0" fontId="22" fillId="0" borderId="27" xfId="0" applyFont="1" applyBorder="1"/>
    <xf numFmtId="0" fontId="64" fillId="0" borderId="0" xfId="0" applyFont="1" applyBorder="1"/>
    <xf numFmtId="0" fontId="4" fillId="0" borderId="0" xfId="0" applyFont="1" applyFill="1" applyBorder="1" applyAlignment="1">
      <alignment horizontal="center" wrapText="1"/>
    </xf>
    <xf numFmtId="0" fontId="72" fillId="0" borderId="0" xfId="0" applyFont="1" applyBorder="1"/>
    <xf numFmtId="164" fontId="4" fillId="20" borderId="0" xfId="0" applyNumberFormat="1" applyFont="1" applyFill="1" applyBorder="1"/>
    <xf numFmtId="164" fontId="3" fillId="21" borderId="16" xfId="0" applyNumberFormat="1" applyFont="1" applyFill="1" applyBorder="1"/>
    <xf numFmtId="0" fontId="4" fillId="0" borderId="0" xfId="0" quotePrefix="1" applyFont="1" applyFill="1" applyBorder="1"/>
  </cellXfs>
  <cellStyles count="88">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20% - Accent6 2" xfId="51"/>
    <cellStyle name="40% - Accent1" xfId="7"/>
    <cellStyle name="40% - Accent1 2" xfId="52"/>
    <cellStyle name="40% - Accent2" xfId="8"/>
    <cellStyle name="40% - Accent2 2" xfId="53"/>
    <cellStyle name="40% - Accent3" xfId="9"/>
    <cellStyle name="40% - Accent3 2" xfId="54"/>
    <cellStyle name="40% - Accent4" xfId="10"/>
    <cellStyle name="40% - Accent4 2" xfId="55"/>
    <cellStyle name="40% - Accent5" xfId="11"/>
    <cellStyle name="40% - Accent5 2" xfId="56"/>
    <cellStyle name="40% - Accent6" xfId="12"/>
    <cellStyle name="40% - Accent6 2" xfId="57"/>
    <cellStyle name="60% - Accent1" xfId="13"/>
    <cellStyle name="60% - Accent1 2" xfId="58"/>
    <cellStyle name="60% - Accent2" xfId="14"/>
    <cellStyle name="60% - Accent2 2" xfId="59"/>
    <cellStyle name="60% - Accent3" xfId="15"/>
    <cellStyle name="60% - Accent3 2" xfId="60"/>
    <cellStyle name="60% - Accent4" xfId="16"/>
    <cellStyle name="60% - Accent4 2" xfId="61"/>
    <cellStyle name="60% - Accent5" xfId="17"/>
    <cellStyle name="60% - Accent5 2" xfId="62"/>
    <cellStyle name="60% - Accent6" xfId="18"/>
    <cellStyle name="60% - Accent6 2" xfId="63"/>
    <cellStyle name="Accent1" xfId="19"/>
    <cellStyle name="Accent1 2" xfId="64"/>
    <cellStyle name="Accent2" xfId="20"/>
    <cellStyle name="Accent2 2" xfId="65"/>
    <cellStyle name="Accent3" xfId="21"/>
    <cellStyle name="Accent3 2" xfId="66"/>
    <cellStyle name="Accent4" xfId="22"/>
    <cellStyle name="Accent4 2" xfId="67"/>
    <cellStyle name="Accent5" xfId="23"/>
    <cellStyle name="Accent5 2" xfId="68"/>
    <cellStyle name="Accent6" xfId="24"/>
    <cellStyle name="Accent6 2" xfId="69"/>
    <cellStyle name="Bad" xfId="25"/>
    <cellStyle name="Bad 2" xfId="70"/>
    <cellStyle name="Calculation" xfId="26"/>
    <cellStyle name="Calculation 2" xfId="71"/>
    <cellStyle name="Check Cell" xfId="27"/>
    <cellStyle name="Check Cell 2" xfId="72"/>
    <cellStyle name="Explanatory Text" xfId="28"/>
    <cellStyle name="Explanatory Text 2" xfId="73"/>
    <cellStyle name="Good" xfId="29"/>
    <cellStyle name="Good 2" xfId="74"/>
    <cellStyle name="Heading 1" xfId="30"/>
    <cellStyle name="Heading 1 2" xfId="75"/>
    <cellStyle name="Heading 2" xfId="31"/>
    <cellStyle name="Heading 2 2" xfId="76"/>
    <cellStyle name="Heading 3" xfId="32"/>
    <cellStyle name="Heading 3 2" xfId="77"/>
    <cellStyle name="Heading 4" xfId="33"/>
    <cellStyle name="Heading 4 2" xfId="78"/>
    <cellStyle name="Hyperlink" xfId="34" builtinId="8"/>
    <cellStyle name="Input" xfId="35"/>
    <cellStyle name="Input 2" xfId="79"/>
    <cellStyle name="Linked Cell" xfId="36"/>
    <cellStyle name="Linked Cell 2" xfId="80"/>
    <cellStyle name="Neutral" xfId="37"/>
    <cellStyle name="Neutral 2" xfId="81"/>
    <cellStyle name="Normal" xfId="0" builtinId="0"/>
    <cellStyle name="Normal 2" xfId="45"/>
    <cellStyle name="Normal 3" xfId="43"/>
    <cellStyle name="Normal 4" xfId="87"/>
    <cellStyle name="Note" xfId="38"/>
    <cellStyle name="Note 2" xfId="82"/>
    <cellStyle name="Output" xfId="39"/>
    <cellStyle name="Output 2" xfId="83"/>
    <cellStyle name="Percent" xfId="86" builtinId="5"/>
    <cellStyle name="Title" xfId="40"/>
    <cellStyle name="Title 2" xfId="44"/>
    <cellStyle name="Total" xfId="41"/>
    <cellStyle name="Total 2" xfId="84"/>
    <cellStyle name="Warning Text" xfId="42"/>
    <cellStyle name="Warning Text 2" xfId="8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FY1978-FY2023</a:t>
            </a:r>
          </a:p>
          <a:p>
            <a:pPr>
              <a:defRPr sz="1800" b="1" i="0" u="none" strike="noStrike" baseline="0">
                <a:solidFill>
                  <a:srgbClr val="000000"/>
                </a:solidFill>
                <a:latin typeface="Arial"/>
                <a:ea typeface="Arial"/>
                <a:cs typeface="Arial"/>
              </a:defRPr>
            </a:pPr>
            <a:r>
              <a:rPr lang="en-US"/>
              <a:t>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1978-2023R'!$B$207</c:f>
              <c:strCache>
                <c:ptCount val="1"/>
                <c:pt idx="0">
                  <c:v>Fission</c:v>
                </c:pt>
              </c:strCache>
            </c:strRef>
          </c:tx>
          <c:spPr>
            <a:solidFill>
              <a:srgbClr val="DD0806"/>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1978-2023R'!$E$207:$AY$207</c:f>
              <c:numCache>
                <c:formatCode>0.0</c:formatCode>
                <c:ptCount val="47"/>
                <c:pt idx="0">
                  <c:v>3122.0357847819168</c:v>
                </c:pt>
                <c:pt idx="1">
                  <c:v>2686.2376023391816</c:v>
                </c:pt>
                <c:pt idx="2">
                  <c:v>2412.2402752050807</c:v>
                </c:pt>
                <c:pt idx="3">
                  <c:v>1862.9667698167104</c:v>
                </c:pt>
                <c:pt idx="4">
                  <c:v>1951.980948161276</c:v>
                </c:pt>
                <c:pt idx="5">
                  <c:v>1500.6964135021099</c:v>
                </c:pt>
                <c:pt idx="6">
                  <c:v>1272.3778247734142</c:v>
                </c:pt>
                <c:pt idx="7">
                  <c:v>882.5099358351157</c:v>
                </c:pt>
                <c:pt idx="8">
                  <c:v>731.01001523229252</c:v>
                </c:pt>
                <c:pt idx="9">
                  <c:v>530.68568800588673</c:v>
                </c:pt>
                <c:pt idx="10">
                  <c:v>490.4608371763037</c:v>
                </c:pt>
                <c:pt idx="11">
                  <c:v>463.4882061785288</c:v>
                </c:pt>
                <c:pt idx="12">
                  <c:v>582.25429381357355</c:v>
                </c:pt>
                <c:pt idx="13">
                  <c:v>535.96285485164401</c:v>
                </c:pt>
                <c:pt idx="14">
                  <c:v>509.76009174311929</c:v>
                </c:pt>
                <c:pt idx="15">
                  <c:v>410.940310359173</c:v>
                </c:pt>
                <c:pt idx="16">
                  <c:v>170.00714500924263</c:v>
                </c:pt>
                <c:pt idx="17">
                  <c:v>188.01843350758253</c:v>
                </c:pt>
                <c:pt idx="18">
                  <c:v>70.201987590067731</c:v>
                </c:pt>
                <c:pt idx="19">
                  <c:v>96.634268841758043</c:v>
                </c:pt>
                <c:pt idx="20">
                  <c:v>11.600159302575616</c:v>
                </c:pt>
                <c:pt idx="21">
                  <c:v>47.358316830905906</c:v>
                </c:pt>
                <c:pt idx="22">
                  <c:v>74.375782059145223</c:v>
                </c:pt>
                <c:pt idx="23">
                  <c:v>90.930844943883287</c:v>
                </c:pt>
                <c:pt idx="24">
                  <c:v>220.93089540052108</c:v>
                </c:pt>
                <c:pt idx="25">
                  <c:v>222.64509192035717</c:v>
                </c:pt>
                <c:pt idx="26">
                  <c:v>235.2621681323686</c:v>
                </c:pt>
                <c:pt idx="27">
                  <c:v>281.44934148600288</c:v>
                </c:pt>
                <c:pt idx="28">
                  <c:v>349.39030429525621</c:v>
                </c:pt>
                <c:pt idx="29">
                  <c:v>435.67133944240572</c:v>
                </c:pt>
                <c:pt idx="30">
                  <c:v>568.83871205208595</c:v>
                </c:pt>
                <c:pt idx="31">
                  <c:v>673.09881735791282</c:v>
                </c:pt>
                <c:pt idx="32">
                  <c:v>0</c:v>
                </c:pt>
                <c:pt idx="33">
                  <c:v>591.95635972277796</c:v>
                </c:pt>
                <c:pt idx="34">
                  <c:v>521.11319875116794</c:v>
                </c:pt>
                <c:pt idx="35">
                  <c:v>568.14236986454978</c:v>
                </c:pt>
                <c:pt idx="36">
                  <c:v>521.65330826573359</c:v>
                </c:pt>
                <c:pt idx="37">
                  <c:v>589.35190106345681</c:v>
                </c:pt>
                <c:pt idx="38">
                  <c:v>503.59591670432849</c:v>
                </c:pt>
                <c:pt idx="39">
                  <c:v>626.12541808880997</c:v>
                </c:pt>
                <c:pt idx="40">
                  <c:v>637.19730574070786</c:v>
                </c:pt>
                <c:pt idx="41" formatCode="0">
                  <c:v>734.03749081090621</c:v>
                </c:pt>
                <c:pt idx="42" formatCode="0">
                  <c:v>818.35011626863206</c:v>
                </c:pt>
                <c:pt idx="43" formatCode="0">
                  <c:v>1025.1268817204302</c:v>
                </c:pt>
                <c:pt idx="44" formatCode="0">
                  <c:v>1013.5721557247336</c:v>
                </c:pt>
                <c:pt idx="45" formatCode="0">
                  <c:v>962.75632023217497</c:v>
                </c:pt>
                <c:pt idx="46" formatCode="0">
                  <c:v>1108.1346852740878</c:v>
                </c:pt>
              </c:numCache>
            </c:numRef>
          </c:val>
          <c:extLst>
            <c:ext xmlns:c16="http://schemas.microsoft.com/office/drawing/2014/chart" uri="{C3380CC4-5D6E-409C-BE32-E72D297353CC}">
              <c16:uniqueId val="{00000000-C8B2-44E8-A2E8-6D496DED2BC4}"/>
            </c:ext>
          </c:extLst>
        </c:ser>
        <c:ser>
          <c:idx val="1"/>
          <c:order val="1"/>
          <c:tx>
            <c:strRef>
              <c:f>'Complete Data 1978-2023R'!$B$208</c:f>
              <c:strCache>
                <c:ptCount val="1"/>
                <c:pt idx="0">
                  <c:v>Fusion</c:v>
                </c:pt>
              </c:strCache>
            </c:strRef>
          </c:tx>
          <c:spPr>
            <a:solidFill>
              <a:srgbClr val="FF9900"/>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1978-2023R'!$E$208:$AY$208</c:f>
              <c:numCache>
                <c:formatCode>0.0</c:formatCode>
                <c:ptCount val="47"/>
                <c:pt idx="0">
                  <c:v>1193.9308500477555</c:v>
                </c:pt>
                <c:pt idx="1">
                  <c:v>1171.4146783625731</c:v>
                </c:pt>
                <c:pt idx="2">
                  <c:v>1045.8016935697276</c:v>
                </c:pt>
                <c:pt idx="3">
                  <c:v>1058.3756724589387</c:v>
                </c:pt>
                <c:pt idx="4">
                  <c:v>1127.7001329198051</c:v>
                </c:pt>
                <c:pt idx="5">
                  <c:v>1091.0693670886078</c:v>
                </c:pt>
                <c:pt idx="6">
                  <c:v>1064.3481973816718</c:v>
                </c:pt>
                <c:pt idx="7">
                  <c:v>942.39688897530641</c:v>
                </c:pt>
                <c:pt idx="8">
                  <c:v>776.5504569687738</c:v>
                </c:pt>
                <c:pt idx="9">
                  <c:v>708.96453274466535</c:v>
                </c:pt>
                <c:pt idx="10">
                  <c:v>662.95257183398382</c:v>
                </c:pt>
                <c:pt idx="11">
                  <c:v>667.7927291346648</c:v>
                </c:pt>
                <c:pt idx="12">
                  <c:v>595.79946639986667</c:v>
                </c:pt>
                <c:pt idx="13">
                  <c:v>518.59201283079403</c:v>
                </c:pt>
                <c:pt idx="14">
                  <c:v>573.07039755351684</c:v>
                </c:pt>
                <c:pt idx="15">
                  <c:v>559.0946761313221</c:v>
                </c:pt>
                <c:pt idx="16">
                  <c:v>538.76837668943472</c:v>
                </c:pt>
                <c:pt idx="17">
                  <c:v>560.99573867644983</c:v>
                </c:pt>
                <c:pt idx="18">
                  <c:v>373.25436920094177</c:v>
                </c:pt>
                <c:pt idx="19">
                  <c:v>355.42886178861789</c:v>
                </c:pt>
                <c:pt idx="20">
                  <c:v>341.12264329062708</c:v>
                </c:pt>
                <c:pt idx="21">
                  <c:v>327.16293724966624</c:v>
                </c:pt>
                <c:pt idx="22">
                  <c:v>350.96286831812262</c:v>
                </c:pt>
                <c:pt idx="23">
                  <c:v>347.25769240554644</c:v>
                </c:pt>
                <c:pt idx="24">
                  <c:v>341.59113399472562</c:v>
                </c:pt>
                <c:pt idx="25">
                  <c:v>333.65000614326084</c:v>
                </c:pt>
                <c:pt idx="26">
                  <c:v>346.29528607412743</c:v>
                </c:pt>
                <c:pt idx="27">
                  <c:v>359.48578408562122</c:v>
                </c:pt>
                <c:pt idx="28">
                  <c:v>356.58792928724245</c:v>
                </c:pt>
                <c:pt idx="29">
                  <c:v>385.71892069759792</c:v>
                </c:pt>
                <c:pt idx="30">
                  <c:v>353.00390450928381</c:v>
                </c:pt>
                <c:pt idx="31">
                  <c:v>472.83002230957192</c:v>
                </c:pt>
                <c:pt idx="32">
                  <c:v>109.06852225645385</c:v>
                </c:pt>
                <c:pt idx="33">
                  <c:v>490.98246712586098</c:v>
                </c:pt>
                <c:pt idx="34">
                  <c:v>422.90224581461825</c:v>
                </c:pt>
                <c:pt idx="35">
                  <c:v>443.38260000000002</c:v>
                </c:pt>
                <c:pt idx="36">
                  <c:v>419.56290973521021</c:v>
                </c:pt>
                <c:pt idx="37">
                  <c:v>551.85359565807323</c:v>
                </c:pt>
                <c:pt idx="38">
                  <c:v>497.43462502409869</c:v>
                </c:pt>
                <c:pt idx="39">
                  <c:v>473.14400612792036</c:v>
                </c:pt>
                <c:pt idx="40">
                  <c:v>403.45943911161305</c:v>
                </c:pt>
                <c:pt idx="41" formatCode="0">
                  <c:v>425.91808892571117</c:v>
                </c:pt>
                <c:pt idx="42" formatCode="0">
                  <c:v>441.10996470268805</c:v>
                </c:pt>
                <c:pt idx="43" formatCode="0">
                  <c:v>414</c:v>
                </c:pt>
                <c:pt idx="44" formatCode="0">
                  <c:v>654.93296475466491</c:v>
                </c:pt>
                <c:pt idx="45" formatCode="0">
                  <c:v>622.09764503159113</c:v>
                </c:pt>
                <c:pt idx="46" formatCode="0">
                  <c:v>653.54426728627516</c:v>
                </c:pt>
              </c:numCache>
            </c:numRef>
          </c:val>
          <c:extLst>
            <c:ext xmlns:c16="http://schemas.microsoft.com/office/drawing/2014/chart" uri="{C3380CC4-5D6E-409C-BE32-E72D297353CC}">
              <c16:uniqueId val="{00000001-C8B2-44E8-A2E8-6D496DED2BC4}"/>
            </c:ext>
          </c:extLst>
        </c:ser>
        <c:ser>
          <c:idx val="2"/>
          <c:order val="2"/>
          <c:tx>
            <c:strRef>
              <c:f>'Complete Data 1978-2023R'!$B$209</c:f>
              <c:strCache>
                <c:ptCount val="1"/>
                <c:pt idx="0">
                  <c:v>Efficiency</c:v>
                </c:pt>
              </c:strCache>
            </c:strRef>
          </c:tx>
          <c:spPr>
            <a:solidFill>
              <a:srgbClr val="FCF305"/>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1978-2023R'!$E$209:$AY$209</c:f>
              <c:numCache>
                <c:formatCode>0.0</c:formatCode>
                <c:ptCount val="47"/>
                <c:pt idx="0">
                  <c:v>621.74918815663796</c:v>
                </c:pt>
                <c:pt idx="1">
                  <c:v>754.11263157894723</c:v>
                </c:pt>
                <c:pt idx="2">
                  <c:v>880.10944694363593</c:v>
                </c:pt>
                <c:pt idx="3">
                  <c:v>785.52368483694374</c:v>
                </c:pt>
                <c:pt idx="4">
                  <c:v>379.64904740806384</c:v>
                </c:pt>
                <c:pt idx="5">
                  <c:v>320.37071729957802</c:v>
                </c:pt>
                <c:pt idx="6">
                  <c:v>341.07315206445116</c:v>
                </c:pt>
                <c:pt idx="7">
                  <c:v>350.54707369239748</c:v>
                </c:pt>
                <c:pt idx="8">
                  <c:v>351.64954303122619</c:v>
                </c:pt>
                <c:pt idx="9">
                  <c:v>312.14363502575429</c:v>
                </c:pt>
                <c:pt idx="10">
                  <c:v>298.35867328840015</c:v>
                </c:pt>
                <c:pt idx="11">
                  <c:v>291.34094555384883</c:v>
                </c:pt>
                <c:pt idx="12">
                  <c:v>356.12516258129074</c:v>
                </c:pt>
                <c:pt idx="13">
                  <c:v>409.84330392943065</c:v>
                </c:pt>
                <c:pt idx="14">
                  <c:v>442.48211009174315</c:v>
                </c:pt>
                <c:pt idx="15">
                  <c:v>515.88204673173618</c:v>
                </c:pt>
                <c:pt idx="16">
                  <c:v>618.7802354308966</c:v>
                </c:pt>
                <c:pt idx="17">
                  <c:v>665.90385212360661</c:v>
                </c:pt>
                <c:pt idx="18">
                  <c:v>565.42802935881468</c:v>
                </c:pt>
                <c:pt idx="19">
                  <c:v>602.92964769647699</c:v>
                </c:pt>
                <c:pt idx="20">
                  <c:v>654.47772083614279</c:v>
                </c:pt>
                <c:pt idx="21">
                  <c:v>726.62064687876534</c:v>
                </c:pt>
                <c:pt idx="22">
                  <c:v>751.03606287229263</c:v>
                </c:pt>
                <c:pt idx="23">
                  <c:v>805.76073266358458</c:v>
                </c:pt>
                <c:pt idx="24">
                  <c:v>662.74149503532124</c:v>
                </c:pt>
                <c:pt idx="25">
                  <c:v>683.24091411721349</c:v>
                </c:pt>
                <c:pt idx="26">
                  <c:v>648.47479908840126</c:v>
                </c:pt>
                <c:pt idx="27">
                  <c:v>541.69418793143518</c:v>
                </c:pt>
                <c:pt idx="28">
                  <c:v>523.74677408446382</c:v>
                </c:pt>
                <c:pt idx="29">
                  <c:v>504.54248404253531</c:v>
                </c:pt>
                <c:pt idx="30">
                  <c:v>598.74377907306075</c:v>
                </c:pt>
                <c:pt idx="31">
                  <c:v>743.92040673954818</c:v>
                </c:pt>
                <c:pt idx="32">
                  <c:v>805.76954279906988</c:v>
                </c:pt>
                <c:pt idx="33">
                  <c:v>885.94324028393021</c:v>
                </c:pt>
                <c:pt idx="34">
                  <c:v>773.68940017770763</c:v>
                </c:pt>
                <c:pt idx="35">
                  <c:v>818.37046889987289</c:v>
                </c:pt>
                <c:pt idx="36">
                  <c:v>694.60891901268531</c:v>
                </c:pt>
                <c:pt idx="37">
                  <c:v>787.04055912283854</c:v>
                </c:pt>
                <c:pt idx="38">
                  <c:v>757.66996309286469</c:v>
                </c:pt>
                <c:pt idx="39">
                  <c:v>886.39136395838261</c:v>
                </c:pt>
                <c:pt idx="40">
                  <c:v>843.67473648146461</c:v>
                </c:pt>
                <c:pt idx="41" formatCode="0">
                  <c:v>989.05396709738329</c:v>
                </c:pt>
                <c:pt idx="42" formatCode="0">
                  <c:v>999.72233386843982</c:v>
                </c:pt>
                <c:pt idx="43" formatCode="0">
                  <c:v>1131.0264629847238</c:v>
                </c:pt>
                <c:pt idx="44" formatCode="0">
                  <c:v>1146.2320184338921</c:v>
                </c:pt>
                <c:pt idx="45" formatCode="0">
                  <c:v>1089.8002216205052</c:v>
                </c:pt>
                <c:pt idx="46" formatCode="0">
                  <c:v>1545.5862867618857</c:v>
                </c:pt>
              </c:numCache>
            </c:numRef>
          </c:val>
          <c:extLst>
            <c:ext xmlns:c16="http://schemas.microsoft.com/office/drawing/2014/chart" uri="{C3380CC4-5D6E-409C-BE32-E72D297353CC}">
              <c16:uniqueId val="{00000002-C8B2-44E8-A2E8-6D496DED2BC4}"/>
            </c:ext>
          </c:extLst>
        </c:ser>
        <c:ser>
          <c:idx val="3"/>
          <c:order val="3"/>
          <c:tx>
            <c:strRef>
              <c:f>'Complete Data 1978-2023R'!$B$211</c:f>
              <c:strCache>
                <c:ptCount val="1"/>
                <c:pt idx="0">
                  <c:v>Renewables</c:v>
                </c:pt>
              </c:strCache>
            </c:strRef>
          </c:tx>
          <c:spPr>
            <a:solidFill>
              <a:srgbClr val="666699"/>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1978-2023R'!$E$211:$AY$211</c:f>
              <c:numCache>
                <c:formatCode>0.0</c:formatCode>
                <c:ptCount val="47"/>
                <c:pt idx="0">
                  <c:v>2172.3507163323779</c:v>
                </c:pt>
                <c:pt idx="1">
                  <c:v>2539.7695321637425</c:v>
                </c:pt>
                <c:pt idx="2">
                  <c:v>2485.9807885684045</c:v>
                </c:pt>
                <c:pt idx="3">
                  <c:v>2209.9399666746017</c:v>
                </c:pt>
                <c:pt idx="4">
                  <c:v>1001.9835622507754</c:v>
                </c:pt>
                <c:pt idx="5">
                  <c:v>723.57130801687777</c:v>
                </c:pt>
                <c:pt idx="6">
                  <c:v>581.36952668680772</c:v>
                </c:pt>
                <c:pt idx="7">
                  <c:v>560.9191911335796</c:v>
                </c:pt>
                <c:pt idx="8">
                  <c:v>448.53038842345779</c:v>
                </c:pt>
                <c:pt idx="9">
                  <c:v>377.7270051508462</c:v>
                </c:pt>
                <c:pt idx="10">
                  <c:v>304.66202554097202</c:v>
                </c:pt>
                <c:pt idx="11">
                  <c:v>309.24888206178531</c:v>
                </c:pt>
                <c:pt idx="12">
                  <c:v>261.68520927130237</c:v>
                </c:pt>
                <c:pt idx="13">
                  <c:v>364.06389735364883</c:v>
                </c:pt>
                <c:pt idx="14">
                  <c:v>416.95097859327223</c:v>
                </c:pt>
                <c:pt idx="15">
                  <c:v>426.62043774031349</c:v>
                </c:pt>
                <c:pt idx="16">
                  <c:v>505.97663130358961</c:v>
                </c:pt>
                <c:pt idx="17">
                  <c:v>573.89036263581215</c:v>
                </c:pt>
                <c:pt idx="18">
                  <c:v>397.00265891150821</c:v>
                </c:pt>
                <c:pt idx="19">
                  <c:v>352.15738753387529</c:v>
                </c:pt>
                <c:pt idx="20">
                  <c:v>445.27003371544163</c:v>
                </c:pt>
                <c:pt idx="21">
                  <c:v>533.89918558077443</c:v>
                </c:pt>
                <c:pt idx="22">
                  <c:v>416.69853715775758</c:v>
                </c:pt>
                <c:pt idx="23">
                  <c:v>493.1300343467754</c:v>
                </c:pt>
                <c:pt idx="24">
                  <c:v>501.30730377998248</c:v>
                </c:pt>
                <c:pt idx="25">
                  <c:v>393.53235041159849</c:v>
                </c:pt>
                <c:pt idx="26">
                  <c:v>353.60280676502344</c:v>
                </c:pt>
                <c:pt idx="27">
                  <c:v>383.64563393891183</c:v>
                </c:pt>
                <c:pt idx="28">
                  <c:v>340.69106754950337</c:v>
                </c:pt>
                <c:pt idx="29">
                  <c:v>675.8384391886724</c:v>
                </c:pt>
                <c:pt idx="30">
                  <c:v>812.59393667958284</c:v>
                </c:pt>
                <c:pt idx="31">
                  <c:v>990.97148689500364</c:v>
                </c:pt>
                <c:pt idx="32">
                  <c:v>1910.3033144858821</c:v>
                </c:pt>
                <c:pt idx="33">
                  <c:v>1129.9809472671702</c:v>
                </c:pt>
                <c:pt idx="34">
                  <c:v>849.23284836101413</c:v>
                </c:pt>
                <c:pt idx="35">
                  <c:v>893.90928233017951</c:v>
                </c:pt>
                <c:pt idx="36">
                  <c:v>833.29234527347251</c:v>
                </c:pt>
                <c:pt idx="37">
                  <c:v>900.76419451164134</c:v>
                </c:pt>
                <c:pt idx="38">
                  <c:v>834.03018759768884</c:v>
                </c:pt>
                <c:pt idx="39">
                  <c:v>912.94617530852929</c:v>
                </c:pt>
                <c:pt idx="40">
                  <c:v>873.30329027276036</c:v>
                </c:pt>
                <c:pt idx="41" formatCode="0">
                  <c:v>944.58585036222757</c:v>
                </c:pt>
                <c:pt idx="42" formatCode="0">
                  <c:v>945.43965770642592</c:v>
                </c:pt>
                <c:pt idx="43" formatCode="0">
                  <c:v>1093.0292405866951</c:v>
                </c:pt>
                <c:pt idx="44" formatCode="0">
                  <c:v>1076.4297196222544</c:v>
                </c:pt>
                <c:pt idx="45" formatCode="0">
                  <c:v>1022.4624956385671</c:v>
                </c:pt>
                <c:pt idx="46" formatCode="0">
                  <c:v>1798.5691759627609</c:v>
                </c:pt>
              </c:numCache>
            </c:numRef>
          </c:val>
          <c:extLst>
            <c:ext xmlns:c16="http://schemas.microsoft.com/office/drawing/2014/chart" uri="{C3380CC4-5D6E-409C-BE32-E72D297353CC}">
              <c16:uniqueId val="{00000003-C8B2-44E8-A2E8-6D496DED2BC4}"/>
            </c:ext>
          </c:extLst>
        </c:ser>
        <c:ser>
          <c:idx val="4"/>
          <c:order val="4"/>
          <c:tx>
            <c:strRef>
              <c:f>'Complete Data 1978-2023R'!$B$212</c:f>
              <c:strCache>
                <c:ptCount val="1"/>
                <c:pt idx="0">
                  <c:v>Fossil including CCT demo</c:v>
                </c:pt>
              </c:strCache>
            </c:strRef>
          </c:tx>
          <c:spPr>
            <a:solidFill>
              <a:srgbClr val="660066"/>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1978-2023R'!$E$212:$AY$212</c:f>
              <c:numCache>
                <c:formatCode>0.0</c:formatCode>
                <c:ptCount val="47"/>
                <c:pt idx="0">
                  <c:v>2749.2017828716971</c:v>
                </c:pt>
                <c:pt idx="1">
                  <c:v>2509.0904093567246</c:v>
                </c:pt>
                <c:pt idx="2">
                  <c:v>2493.7429478698073</c:v>
                </c:pt>
                <c:pt idx="3">
                  <c:v>2670.2434182337543</c:v>
                </c:pt>
                <c:pt idx="4">
                  <c:v>1044.2223305272485</c:v>
                </c:pt>
                <c:pt idx="5">
                  <c:v>516.73464135021095</c:v>
                </c:pt>
                <c:pt idx="6">
                  <c:v>594.32167170191337</c:v>
                </c:pt>
                <c:pt idx="7">
                  <c:v>633.96811199688898</c:v>
                </c:pt>
                <c:pt idx="8">
                  <c:v>664.63267326732671</c:v>
                </c:pt>
                <c:pt idx="9">
                  <c:v>608.51405445180285</c:v>
                </c:pt>
                <c:pt idx="10">
                  <c:v>1042.7545583540264</c:v>
                </c:pt>
                <c:pt idx="11">
                  <c:v>1088.1478409284864</c:v>
                </c:pt>
                <c:pt idx="12">
                  <c:v>1799.2504252126066</c:v>
                </c:pt>
                <c:pt idx="13">
                  <c:v>1515.4250200481156</c:v>
                </c:pt>
                <c:pt idx="14">
                  <c:v>1422.6705504587158</c:v>
                </c:pt>
                <c:pt idx="15">
                  <c:v>665.04069801833759</c:v>
                </c:pt>
                <c:pt idx="16">
                  <c:v>1035.5633192849878</c:v>
                </c:pt>
                <c:pt idx="17">
                  <c:v>692.72785381684787</c:v>
                </c:pt>
                <c:pt idx="18">
                  <c:v>781.97493421963725</c:v>
                </c:pt>
                <c:pt idx="19">
                  <c:v>521.90715447154469</c:v>
                </c:pt>
                <c:pt idx="20">
                  <c:v>365.83197302764665</c:v>
                </c:pt>
                <c:pt idx="21">
                  <c:v>486.76783978638201</c:v>
                </c:pt>
                <c:pt idx="22">
                  <c:v>370.08490221642774</c:v>
                </c:pt>
                <c:pt idx="23">
                  <c:v>761.05062460246791</c:v>
                </c:pt>
                <c:pt idx="24">
                  <c:v>860.77848800703259</c:v>
                </c:pt>
                <c:pt idx="25">
                  <c:v>763.81870745791889</c:v>
                </c:pt>
                <c:pt idx="26">
                  <c:v>738.73621206669065</c:v>
                </c:pt>
                <c:pt idx="27">
                  <c:v>509.89495114006519</c:v>
                </c:pt>
                <c:pt idx="28">
                  <c:v>699.30996171602294</c:v>
                </c:pt>
                <c:pt idx="29">
                  <c:v>705.97575957003414</c:v>
                </c:pt>
                <c:pt idx="30">
                  <c:v>789.08163395225449</c:v>
                </c:pt>
                <c:pt idx="31">
                  <c:v>1022.1278657176247</c:v>
                </c:pt>
                <c:pt idx="32">
                  <c:v>4073.4096674811435</c:v>
                </c:pt>
                <c:pt idx="33">
                  <c:v>764.4962012106032</c:v>
                </c:pt>
                <c:pt idx="34">
                  <c:v>487.6136602694977</c:v>
                </c:pt>
                <c:pt idx="35">
                  <c:v>370.72651999999994</c:v>
                </c:pt>
                <c:pt idx="36">
                  <c:v>555.71540505955318</c:v>
                </c:pt>
                <c:pt idx="37">
                  <c:v>607.1811009885638</c:v>
                </c:pt>
                <c:pt idx="38">
                  <c:v>586.8293040293039</c:v>
                </c:pt>
                <c:pt idx="39">
                  <c:v>673.31200689391039</c:v>
                </c:pt>
                <c:pt idx="40">
                  <c:v>609.75462074157724</c:v>
                </c:pt>
                <c:pt idx="41" formatCode="0">
                  <c:v>641.00620454754676</c:v>
                </c:pt>
                <c:pt idx="42" formatCode="0">
                  <c:v>704.24431170241667</c:v>
                </c:pt>
                <c:pt idx="43" formatCode="0">
                  <c:v>696.9</c:v>
                </c:pt>
                <c:pt idx="44" formatCode="0">
                  <c:v>638.46218037318602</c:v>
                </c:pt>
                <c:pt idx="45" formatCode="0">
                  <c:v>606.45262985148122</c:v>
                </c:pt>
                <c:pt idx="46" formatCode="0">
                  <c:v>707.96109286114893</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1978-2023R'!$E$213:$AY$213</c:f>
              <c:numCache>
                <c:formatCode>0.0</c:formatCode>
                <c:ptCount val="47"/>
                <c:pt idx="25">
                  <c:v>115.7448089445878</c:v>
                </c:pt>
                <c:pt idx="26">
                  <c:v>109.7481348206789</c:v>
                </c:pt>
                <c:pt idx="27">
                  <c:v>128.09716147045137</c:v>
                </c:pt>
                <c:pt idx="28">
                  <c:v>185.34442067334763</c:v>
                </c:pt>
                <c:pt idx="29">
                  <c:v>111.86714928156194</c:v>
                </c:pt>
                <c:pt idx="30">
                  <c:v>119.58321485411142</c:v>
                </c:pt>
                <c:pt idx="31">
                  <c:v>147.54214384362052</c:v>
                </c:pt>
                <c:pt idx="32">
                  <c:v>865.95612450865838</c:v>
                </c:pt>
                <c:pt idx="33">
                  <c:v>198.3945940304738</c:v>
                </c:pt>
                <c:pt idx="34">
                  <c:v>159.04902000816659</c:v>
                </c:pt>
                <c:pt idx="35">
                  <c:v>153.66084000000001</c:v>
                </c:pt>
                <c:pt idx="36">
                  <c:v>143.59312924500446</c:v>
                </c:pt>
                <c:pt idx="37">
                  <c:v>160.95274277960843</c:v>
                </c:pt>
                <c:pt idx="38">
                  <c:v>156.49506458453826</c:v>
                </c:pt>
                <c:pt idx="39">
                  <c:v>222.52891612409039</c:v>
                </c:pt>
                <c:pt idx="40">
                  <c:v>243.77444005270092</c:v>
                </c:pt>
                <c:pt idx="41" formatCode="0">
                  <c:v>271.06710853355429</c:v>
                </c:pt>
                <c:pt idx="42" formatCode="0">
                  <c:v>270.07774459227085</c:v>
                </c:pt>
                <c:pt idx="43" formatCode="0">
                  <c:v>333</c:v>
                </c:pt>
                <c:pt idx="44" formatCode="0">
                  <c:v>347.64075673807878</c:v>
                </c:pt>
                <c:pt idx="45" formatCode="0">
                  <c:v>330.21165176007224</c:v>
                </c:pt>
                <c:pt idx="46" formatCode="0">
                  <c:v>451.51502283470876</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1978-2023R'!$E$210:$AY$210</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15.740037785205638</c:v>
                </c:pt>
                <c:pt idx="17">
                  <c:v>14.008974178072531</c:v>
                </c:pt>
                <c:pt idx="18">
                  <c:v>22.342140977703924</c:v>
                </c:pt>
                <c:pt idx="19">
                  <c:v>22.625149051490517</c:v>
                </c:pt>
                <c:pt idx="20">
                  <c:v>28.756547538772757</c:v>
                </c:pt>
                <c:pt idx="21">
                  <c:v>37.626750333778375</c:v>
                </c:pt>
                <c:pt idx="22">
                  <c:v>35.728784876140814</c:v>
                </c:pt>
                <c:pt idx="23">
                  <c:v>38.175957257346397</c:v>
                </c:pt>
                <c:pt idx="24">
                  <c:v>107.11028506844154</c:v>
                </c:pt>
                <c:pt idx="25">
                  <c:v>127.52721464553386</c:v>
                </c:pt>
                <c:pt idx="26">
                  <c:v>195.13786733837111</c:v>
                </c:pt>
                <c:pt idx="27">
                  <c:v>218.92014890646814</c:v>
                </c:pt>
                <c:pt idx="28">
                  <c:v>194.99909920054048</c:v>
                </c:pt>
                <c:pt idx="29">
                  <c:v>234.50027421300871</c:v>
                </c:pt>
                <c:pt idx="30">
                  <c:v>246.82741644562336</c:v>
                </c:pt>
                <c:pt idx="31">
                  <c:v>197.28218421332201</c:v>
                </c:pt>
                <c:pt idx="32">
                  <c:v>51.537873154148521</c:v>
                </c:pt>
                <c:pt idx="33">
                  <c:v>204.87038196618659</c:v>
                </c:pt>
                <c:pt idx="34">
                  <c:v>110.33233973050226</c:v>
                </c:pt>
                <c:pt idx="35">
                  <c:v>114.28666000000001</c:v>
                </c:pt>
                <c:pt idx="36">
                  <c:v>106.38995964169703</c:v>
                </c:pt>
                <c:pt idx="37">
                  <c:v>101.57955030044583</c:v>
                </c:pt>
                <c:pt idx="38">
                  <c:v>103.09751301330249</c:v>
                </c:pt>
                <c:pt idx="39">
                  <c:v>109.10398314821907</c:v>
                </c:pt>
                <c:pt idx="40">
                  <c:v>107.23527197440242</c:v>
                </c:pt>
                <c:pt idx="41" formatCode="0">
                  <c:v>119.43569916229403</c:v>
                </c:pt>
                <c:pt idx="42" formatCode="0">
                  <c:v>122.53054575074668</c:v>
                </c:pt>
                <c:pt idx="43" formatCode="0">
                  <c:v>150</c:v>
                </c:pt>
                <c:pt idx="44" formatCode="0">
                  <c:v>146.19039391845197</c:v>
                </c:pt>
                <c:pt idx="45" formatCode="0">
                  <c:v>138.86108148026588</c:v>
                </c:pt>
                <c:pt idx="46" formatCode="0">
                  <c:v>168.13172021472639</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1978-2023R'!$E$214:$AY$214</c:f>
              <c:numCache>
                <c:formatCode>0.0</c:formatCode>
                <c:ptCount val="47"/>
                <c:pt idx="31">
                  <c:v>10.427430149792841</c:v>
                </c:pt>
                <c:pt idx="32">
                  <c:v>466.11811324763624</c:v>
                </c:pt>
                <c:pt idx="33">
                  <c:v>0</c:v>
                </c:pt>
                <c:pt idx="34">
                  <c:v>206.84434463046142</c:v>
                </c:pt>
                <c:pt idx="35">
                  <c:v>310.25500000000005</c:v>
                </c:pt>
                <c:pt idx="36">
                  <c:v>278.30191948026385</c:v>
                </c:pt>
                <c:pt idx="37">
                  <c:v>306.18197712735025</c:v>
                </c:pt>
                <c:pt idx="38">
                  <c:v>304.49654713707349</c:v>
                </c:pt>
                <c:pt idx="39">
                  <c:v>314.45712370739182</c:v>
                </c:pt>
                <c:pt idx="40">
                  <c:v>324.14780726519859</c:v>
                </c:pt>
                <c:pt idx="41" formatCode="0">
                  <c:v>367.03109638221491</c:v>
                </c:pt>
                <c:pt idx="42" formatCode="0">
                  <c:v>373.82027332790307</c:v>
                </c:pt>
                <c:pt idx="43" formatCode="0">
                  <c:v>425</c:v>
                </c:pt>
                <c:pt idx="44" formatCode="0">
                  <c:v>450.26641326883208</c:v>
                </c:pt>
                <c:pt idx="45" formatCode="0">
                  <c:v>429.54361204562247</c:v>
                </c:pt>
                <c:pt idx="46" formatCode="0">
                  <c:v>632.75378575434661</c:v>
                </c:pt>
              </c:numCache>
            </c:numRef>
          </c:val>
          <c:extLst>
            <c:ext xmlns:c16="http://schemas.microsoft.com/office/drawing/2014/chart" uri="{C3380CC4-5D6E-409C-BE32-E72D297353CC}">
              <c16:uniqueId val="{00000007-C8B2-44E8-A2E8-6D496DED2BC4}"/>
            </c:ext>
          </c:extLst>
        </c:ser>
        <c:ser>
          <c:idx val="9"/>
          <c:order val="8"/>
          <c:tx>
            <c:strRef>
              <c:f>'Complete Data 1978-2023R'!$BB$215</c:f>
              <c:strCache>
                <c:ptCount val="1"/>
                <c:pt idx="0">
                  <c:v>ARPA-C</c:v>
                </c:pt>
              </c:strCache>
            </c:strRef>
          </c:tx>
          <c:invertIfNegative val="0"/>
          <c:dPt>
            <c:idx val="45"/>
            <c:invertIfNegative val="0"/>
            <c:bubble3D val="0"/>
            <c:spPr>
              <a:ln w="12700">
                <a:solidFill>
                  <a:schemeClr val="tx1"/>
                </a:solidFill>
              </a:ln>
            </c:spPr>
            <c:extLst>
              <c:ext xmlns:c16="http://schemas.microsoft.com/office/drawing/2014/chart" uri="{C3380CC4-5D6E-409C-BE32-E72D297353CC}">
                <c16:uniqueId val="{00000004-B6CE-4E4A-BCD1-739BD06EB2FC}"/>
              </c:ext>
            </c:extLst>
          </c:dPt>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1978-2023R'!$E$215:$AY$215</c:f>
              <c:numCache>
                <c:formatCode>0.0</c:formatCode>
                <c:ptCount val="47"/>
                <c:pt idx="45" formatCode="0">
                  <c:v>0</c:v>
                </c:pt>
                <c:pt idx="46" formatCode="0">
                  <c:v>0</c:v>
                </c:pt>
              </c:numCache>
            </c:numRef>
          </c:val>
          <c:extLst>
            <c:ext xmlns:c16="http://schemas.microsoft.com/office/drawing/2014/chart" uri="{C3380CC4-5D6E-409C-BE32-E72D297353CC}">
              <c16:uniqueId val="{00000003-B6CE-4E4A-BCD1-739BD06EB2FC}"/>
            </c:ext>
          </c:extLst>
        </c:ser>
        <c:ser>
          <c:idx val="10"/>
          <c:order val="9"/>
          <c:tx>
            <c:strRef>
              <c:f>'Complete Data 1978-2023R'!$BB$216</c:f>
              <c:strCache>
                <c:ptCount val="1"/>
                <c:pt idx="0">
                  <c:v>OCDE</c:v>
                </c:pt>
              </c:strCache>
            </c:strRef>
          </c:tx>
          <c:invertIfNegative val="0"/>
          <c:dPt>
            <c:idx val="45"/>
            <c:invertIfNegative val="0"/>
            <c:bubble3D val="0"/>
            <c:spPr>
              <a:ln w="12700">
                <a:solidFill>
                  <a:schemeClr val="tx1"/>
                </a:solidFill>
              </a:ln>
            </c:spPr>
            <c:extLst>
              <c:ext xmlns:c16="http://schemas.microsoft.com/office/drawing/2014/chart" uri="{C3380CC4-5D6E-409C-BE32-E72D297353CC}">
                <c16:uniqueId val="{00000006-B6CE-4E4A-BCD1-739BD06EB2FC}"/>
              </c:ext>
            </c:extLst>
          </c:dPt>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1978-2023R'!$E$216:$AY$216</c:f>
              <c:numCache>
                <c:formatCode>0.0</c:formatCode>
                <c:ptCount val="47"/>
                <c:pt idx="45" formatCode="0">
                  <c:v>0</c:v>
                </c:pt>
              </c:numCache>
            </c:numRef>
          </c:val>
          <c:extLst>
            <c:ext xmlns:c16="http://schemas.microsoft.com/office/drawing/2014/chart" uri="{C3380CC4-5D6E-409C-BE32-E72D297353CC}">
              <c16:uniqueId val="{00000005-B6CE-4E4A-BCD1-739BD06EB2FC}"/>
            </c:ext>
          </c:extLst>
        </c:ser>
        <c:dLbls>
          <c:showLegendKey val="0"/>
          <c:showVal val="0"/>
          <c:showCatName val="0"/>
          <c:showSerName val="0"/>
          <c:showPercent val="0"/>
          <c:showBubbleSize val="0"/>
        </c:dLbls>
        <c:gapWidth val="100"/>
        <c:overlap val="100"/>
        <c:axId val="2125830760"/>
        <c:axId val="2125733272"/>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796314691432803"/>
          <c:h val="0.11099690810899947"/>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(FY1978-FY2023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6918307826906252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1978-2023R'!$E$230:$AY$230</c:f>
              <c:numCache>
                <c:formatCode>0.0</c:formatCode>
                <c:ptCount val="47"/>
                <c:pt idx="0">
                  <c:v>2240.9550461636422</c:v>
                </c:pt>
                <c:pt idx="1">
                  <c:v>2186.4647953216372</c:v>
                </c:pt>
                <c:pt idx="2">
                  <c:v>2176.0915056893359</c:v>
                </c:pt>
                <c:pt idx="3">
                  <c:v>1873.7089740537972</c:v>
                </c:pt>
                <c:pt idx="4">
                  <c:v>1168.4392999556933</c:v>
                </c:pt>
                <c:pt idx="5">
                  <c:v>486.98253164556968</c:v>
                </c:pt>
                <c:pt idx="6">
                  <c:v>447.64431017119841</c:v>
                </c:pt>
                <c:pt idx="7">
                  <c:v>461.1076025665954</c:v>
                </c:pt>
                <c:pt idx="8">
                  <c:v>455.40441736481341</c:v>
                </c:pt>
                <c:pt idx="9">
                  <c:v>363.19904341427525</c:v>
                </c:pt>
                <c:pt idx="10">
                  <c:v>402.4140120610146</c:v>
                </c:pt>
                <c:pt idx="11">
                  <c:v>415.54115036695691</c:v>
                </c:pt>
                <c:pt idx="12">
                  <c:v>447.93133233283316</c:v>
                </c:pt>
                <c:pt idx="13">
                  <c:v>446.39445068163593</c:v>
                </c:pt>
                <c:pt idx="14">
                  <c:v>389.17724770642201</c:v>
                </c:pt>
                <c:pt idx="15">
                  <c:v>310.83061224489796</c:v>
                </c:pt>
                <c:pt idx="16">
                  <c:v>272.00752797558494</c:v>
                </c:pt>
                <c:pt idx="17">
                  <c:v>230.03372371948643</c:v>
                </c:pt>
                <c:pt idx="18">
                  <c:v>186.86154272261462</c:v>
                </c:pt>
                <c:pt idx="19">
                  <c:v>154.24848238482386</c:v>
                </c:pt>
                <c:pt idx="20">
                  <c:v>160.2150505731625</c:v>
                </c:pt>
                <c:pt idx="21">
                  <c:v>181.6266435246996</c:v>
                </c:pt>
                <c:pt idx="22">
                  <c:v>178.27619295958283</c:v>
                </c:pt>
                <c:pt idx="23">
                  <c:v>385.06050120849767</c:v>
                </c:pt>
                <c:pt idx="24">
                  <c:v>471.79530327765917</c:v>
                </c:pt>
                <c:pt idx="25">
                  <c:v>469.35559651062789</c:v>
                </c:pt>
                <c:pt idx="26">
                  <c:v>433.03826316420776</c:v>
                </c:pt>
                <c:pt idx="27">
                  <c:v>367.22936249418336</c:v>
                </c:pt>
                <c:pt idx="28">
                  <c:v>361.52324850805098</c:v>
                </c:pt>
                <c:pt idx="29">
                  <c:v>327.43415597235935</c:v>
                </c:pt>
                <c:pt idx="30">
                  <c:v>349.53251989389923</c:v>
                </c:pt>
                <c:pt idx="31">
                  <c:v>641.82630404759379</c:v>
                </c:pt>
                <c:pt idx="32">
                  <c:v>982.81525549771607</c:v>
                </c:pt>
                <c:pt idx="33">
                  <c:v>286.70079315383009</c:v>
                </c:pt>
                <c:pt idx="34">
                  <c:v>289.50376725193956</c:v>
                </c:pt>
                <c:pt idx="35">
                  <c:v>203.18882000000002</c:v>
                </c:pt>
                <c:pt idx="36">
                  <c:v>190.235909046166</c:v>
                </c:pt>
                <c:pt idx="37">
                  <c:v>209.28230277185503</c:v>
                </c:pt>
                <c:pt idx="38">
                  <c:v>214.67773279352227</c:v>
                </c:pt>
                <c:pt idx="39">
                  <c:v>224.68939103791652</c:v>
                </c:pt>
                <c:pt idx="40">
                  <c:v>216.06314699792964</c:v>
                </c:pt>
                <c:pt idx="41">
                  <c:v>232.01682776396947</c:v>
                </c:pt>
                <c:pt idx="42">
                  <c:v>293.86909222554084</c:v>
                </c:pt>
                <c:pt idx="43">
                  <c:v>273</c:v>
                </c:pt>
                <c:pt idx="44">
                  <c:v>220.06527297857639</c:v>
                </c:pt>
                <c:pt idx="45">
                  <c:v>209.03221465496023</c:v>
                </c:pt>
                <c:pt idx="46">
                  <c:v>177.17106001121704</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1978-2023R'!$E$233:$AY$233</c:f>
              <c:numCache>
                <c:formatCode>0.0</c:formatCode>
                <c:ptCount val="47"/>
                <c:pt idx="0">
                  <c:v>282.6785737026425</c:v>
                </c:pt>
                <c:pt idx="1">
                  <c:v>332.8519883040936</c:v>
                </c:pt>
                <c:pt idx="2">
                  <c:v>184.20201111405134</c:v>
                </c:pt>
                <c:pt idx="3">
                  <c:v>155.22485122589862</c:v>
                </c:pt>
                <c:pt idx="4">
                  <c:v>98.473814798404959</c:v>
                </c:pt>
                <c:pt idx="5">
                  <c:v>56.410000000000011</c:v>
                </c:pt>
                <c:pt idx="6">
                  <c:v>68.623645518630411</c:v>
                </c:pt>
                <c:pt idx="7">
                  <c:v>69.539062803811007</c:v>
                </c:pt>
                <c:pt idx="8">
                  <c:v>62.510700685453166</c:v>
                </c:pt>
                <c:pt idx="9">
                  <c:v>53.753458425312736</c:v>
                </c:pt>
                <c:pt idx="10">
                  <c:v>59.031394111387023</c:v>
                </c:pt>
                <c:pt idx="11">
                  <c:v>73.749889059566485</c:v>
                </c:pt>
                <c:pt idx="12">
                  <c:v>73.369684842421222</c:v>
                </c:pt>
                <c:pt idx="13">
                  <c:v>107.12019246190859</c:v>
                </c:pt>
                <c:pt idx="14">
                  <c:v>97.466819571865443</c:v>
                </c:pt>
                <c:pt idx="15">
                  <c:v>102.77598343685301</c:v>
                </c:pt>
                <c:pt idx="16">
                  <c:v>121.82133410841446</c:v>
                </c:pt>
                <c:pt idx="17">
                  <c:v>119.71305206716525</c:v>
                </c:pt>
                <c:pt idx="18">
                  <c:v>85.77507270461156</c:v>
                </c:pt>
                <c:pt idx="19">
                  <c:v>69.098428184281843</c:v>
                </c:pt>
                <c:pt idx="20">
                  <c:v>72.57604855023601</c:v>
                </c:pt>
                <c:pt idx="21">
                  <c:v>71.24680907877169</c:v>
                </c:pt>
                <c:pt idx="22">
                  <c:v>81.930560625814877</c:v>
                </c:pt>
                <c:pt idx="23">
                  <c:v>93.430632235084602</c:v>
                </c:pt>
                <c:pt idx="24">
                  <c:v>79.624312445058393</c:v>
                </c:pt>
                <c:pt idx="25">
                  <c:v>56.805057132325835</c:v>
                </c:pt>
                <c:pt idx="26">
                  <c:v>46.010315461197074</c:v>
                </c:pt>
                <c:pt idx="27">
                  <c:v>43.311540251279666</c:v>
                </c:pt>
                <c:pt idx="28">
                  <c:v>40.270172277896634</c:v>
                </c:pt>
                <c:pt idx="29">
                  <c:v>3.2174180103104097</c:v>
                </c:pt>
                <c:pt idx="30">
                  <c:v>5.8654429708222819</c:v>
                </c:pt>
                <c:pt idx="31">
                  <c:v>5.8729204291936696</c:v>
                </c:pt>
                <c:pt idx="32">
                  <c:v>0</c:v>
                </c:pt>
                <c:pt idx="33">
                  <c:v>0</c:v>
                </c:pt>
                <c:pt idx="34">
                  <c:v>0</c:v>
                </c:pt>
                <c:pt idx="35">
                  <c:v>0</c:v>
                </c:pt>
                <c:pt idx="36">
                  <c:v>5.1084949306034062</c:v>
                </c:pt>
                <c:pt idx="37">
                  <c:v>16.401434386509013</c:v>
                </c:pt>
                <c:pt idx="38">
                  <c:v>4.7851166377482173</c:v>
                </c:pt>
                <c:pt idx="39">
                  <c:v>21.928820375335121</c:v>
                </c:pt>
                <c:pt idx="40">
                  <c:v>22.296442687747039</c:v>
                </c:pt>
                <c:pt idx="41">
                  <c:v>41.542851882537057</c:v>
                </c:pt>
                <c:pt idx="42">
                  <c:v>46.970042537786227</c:v>
                </c:pt>
                <c:pt idx="43">
                  <c:v>46</c:v>
                </c:pt>
                <c:pt idx="44">
                  <c:v>44.831720801658605</c:v>
                </c:pt>
                <c:pt idx="45">
                  <c:v>42.584064987281536</c:v>
                </c:pt>
                <c:pt idx="46">
                  <c:v>0</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1978-2023R'!$E$234:$AY$234</c:f>
              <c:numCache>
                <c:formatCode>0.0</c:formatCode>
                <c:ptCount val="47"/>
                <c:pt idx="0">
                  <c:v>98.416682585163954</c:v>
                </c:pt>
                <c:pt idx="1">
                  <c:v>111.5004678362573</c:v>
                </c:pt>
                <c:pt idx="2">
                  <c:v>91.653188674252448</c:v>
                </c:pt>
                <c:pt idx="3">
                  <c:v>83.252082837419678</c:v>
                </c:pt>
                <c:pt idx="4">
                  <c:v>29.242224191404517</c:v>
                </c:pt>
                <c:pt idx="5">
                  <c:v>32.60831223628692</c:v>
                </c:pt>
                <c:pt idx="6">
                  <c:v>34.993514602215512</c:v>
                </c:pt>
                <c:pt idx="7">
                  <c:v>22.155979000583319</c:v>
                </c:pt>
                <c:pt idx="8">
                  <c:v>18.259139375476011</c:v>
                </c:pt>
                <c:pt idx="9">
                  <c:v>16.603384841795439</c:v>
                </c:pt>
                <c:pt idx="10">
                  <c:v>21.01117417523945</c:v>
                </c:pt>
                <c:pt idx="11">
                  <c:v>21.951664106502822</c:v>
                </c:pt>
                <c:pt idx="12">
                  <c:v>27.0903451725863</c:v>
                </c:pt>
                <c:pt idx="13">
                  <c:v>28.770457097032882</c:v>
                </c:pt>
                <c:pt idx="14">
                  <c:v>21.390948012232418</c:v>
                </c:pt>
                <c:pt idx="15">
                  <c:v>48.384797397219756</c:v>
                </c:pt>
                <c:pt idx="16">
                  <c:v>71.649963668071507</c:v>
                </c:pt>
                <c:pt idx="17">
                  <c:v>99.495555241992392</c:v>
                </c:pt>
                <c:pt idx="18">
                  <c:v>91.555906384157339</c:v>
                </c:pt>
                <c:pt idx="19">
                  <c:v>104.71775067750677</c:v>
                </c:pt>
                <c:pt idx="20">
                  <c:v>105.44067430883344</c:v>
                </c:pt>
                <c:pt idx="21">
                  <c:v>104.38485981308412</c:v>
                </c:pt>
                <c:pt idx="22">
                  <c:v>108.701408083442</c:v>
                </c:pt>
                <c:pt idx="23">
                  <c:v>63.004681338252134</c:v>
                </c:pt>
                <c:pt idx="24">
                  <c:v>62.480999623257567</c:v>
                </c:pt>
                <c:pt idx="25">
                  <c:v>63.624990785108736</c:v>
                </c:pt>
                <c:pt idx="26">
                  <c:v>56.836272040302269</c:v>
                </c:pt>
                <c:pt idx="27">
                  <c:v>57.223731968357377</c:v>
                </c:pt>
                <c:pt idx="28">
                  <c:v>41.54052471568518</c:v>
                </c:pt>
                <c:pt idx="29">
                  <c:v>14.478381046396843</c:v>
                </c:pt>
                <c:pt idx="30">
                  <c:v>23.102663129973479</c:v>
                </c:pt>
                <c:pt idx="31">
                  <c:v>23.251970678848402</c:v>
                </c:pt>
                <c:pt idx="32">
                  <c:v>0</c:v>
                </c:pt>
                <c:pt idx="33">
                  <c:v>43.446649968691297</c:v>
                </c:pt>
                <c:pt idx="34">
                  <c:v>0</c:v>
                </c:pt>
                <c:pt idx="35">
                  <c:v>21.999900000000004</c:v>
                </c:pt>
                <c:pt idx="36">
                  <c:v>15.436539029432033</c:v>
                </c:pt>
                <c:pt idx="37">
                  <c:v>22.52463655747238</c:v>
                </c:pt>
                <c:pt idx="38">
                  <c:v>26.426894158473107</c:v>
                </c:pt>
                <c:pt idx="39">
                  <c:v>46.450210647261585</c:v>
                </c:pt>
                <c:pt idx="40">
                  <c:v>45.654620741577268</c:v>
                </c:pt>
                <c:pt idx="41">
                  <c:v>51.928564853171316</c:v>
                </c:pt>
                <c:pt idx="42">
                  <c:v>52.075481944067342</c:v>
                </c:pt>
                <c:pt idx="43">
                  <c:v>51</c:v>
                </c:pt>
                <c:pt idx="44">
                  <c:v>62.861869384934352</c:v>
                </c:pt>
                <c:pt idx="45">
                  <c:v>59.710265036514329</c:v>
                </c:pt>
                <c:pt idx="46">
                  <c:v>125.64682317122025</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1978-2023R'!$E$239:$AY$239</c:f>
              <c:numCache>
                <c:formatCode>0.0</c:formatCode>
                <c:ptCount val="47"/>
                <c:pt idx="0">
                  <c:v>0</c:v>
                </c:pt>
                <c:pt idx="1">
                  <c:v>0</c:v>
                </c:pt>
                <c:pt idx="2">
                  <c:v>0</c:v>
                </c:pt>
                <c:pt idx="3">
                  <c:v>0</c:v>
                </c:pt>
                <c:pt idx="4">
                  <c:v>0</c:v>
                </c:pt>
                <c:pt idx="5">
                  <c:v>0</c:v>
                </c:pt>
                <c:pt idx="6">
                  <c:v>0.34084592145015108</c:v>
                </c:pt>
                <c:pt idx="7">
                  <c:v>20.401049970834148</c:v>
                </c:pt>
                <c:pt idx="8">
                  <c:v>13.318431073876619</c:v>
                </c:pt>
                <c:pt idx="9">
                  <c:v>7.0564385577630615</c:v>
                </c:pt>
                <c:pt idx="10">
                  <c:v>36.419368570415045</c:v>
                </c:pt>
                <c:pt idx="11">
                  <c:v>41.977743642259782</c:v>
                </c:pt>
                <c:pt idx="12">
                  <c:v>22.575287643821916</c:v>
                </c:pt>
                <c:pt idx="13">
                  <c:v>28.589510825982362</c:v>
                </c:pt>
                <c:pt idx="14">
                  <c:v>17.94079510703364</c:v>
                </c:pt>
                <c:pt idx="15">
                  <c:v>7.5079858030168589</c:v>
                </c:pt>
                <c:pt idx="16">
                  <c:v>6.2304316233105652</c:v>
                </c:pt>
                <c:pt idx="17">
                  <c:v>7.9596444193593916</c:v>
                </c:pt>
                <c:pt idx="18">
                  <c:v>6.249549923833265</c:v>
                </c:pt>
                <c:pt idx="19">
                  <c:v>3.0574525745257453</c:v>
                </c:pt>
                <c:pt idx="20">
                  <c:v>3.803776129467296</c:v>
                </c:pt>
                <c:pt idx="21">
                  <c:v>3.9163150867823768</c:v>
                </c:pt>
                <c:pt idx="22">
                  <c:v>3.8244067796610177</c:v>
                </c:pt>
                <c:pt idx="23">
                  <c:v>5.5972268159267271</c:v>
                </c:pt>
                <c:pt idx="24">
                  <c:v>19.12683661936456</c:v>
                </c:pt>
                <c:pt idx="25">
                  <c:v>9.6338493672441334</c:v>
                </c:pt>
                <c:pt idx="26">
                  <c:v>9.3373875494782315</c:v>
                </c:pt>
                <c:pt idx="27">
                  <c:v>9.0560493252675673</c:v>
                </c:pt>
                <c:pt idx="28">
                  <c:v>25.152978268213044</c:v>
                </c:pt>
                <c:pt idx="29">
                  <c:v>14.849621586048045</c:v>
                </c:pt>
                <c:pt idx="30">
                  <c:v>15.441676392572946</c:v>
                </c:pt>
                <c:pt idx="31">
                  <c:v>21.573993413364498</c:v>
                </c:pt>
                <c:pt idx="32">
                  <c:v>0</c:v>
                </c:pt>
                <c:pt idx="33">
                  <c:v>23.548319766228346</c:v>
                </c:pt>
                <c:pt idx="34">
                  <c:v>23.033891384238466</c:v>
                </c:pt>
                <c:pt idx="35">
                  <c:v>18.953760000000003</c:v>
                </c:pt>
                <c:pt idx="36">
                  <c:v>17.76867801949011</c:v>
                </c:pt>
                <c:pt idx="37">
                  <c:v>17.494863345609616</c:v>
                </c:pt>
                <c:pt idx="38">
                  <c:v>17.182918835550417</c:v>
                </c:pt>
                <c:pt idx="39">
                  <c:v>17.067751819226352</c:v>
                </c:pt>
                <c:pt idx="40">
                  <c:v>43.000282326369287</c:v>
                </c:pt>
                <c:pt idx="41">
                  <c:v>46.735708367854187</c:v>
                </c:pt>
                <c:pt idx="42">
                  <c:v>45.948954656530006</c:v>
                </c:pt>
                <c:pt idx="43">
                  <c:v>50</c:v>
                </c:pt>
                <c:pt idx="44">
                  <c:v>53.603144436765724</c:v>
                </c:pt>
                <c:pt idx="45">
                  <c:v>50.915729876097487</c:v>
                </c:pt>
                <c:pt idx="46">
                  <c:v>49.71636888069866</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1978-2023R'!$E$240:$AY$240</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7.6436314363143634</c:v>
                </c:pt>
                <c:pt idx="20">
                  <c:v>7.6075522589345921</c:v>
                </c:pt>
                <c:pt idx="21">
                  <c:v>7.5313751668891857</c:v>
                </c:pt>
                <c:pt idx="22">
                  <c:v>7.3546284224250336</c:v>
                </c:pt>
                <c:pt idx="23">
                  <c:v>7.4629690879023034</c:v>
                </c:pt>
                <c:pt idx="24">
                  <c:v>7.3673741052367205</c:v>
                </c:pt>
                <c:pt idx="25">
                  <c:v>8.3169922594913395</c:v>
                </c:pt>
                <c:pt idx="26">
                  <c:v>13.397121266642678</c:v>
                </c:pt>
                <c:pt idx="27">
                  <c:v>12.993462075383901</c:v>
                </c:pt>
                <c:pt idx="28">
                  <c:v>10.162819502308299</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1978-2023R'!$E$241:$AY$241</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8.6538602634650665</c:v>
                </c:pt>
                <c:pt idx="13">
                  <c:v>21.532606255012031</c:v>
                </c:pt>
                <c:pt idx="14">
                  <c:v>18.458318042813456</c:v>
                </c:pt>
                <c:pt idx="15">
                  <c:v>16.517568766637091</c:v>
                </c:pt>
                <c:pt idx="16">
                  <c:v>15.740037785205638</c:v>
                </c:pt>
                <c:pt idx="17">
                  <c:v>14.168167066459718</c:v>
                </c:pt>
                <c:pt idx="18">
                  <c:v>9.6868023819415612</c:v>
                </c:pt>
                <c:pt idx="19">
                  <c:v>8.2551219512195129</c:v>
                </c:pt>
                <c:pt idx="20">
                  <c:v>8.6726095751854348</c:v>
                </c:pt>
                <c:pt idx="21">
                  <c:v>10.09204272363151</c:v>
                </c:pt>
                <c:pt idx="22">
                  <c:v>10.590664928292048</c:v>
                </c:pt>
                <c:pt idx="23">
                  <c:v>11.33797226815927</c:v>
                </c:pt>
                <c:pt idx="24">
                  <c:v>11.334421700364185</c:v>
                </c:pt>
                <c:pt idx="25">
                  <c:v>11.089323012655118</c:v>
                </c:pt>
                <c:pt idx="26">
                  <c:v>10.961281036344008</c:v>
                </c:pt>
                <c:pt idx="27">
                  <c:v>10.631014425314099</c:v>
                </c:pt>
                <c:pt idx="28">
                  <c:v>7.3680441391735165</c:v>
                </c:pt>
                <c:pt idx="29">
                  <c:v>0</c:v>
                </c:pt>
                <c:pt idx="30">
                  <c:v>5.7457400530503984</c:v>
                </c:pt>
                <c:pt idx="31">
                  <c:v>5.8729204291936696</c:v>
                </c:pt>
                <c:pt idx="32">
                  <c:v>0</c:v>
                </c:pt>
                <c:pt idx="33">
                  <c:v>5.8870799415570865</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1978-2023R'!$E$242:$AY$242</c:f>
              <c:numCache>
                <c:formatCode>0.0</c:formatCode>
                <c:ptCount val="47"/>
                <c:pt idx="0">
                  <c:v>0</c:v>
                </c:pt>
                <c:pt idx="1">
                  <c:v>0</c:v>
                </c:pt>
                <c:pt idx="2">
                  <c:v>0</c:v>
                </c:pt>
                <c:pt idx="3">
                  <c:v>0</c:v>
                </c:pt>
                <c:pt idx="4">
                  <c:v>0</c:v>
                </c:pt>
                <c:pt idx="5">
                  <c:v>0</c:v>
                </c:pt>
                <c:pt idx="6">
                  <c:v>0</c:v>
                </c:pt>
                <c:pt idx="7">
                  <c:v>3.0711258020610539</c:v>
                </c:pt>
                <c:pt idx="8">
                  <c:v>1.074067022086824</c:v>
                </c:pt>
                <c:pt idx="9">
                  <c:v>0.41508462104488603</c:v>
                </c:pt>
                <c:pt idx="10">
                  <c:v>0.4002128414331324</c:v>
                </c:pt>
                <c:pt idx="11">
                  <c:v>0.38511691414917232</c:v>
                </c:pt>
                <c:pt idx="12">
                  <c:v>0.37625479406369861</c:v>
                </c:pt>
                <c:pt idx="13">
                  <c:v>0.54283881315156379</c:v>
                </c:pt>
                <c:pt idx="14">
                  <c:v>0.34501529051987773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1978-2023R'!$E$243:$AY$243</c:f>
              <c:numCache>
                <c:formatCode>0.0</c:formatCode>
                <c:ptCount val="47"/>
                <c:pt idx="0">
                  <c:v>0</c:v>
                </c:pt>
                <c:pt idx="1">
                  <c:v>0</c:v>
                </c:pt>
                <c:pt idx="2">
                  <c:v>0</c:v>
                </c:pt>
                <c:pt idx="3">
                  <c:v>7.5195429659604862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1978-2023R'!$E$231:$AY$231</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11.637903322538083</c:v>
                </c:pt>
                <c:pt idx="27">
                  <c:v>22.70574685900419</c:v>
                </c:pt>
                <c:pt idx="28">
                  <c:v>21.977097173741697</c:v>
                </c:pt>
                <c:pt idx="29">
                  <c:v>64.967094438960189</c:v>
                </c:pt>
                <c:pt idx="30">
                  <c:v>86.545209549071629</c:v>
                </c:pt>
                <c:pt idx="31">
                  <c:v>0</c:v>
                </c:pt>
                <c:pt idx="32">
                  <c:v>1198.5551896313609</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8-87E9-44CB-9F8C-26E5D16EA696}"/>
            </c:ext>
          </c:extLst>
        </c:ser>
        <c:ser>
          <c:idx val="11"/>
          <c:order val="9"/>
          <c:tx>
            <c:v>Carbon Sequestration and Utilization</c:v>
          </c:tx>
          <c:spPr>
            <a:solidFill>
              <a:srgbClr val="00FFFF"/>
            </a:solidFill>
            <a:ln w="12700">
              <a:solidFill>
                <a:srgbClr val="000000"/>
              </a:solidFill>
              <a:prstDash val="solid"/>
            </a:ln>
          </c:spPr>
          <c:invertIfNegative val="0"/>
          <c:cat>
            <c:strRef>
              <c:f>'Complete Data 1978-2023R'!$E$12:$AY$12</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1978-2023R'!$E$232:$AY$232</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53.317836152093079</c:v>
                </c:pt>
                <c:pt idx="27">
                  <c:v>59.586179618427174</c:v>
                </c:pt>
                <c:pt idx="28">
                  <c:v>82.191802724918375</c:v>
                </c:pt>
                <c:pt idx="29">
                  <c:v>120.40568169353956</c:v>
                </c:pt>
                <c:pt idx="30">
                  <c:v>138.3765729442971</c:v>
                </c:pt>
                <c:pt idx="31">
                  <c:v>174.74934664825244</c:v>
                </c:pt>
                <c:pt idx="32">
                  <c:v>1880.0536704557528</c:v>
                </c:pt>
                <c:pt idx="33">
                  <c:v>176.61239824671259</c:v>
                </c:pt>
                <c:pt idx="34">
                  <c:v>159.29778603511639</c:v>
                </c:pt>
                <c:pt idx="35">
                  <c:v>202.17344</c:v>
                </c:pt>
                <c:pt idx="36">
                  <c:v>200.341844669751</c:v>
                </c:pt>
                <c:pt idx="37">
                  <c:v>219.56053498740067</c:v>
                </c:pt>
                <c:pt idx="38">
                  <c:v>208.8050896471949</c:v>
                </c:pt>
                <c:pt idx="39">
                  <c:v>239.81271543469936</c:v>
                </c:pt>
                <c:pt idx="40">
                  <c:v>233.90030114812726</c:v>
                </c:pt>
                <c:pt idx="41">
                  <c:v>206.46797385620917</c:v>
                </c:pt>
                <c:pt idx="42">
                  <c:v>202.99227079373702</c:v>
                </c:pt>
                <c:pt idx="43">
                  <c:v>217.8</c:v>
                </c:pt>
                <c:pt idx="44">
                  <c:v>106.52406703524534</c:v>
                </c:pt>
                <c:pt idx="45">
                  <c:v>101.18344137195373</c:v>
                </c:pt>
                <c:pt idx="46">
                  <c:v>192.44754426728628</c:v>
                </c:pt>
              </c:numCache>
            </c:numRef>
          </c:val>
          <c:extLst>
            <c:ext xmlns:c16="http://schemas.microsoft.com/office/drawing/2014/chart" uri="{C3380CC4-5D6E-409C-BE32-E72D297353CC}">
              <c16:uniqueId val="{00000009-87E9-44CB-9F8C-26E5D16EA696}"/>
            </c:ext>
          </c:extLst>
        </c:ser>
        <c:ser>
          <c:idx val="3"/>
          <c:order val="10"/>
          <c:tx>
            <c:strRef>
              <c:f>'Complete Data 1978-2023R'!$AZ$235</c:f>
              <c:strCache>
                <c:ptCount val="1"/>
                <c:pt idx="0">
                  <c:v>Carbon removal</c:v>
                </c:pt>
              </c:strCache>
            </c:strRef>
          </c:tx>
          <c:invertIfNegative val="0"/>
          <c:val>
            <c:numRef>
              <c:f>'Complete Data 1978-2023R'!$E$235:$AY$235</c:f>
              <c:numCache>
                <c:formatCode>0.0</c:formatCode>
                <c:ptCount val="47"/>
                <c:pt idx="44">
                  <c:v>38.984105044920526</c:v>
                </c:pt>
                <c:pt idx="45">
                  <c:v>37.0296217280709</c:v>
                </c:pt>
                <c:pt idx="46">
                  <c:v>58.755708677189325</c:v>
                </c:pt>
              </c:numCache>
            </c:numRef>
          </c:val>
          <c:extLst>
            <c:ext xmlns:c16="http://schemas.microsoft.com/office/drawing/2014/chart" uri="{C3380CC4-5D6E-409C-BE32-E72D297353CC}">
              <c16:uniqueId val="{00000000-8CBA-4D84-ACB2-2EC9B32376C2}"/>
            </c:ext>
          </c:extLst>
        </c:ser>
        <c:ser>
          <c:idx val="4"/>
          <c:order val="11"/>
          <c:tx>
            <c:strRef>
              <c:f>'Complete Data 1978-2023R'!$AZ$236</c:f>
              <c:strCache>
                <c:ptCount val="1"/>
                <c:pt idx="0">
                  <c:v>Mineral Sustainability</c:v>
                </c:pt>
              </c:strCache>
            </c:strRef>
          </c:tx>
          <c:invertIfNegative val="0"/>
          <c:val>
            <c:numRef>
              <c:f>'Complete Data 1978-2023R'!$E$236:$AY$236</c:f>
              <c:numCache>
                <c:formatCode>0.0</c:formatCode>
                <c:ptCount val="47"/>
                <c:pt idx="44">
                  <c:v>51.6539391845197</c:v>
                </c:pt>
                <c:pt idx="45">
                  <c:v>49.064248789693941</c:v>
                </c:pt>
                <c:pt idx="46">
                  <c:v>39.773095104558926</c:v>
                </c:pt>
              </c:numCache>
            </c:numRef>
          </c:val>
          <c:extLst>
            <c:ext xmlns:c16="http://schemas.microsoft.com/office/drawing/2014/chart" uri="{C3380CC4-5D6E-409C-BE32-E72D297353CC}">
              <c16:uniqueId val="{00000001-8CBA-4D84-ACB2-2EC9B32376C2}"/>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6130226798573255"/>
          <c:h val="0.38017298099517666"/>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(FY1998-FY2023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1978-2023R'!$Y$284:$AY$284</c:f>
              <c:numCache>
                <c:formatCode>0.0</c:formatCode>
                <c:ptCount val="27"/>
                <c:pt idx="0">
                  <c:v>133.28431557653406</c:v>
                </c:pt>
                <c:pt idx="1">
                  <c:v>172.67936982643525</c:v>
                </c:pt>
                <c:pt idx="2">
                  <c:v>120.6600338983051</c:v>
                </c:pt>
                <c:pt idx="3">
                  <c:v>131.606589492431</c:v>
                </c:pt>
                <c:pt idx="4">
                  <c:v>123.40351626271504</c:v>
                </c:pt>
                <c:pt idx="5">
                  <c:v>114.08141049268953</c:v>
                </c:pt>
                <c:pt idx="6">
                  <c:v>109.20683699172365</c:v>
                </c:pt>
                <c:pt idx="7">
                  <c:v>110.64129827826896</c:v>
                </c:pt>
                <c:pt idx="8">
                  <c:v>103.91482941110236</c:v>
                </c:pt>
                <c:pt idx="9">
                  <c:v>194.28254908412859</c:v>
                </c:pt>
                <c:pt idx="10">
                  <c:v>199.06595225464193</c:v>
                </c:pt>
                <c:pt idx="11">
                  <c:v>206.63091469244665</c:v>
                </c:pt>
                <c:pt idx="12">
                  <c:v>139.03240199723788</c:v>
                </c:pt>
                <c:pt idx="13">
                  <c:v>286.58305155499897</c:v>
                </c:pt>
                <c:pt idx="14">
                  <c:v>298.97991016741531</c:v>
                </c:pt>
                <c:pt idx="15">
                  <c:v>321.19854000000004</c:v>
                </c:pt>
                <c:pt idx="16">
                  <c:v>298.73589920267744</c:v>
                </c:pt>
                <c:pt idx="17">
                  <c:v>281.12058538476452</c:v>
                </c:pt>
                <c:pt idx="18">
                  <c:v>251.00111818006556</c:v>
                </c:pt>
                <c:pt idx="19">
                  <c:v>260.98536959019532</c:v>
                </c:pt>
                <c:pt idx="20">
                  <c:v>220.41626199887071</c:v>
                </c:pt>
                <c:pt idx="21">
                  <c:v>250.91882537052382</c:v>
                </c:pt>
                <c:pt idx="22">
                  <c:v>251.6981627296588</c:v>
                </c:pt>
                <c:pt idx="23">
                  <c:v>280</c:v>
                </c:pt>
                <c:pt idx="24">
                  <c:v>272.88873531444369</c:v>
                </c:pt>
                <c:pt idx="25">
                  <c:v>259.20735209649632</c:v>
                </c:pt>
                <c:pt idx="26">
                  <c:v>483.243105520391</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1978-2023R'!$Y$285:$AY$285</c:f>
              <c:numCache>
                <c:formatCode>0.0</c:formatCode>
                <c:ptCount val="27"/>
                <c:pt idx="0">
                  <c:v>147.20613621038436</c:v>
                </c:pt>
                <c:pt idx="1">
                  <c:v>149.57311081441924</c:v>
                </c:pt>
                <c:pt idx="2">
                  <c:v>102.77357757496742</c:v>
                </c:pt>
                <c:pt idx="3">
                  <c:v>122.56491540516475</c:v>
                </c:pt>
                <c:pt idx="4">
                  <c:v>124.25359789024238</c:v>
                </c:pt>
                <c:pt idx="5">
                  <c:v>118.2399066224352</c:v>
                </c:pt>
                <c:pt idx="6">
                  <c:v>114.48449082403742</c:v>
                </c:pt>
                <c:pt idx="7">
                  <c:v>114.84120521172639</c:v>
                </c:pt>
                <c:pt idx="8">
                  <c:v>114.07764891341066</c:v>
                </c:pt>
                <c:pt idx="9">
                  <c:v>242.91505977843593</c:v>
                </c:pt>
                <c:pt idx="10">
                  <c:v>234.13890716180373</c:v>
                </c:pt>
                <c:pt idx="11">
                  <c:v>256.73052161903752</c:v>
                </c:pt>
                <c:pt idx="12">
                  <c:v>931.39723786253069</c:v>
                </c:pt>
                <c:pt idx="13">
                  <c:v>254.55733667292839</c:v>
                </c:pt>
                <c:pt idx="14">
                  <c:v>207.3050224581462</c:v>
                </c:pt>
                <c:pt idx="15">
                  <c:v>219.99900000000002</c:v>
                </c:pt>
                <c:pt idx="16">
                  <c:v>205.672448075598</c:v>
                </c:pt>
                <c:pt idx="17">
                  <c:v>254.0035471990696</c:v>
                </c:pt>
                <c:pt idx="18">
                  <c:v>191.29591285907077</c:v>
                </c:pt>
                <c:pt idx="19">
                  <c:v>243.05342780543853</c:v>
                </c:pt>
                <c:pt idx="20">
                  <c:v>217.6557500470544</c:v>
                </c:pt>
                <c:pt idx="21">
                  <c:v>230.04354229954893</c:v>
                </c:pt>
                <c:pt idx="22">
                  <c:v>230.76586116390627</c:v>
                </c:pt>
                <c:pt idx="23">
                  <c:v>259.5</c:v>
                </c:pt>
                <c:pt idx="24">
                  <c:v>248.52366966136836</c:v>
                </c:pt>
                <c:pt idx="25">
                  <c:v>236.06383851645199</c:v>
                </c:pt>
                <c:pt idx="26">
                  <c:v>307.33755308068265</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1978-2023R'!$Y$286:$AY$286</c:f>
              <c:numCache>
                <c:formatCode>0.0</c:formatCode>
                <c:ptCount val="27"/>
                <c:pt idx="0">
                  <c:v>49.296938637896154</c:v>
                </c:pt>
                <c:pt idx="1">
                  <c:v>51.815861148197598</c:v>
                </c:pt>
                <c:pt idx="2">
                  <c:v>47.202005215123869</c:v>
                </c:pt>
                <c:pt idx="3">
                  <c:v>56.115786795573086</c:v>
                </c:pt>
                <c:pt idx="4">
                  <c:v>54.121863619238987</c:v>
                </c:pt>
                <c:pt idx="5">
                  <c:v>57.664479665806617</c:v>
                </c:pt>
                <c:pt idx="6">
                  <c:v>53.859133981048338</c:v>
                </c:pt>
                <c:pt idx="7">
                  <c:v>53.286319218241047</c:v>
                </c:pt>
                <c:pt idx="8">
                  <c:v>48.654498367300981</c:v>
                </c:pt>
                <c:pt idx="9">
                  <c:v>60.264714270044983</c:v>
                </c:pt>
                <c:pt idx="10">
                  <c:v>58.654429708222814</c:v>
                </c:pt>
                <c:pt idx="11">
                  <c:v>65.201402315946041</c:v>
                </c:pt>
                <c:pt idx="12">
                  <c:v>128.12554977159249</c:v>
                </c:pt>
                <c:pt idx="13">
                  <c:v>93.01586307660196</c:v>
                </c:pt>
                <c:pt idx="14">
                  <c:v>90.753532053899562</c:v>
                </c:pt>
                <c:pt idx="15">
                  <c:v>103.56876000000001</c:v>
                </c:pt>
                <c:pt idx="16">
                  <c:v>95.617698592381146</c:v>
                </c:pt>
                <c:pt idx="17">
                  <c:v>96.331091296762935</c:v>
                </c:pt>
                <c:pt idx="18">
                  <c:v>115.16905725853096</c:v>
                </c:pt>
                <c:pt idx="19">
                  <c:v>103.05465338950594</c:v>
                </c:pt>
                <c:pt idx="20">
                  <c:v>95.556182947487301</c:v>
                </c:pt>
                <c:pt idx="21">
                  <c:v>95.548559329835228</c:v>
                </c:pt>
                <c:pt idx="22">
                  <c:v>93.940085075572455</c:v>
                </c:pt>
                <c:pt idx="23">
                  <c:v>104</c:v>
                </c:pt>
                <c:pt idx="24">
                  <c:v>107.20628887353145</c:v>
                </c:pt>
                <c:pt idx="25">
                  <c:v>101.83145975219497</c:v>
                </c:pt>
                <c:pt idx="26">
                  <c:v>312.21879657078756</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1978-2023R'!$Y$287:$AY$287</c:f>
              <c:numCache>
                <c:formatCode>0.0</c:formatCode>
                <c:ptCount val="27"/>
                <c:pt idx="0">
                  <c:v>43.667349966284554</c:v>
                </c:pt>
                <c:pt idx="1">
                  <c:v>42.476955941255007</c:v>
                </c:pt>
                <c:pt idx="2">
                  <c:v>34.316696219035201</c:v>
                </c:pt>
                <c:pt idx="3">
                  <c:v>38.175957257346397</c:v>
                </c:pt>
                <c:pt idx="4">
                  <c:v>38.253673238729121</c:v>
                </c:pt>
                <c:pt idx="5">
                  <c:v>39.367096694925671</c:v>
                </c:pt>
                <c:pt idx="6">
                  <c:v>33.289816480748478</c:v>
                </c:pt>
                <c:pt idx="7">
                  <c:v>33.205514192647748</c:v>
                </c:pt>
                <c:pt idx="8">
                  <c:v>28.964035581578653</c:v>
                </c:pt>
                <c:pt idx="9">
                  <c:v>6.1873423275200183</c:v>
                </c:pt>
                <c:pt idx="10">
                  <c:v>23.102663129973479</c:v>
                </c:pt>
                <c:pt idx="11">
                  <c:v>51.897439711037926</c:v>
                </c:pt>
                <c:pt idx="12">
                  <c:v>471.15204504408803</c:v>
                </c:pt>
                <c:pt idx="13">
                  <c:v>50.628887497390942</c:v>
                </c:pt>
                <c:pt idx="14">
                  <c:v>42.612699060841166</c:v>
                </c:pt>
                <c:pt idx="15">
                  <c:v>41.743400000000001</c:v>
                </c:pt>
                <c:pt idx="16">
                  <c:v>38.868983167634617</c:v>
                </c:pt>
                <c:pt idx="17">
                  <c:v>50.079046326807521</c:v>
                </c:pt>
                <c:pt idx="18">
                  <c:v>59.052689415847311</c:v>
                </c:pt>
                <c:pt idx="19">
                  <c:v>76.696859440827268</c:v>
                </c:pt>
                <c:pt idx="20">
                  <c:v>73.790607942781861</c:v>
                </c:pt>
                <c:pt idx="21">
                  <c:v>84.020417932431201</c:v>
                </c:pt>
                <c:pt idx="22">
                  <c:v>85.771382025522684</c:v>
                </c:pt>
                <c:pt idx="23">
                  <c:v>110</c:v>
                </c:pt>
                <c:pt idx="24">
                  <c:v>103.3078783690394</c:v>
                </c:pt>
                <c:pt idx="25">
                  <c:v>98.128497579387883</c:v>
                </c:pt>
                <c:pt idx="26">
                  <c:v>182.59466388911144</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1978-2023R'!$Y$288:$AY$288</c:f>
              <c:numCache>
                <c:formatCode>0.0</c:formatCode>
                <c:ptCount val="27"/>
                <c:pt idx="0">
                  <c:v>1.0650573162508428</c:v>
                </c:pt>
                <c:pt idx="1">
                  <c:v>4.8351428571428574</c:v>
                </c:pt>
                <c:pt idx="2">
                  <c:v>7.1486988265971334</c:v>
                </c:pt>
                <c:pt idx="3">
                  <c:v>7.0324131789848634</c:v>
                </c:pt>
                <c:pt idx="4">
                  <c:v>7.0840135627276153</c:v>
                </c:pt>
                <c:pt idx="5">
                  <c:v>6.9308268829094493</c:v>
                </c:pt>
                <c:pt idx="6">
                  <c:v>6.3602494902243025</c:v>
                </c:pt>
                <c:pt idx="7">
                  <c:v>6.431107491856678</c:v>
                </c:pt>
                <c:pt idx="8">
                  <c:v>0.63517621889426867</c:v>
                </c:pt>
                <c:pt idx="9">
                  <c:v>0</c:v>
                </c:pt>
                <c:pt idx="10">
                  <c:v>11.611183023872679</c:v>
                </c:pt>
                <c:pt idx="11">
                  <c:v>46.863507914586215</c:v>
                </c:pt>
                <c:pt idx="12">
                  <c:v>37.994199511314143</c:v>
                </c:pt>
                <c:pt idx="13">
                  <c:v>57.34015863076602</c:v>
                </c:pt>
                <c:pt idx="14">
                  <c:v>33.629481420988164</c:v>
                </c:pt>
                <c:pt idx="15">
                  <c:v>65.548420000000007</c:v>
                </c:pt>
                <c:pt idx="16">
                  <c:v>60.746667979131814</c:v>
                </c:pt>
                <c:pt idx="17">
                  <c:v>64.074937003295219</c:v>
                </c:pt>
                <c:pt idx="18">
                  <c:v>65.251590514748415</c:v>
                </c:pt>
                <c:pt idx="19">
                  <c:v>75.616621983914214</c:v>
                </c:pt>
                <c:pt idx="20">
                  <c:v>89.185770750988155</c:v>
                </c:pt>
                <c:pt idx="21">
                  <c:v>109.04998619165977</c:v>
                </c:pt>
                <c:pt idx="22">
                  <c:v>107.21422753190335</c:v>
                </c:pt>
                <c:pt idx="23">
                  <c:v>148</c:v>
                </c:pt>
                <c:pt idx="24">
                  <c:v>146.19039391845197</c:v>
                </c:pt>
                <c:pt idx="25">
                  <c:v>138.86108148026588</c:v>
                </c:pt>
                <c:pt idx="26">
                  <c:v>172.19942312314717</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1978-2023R'!$Y$289:$AX$289</c:f>
              <c:numCache>
                <c:formatCode>0.0</c:formatCode>
                <c:ptCount val="26"/>
                <c:pt idx="0">
                  <c:v>65.881402562373566</c:v>
                </c:pt>
                <c:pt idx="1">
                  <c:v>61.606648865153538</c:v>
                </c:pt>
                <c:pt idx="2">
                  <c:v>54.924365058670155</c:v>
                </c:pt>
                <c:pt idx="3">
                  <c:v>74.19913497010559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1978-2023R'!$Y$291:$AX$291</c:f>
              <c:numCache>
                <c:formatCode>0.0</c:formatCode>
                <c:ptCount val="26"/>
                <c:pt idx="0">
                  <c:v>5.933890761968982</c:v>
                </c:pt>
                <c:pt idx="1">
                  <c:v>7.2301201602136187</c:v>
                </c:pt>
                <c:pt idx="2">
                  <c:v>5.7366101694915264</c:v>
                </c:pt>
                <c:pt idx="3">
                  <c:v>9.4722299961836924</c:v>
                </c:pt>
                <c:pt idx="4">
                  <c:v>0</c:v>
                </c:pt>
                <c:pt idx="5">
                  <c:v>0</c:v>
                </c:pt>
                <c:pt idx="6">
                  <c:v>0</c:v>
                </c:pt>
                <c:pt idx="7">
                  <c:v>0</c:v>
                </c:pt>
                <c:pt idx="8">
                  <c:v>0</c:v>
                </c:pt>
                <c:pt idx="9">
                  <c:v>0</c:v>
                </c:pt>
                <c:pt idx="10">
                  <c:v>0</c:v>
                </c:pt>
                <c:pt idx="11">
                  <c:v>7.1913311377881657</c:v>
                </c:pt>
                <c:pt idx="12">
                  <c:v>0</c:v>
                </c:pt>
                <c:pt idx="13">
                  <c:v>11.774159883114173</c:v>
                </c:pt>
                <c:pt idx="14">
                  <c:v>11.516945692119233</c:v>
                </c:pt>
                <c:pt idx="15">
                  <c:v>11.282000000000002</c:v>
                </c:pt>
                <c:pt idx="16">
                  <c:v>10.43909833645044</c:v>
                </c:pt>
                <c:pt idx="17">
                  <c:v>7.6540027137042062</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1978-2023R'!$Y$290:$AX$290</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1978-2023R'!$Y$292:$AY$292</c:f>
              <c:numCache>
                <c:formatCode>0.0</c:formatCode>
                <c:ptCount val="27"/>
                <c:pt idx="0">
                  <c:v>0</c:v>
                </c:pt>
                <c:pt idx="1">
                  <c:v>0</c:v>
                </c:pt>
                <c:pt idx="2">
                  <c:v>0</c:v>
                </c:pt>
                <c:pt idx="3">
                  <c:v>0</c:v>
                </c:pt>
                <c:pt idx="4">
                  <c:v>0</c:v>
                </c:pt>
                <c:pt idx="5">
                  <c:v>0</c:v>
                </c:pt>
                <c:pt idx="6">
                  <c:v>0</c:v>
                </c:pt>
                <c:pt idx="7">
                  <c:v>0</c:v>
                </c:pt>
                <c:pt idx="8">
                  <c:v>0</c:v>
                </c:pt>
                <c:pt idx="9">
                  <c:v>102.7098826368323</c:v>
                </c:pt>
                <c:pt idx="10">
                  <c:v>82.954122015915118</c:v>
                </c:pt>
                <c:pt idx="11">
                  <c:v>64.721980240093501</c:v>
                </c:pt>
                <c:pt idx="12">
                  <c:v>120.09523000106236</c:v>
                </c:pt>
                <c:pt idx="13">
                  <c:v>0</c:v>
                </c:pt>
                <c:pt idx="14">
                  <c:v>58.736423029808087</c:v>
                </c:pt>
                <c:pt idx="15">
                  <c:v>29.671660000000003</c:v>
                </c:pt>
                <c:pt idx="16">
                  <c:v>27.652505167831482</c:v>
                </c:pt>
                <c:pt idx="17">
                  <c:v>50.297732118627643</c:v>
                </c:pt>
                <c:pt idx="18">
                  <c:v>60.901484480431854</c:v>
                </c:pt>
                <c:pt idx="19">
                  <c:v>66.97472232860973</c:v>
                </c:pt>
                <c:pt idx="20">
                  <c:v>97.679653679653683</c:v>
                </c:pt>
                <c:pt idx="21">
                  <c:v>95.548559329835228</c:v>
                </c:pt>
                <c:pt idx="22">
                  <c:v>99.045524481853576</c:v>
                </c:pt>
                <c:pt idx="23">
                  <c:v>130</c:v>
                </c:pt>
                <c:pt idx="24">
                  <c:v>126.69834139599172</c:v>
                </c:pt>
                <c:pt idx="25">
                  <c:v>120.34627061623043</c:v>
                </c:pt>
                <c:pt idx="26">
                  <c:v>218.39044948321447</c:v>
                </c:pt>
              </c:numCache>
            </c:numRef>
          </c:val>
          <c:extLst>
            <c:ext xmlns:c16="http://schemas.microsoft.com/office/drawing/2014/chart" uri="{C3380CC4-5D6E-409C-BE32-E72D297353CC}">
              <c16:uniqueId val="{00000008-10B5-4050-B7FC-52C613616F0A}"/>
            </c:ext>
          </c:extLst>
        </c:ser>
        <c:ser>
          <c:idx val="4"/>
          <c:order val="9"/>
          <c:tx>
            <c:strRef>
              <c:f>'Complete Data 1978-2023R'!$AZ$296</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1978-2023R'!$Y$206:$AY$206</c:f>
              <c:strCache>
                <c:ptCount val="2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2022CR</c:v>
                </c:pt>
                <c:pt idx="26">
                  <c:v>2023R</c:v>
                </c:pt>
              </c:strCache>
            </c:strRef>
          </c:cat>
          <c:val>
            <c:numRef>
              <c:f>'Complete Data 1978-2023R'!$Y$296:$AX$296</c:f>
              <c:numCache>
                <c:formatCode>0.0</c:formatCode>
                <c:ptCount val="26"/>
                <c:pt idx="0">
                  <c:v>0</c:v>
                </c:pt>
                <c:pt idx="1">
                  <c:v>0</c:v>
                </c:pt>
                <c:pt idx="2">
                  <c:v>0</c:v>
                </c:pt>
                <c:pt idx="3">
                  <c:v>0</c:v>
                </c:pt>
                <c:pt idx="4">
                  <c:v>0</c:v>
                </c:pt>
                <c:pt idx="5">
                  <c:v>0</c:v>
                </c:pt>
                <c:pt idx="6">
                  <c:v>0</c:v>
                </c:pt>
                <c:pt idx="7">
                  <c:v>0</c:v>
                </c:pt>
                <c:pt idx="8">
                  <c:v>0</c:v>
                </c:pt>
                <c:pt idx="9">
                  <c:v>0</c:v>
                </c:pt>
                <c:pt idx="10">
                  <c:v>145.4390450928382</c:v>
                </c:pt>
                <c:pt idx="11">
                  <c:v>210.22658026134073</c:v>
                </c:pt>
                <c:pt idx="12">
                  <c:v>0</c:v>
                </c:pt>
                <c:pt idx="13">
                  <c:v>279.51855562513043</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20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FY1978-FY23 Request</a:t>
            </a:r>
          </a:p>
        </c:rich>
      </c:tx>
      <c:layout>
        <c:manualLayout>
          <c:xMode val="edge"/>
          <c:yMode val="edge"/>
          <c:x val="0.23984324038000501"/>
          <c:y val="0"/>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1978-2023R'!$E$207:$AY$207</c:f>
              <c:numCache>
                <c:formatCode>0.0</c:formatCode>
                <c:ptCount val="47"/>
                <c:pt idx="0">
                  <c:v>3122.0357847819168</c:v>
                </c:pt>
                <c:pt idx="1">
                  <c:v>2686.2376023391816</c:v>
                </c:pt>
                <c:pt idx="2">
                  <c:v>2412.2402752050807</c:v>
                </c:pt>
                <c:pt idx="3">
                  <c:v>1862.9667698167104</c:v>
                </c:pt>
                <c:pt idx="4">
                  <c:v>1951.980948161276</c:v>
                </c:pt>
                <c:pt idx="5">
                  <c:v>1500.6964135021099</c:v>
                </c:pt>
                <c:pt idx="6">
                  <c:v>1272.3778247734142</c:v>
                </c:pt>
                <c:pt idx="7">
                  <c:v>882.5099358351157</c:v>
                </c:pt>
                <c:pt idx="8">
                  <c:v>731.01001523229252</c:v>
                </c:pt>
                <c:pt idx="9">
                  <c:v>530.68568800588673</c:v>
                </c:pt>
                <c:pt idx="10">
                  <c:v>490.4608371763037</c:v>
                </c:pt>
                <c:pt idx="11">
                  <c:v>463.4882061785288</c:v>
                </c:pt>
                <c:pt idx="12">
                  <c:v>582.25429381357355</c:v>
                </c:pt>
                <c:pt idx="13">
                  <c:v>535.96285485164401</c:v>
                </c:pt>
                <c:pt idx="14">
                  <c:v>509.76009174311929</c:v>
                </c:pt>
                <c:pt idx="15">
                  <c:v>410.940310359173</c:v>
                </c:pt>
                <c:pt idx="16">
                  <c:v>170.00714500924263</c:v>
                </c:pt>
                <c:pt idx="17">
                  <c:v>188.01843350758253</c:v>
                </c:pt>
                <c:pt idx="18">
                  <c:v>70.201987590067731</c:v>
                </c:pt>
                <c:pt idx="19">
                  <c:v>96.634268841758043</c:v>
                </c:pt>
                <c:pt idx="20">
                  <c:v>11.600159302575616</c:v>
                </c:pt>
                <c:pt idx="21">
                  <c:v>47.358316830905906</c:v>
                </c:pt>
                <c:pt idx="22">
                  <c:v>74.375782059145223</c:v>
                </c:pt>
                <c:pt idx="23">
                  <c:v>90.930844943883287</c:v>
                </c:pt>
                <c:pt idx="24">
                  <c:v>220.93089540052108</c:v>
                </c:pt>
                <c:pt idx="25">
                  <c:v>222.64509192035717</c:v>
                </c:pt>
                <c:pt idx="26">
                  <c:v>235.2621681323686</c:v>
                </c:pt>
                <c:pt idx="27">
                  <c:v>281.44934148600288</c:v>
                </c:pt>
                <c:pt idx="28">
                  <c:v>349.39030429525621</c:v>
                </c:pt>
                <c:pt idx="29">
                  <c:v>435.67133944240572</c:v>
                </c:pt>
                <c:pt idx="30">
                  <c:v>568.83871205208595</c:v>
                </c:pt>
                <c:pt idx="31">
                  <c:v>673.09881735791282</c:v>
                </c:pt>
                <c:pt idx="32">
                  <c:v>0</c:v>
                </c:pt>
                <c:pt idx="33">
                  <c:v>591.95635972277796</c:v>
                </c:pt>
                <c:pt idx="34">
                  <c:v>521.11319875116794</c:v>
                </c:pt>
                <c:pt idx="35">
                  <c:v>568.14236986454978</c:v>
                </c:pt>
                <c:pt idx="36">
                  <c:v>521.65330826573359</c:v>
                </c:pt>
                <c:pt idx="37">
                  <c:v>589.35190106345681</c:v>
                </c:pt>
                <c:pt idx="38">
                  <c:v>503.59591670432849</c:v>
                </c:pt>
                <c:pt idx="39">
                  <c:v>626.12541808880997</c:v>
                </c:pt>
                <c:pt idx="40">
                  <c:v>637.19730574070786</c:v>
                </c:pt>
                <c:pt idx="41" formatCode="0">
                  <c:v>734.03749081090621</c:v>
                </c:pt>
                <c:pt idx="42" formatCode="0">
                  <c:v>818.35011626863206</c:v>
                </c:pt>
                <c:pt idx="43" formatCode="0">
                  <c:v>1025.1268817204302</c:v>
                </c:pt>
                <c:pt idx="44" formatCode="0">
                  <c:v>1013.5721557247336</c:v>
                </c:pt>
                <c:pt idx="45" formatCode="0">
                  <c:v>962.75632023217497</c:v>
                </c:pt>
                <c:pt idx="46" formatCode="0">
                  <c:v>1108.1346852740878</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1978-2023R'!$E$208:$AY$208</c:f>
              <c:numCache>
                <c:formatCode>0.0</c:formatCode>
                <c:ptCount val="47"/>
                <c:pt idx="0">
                  <c:v>1193.9308500477555</c:v>
                </c:pt>
                <c:pt idx="1">
                  <c:v>1171.4146783625731</c:v>
                </c:pt>
                <c:pt idx="2">
                  <c:v>1045.8016935697276</c:v>
                </c:pt>
                <c:pt idx="3">
                  <c:v>1058.3756724589387</c:v>
                </c:pt>
                <c:pt idx="4">
                  <c:v>1127.7001329198051</c:v>
                </c:pt>
                <c:pt idx="5">
                  <c:v>1091.0693670886078</c:v>
                </c:pt>
                <c:pt idx="6">
                  <c:v>1064.3481973816718</c:v>
                </c:pt>
                <c:pt idx="7">
                  <c:v>942.39688897530641</c:v>
                </c:pt>
                <c:pt idx="8">
                  <c:v>776.5504569687738</c:v>
                </c:pt>
                <c:pt idx="9">
                  <c:v>708.96453274466535</c:v>
                </c:pt>
                <c:pt idx="10">
                  <c:v>662.95257183398382</c:v>
                </c:pt>
                <c:pt idx="11">
                  <c:v>667.7927291346648</c:v>
                </c:pt>
                <c:pt idx="12">
                  <c:v>595.79946639986667</c:v>
                </c:pt>
                <c:pt idx="13">
                  <c:v>518.59201283079403</c:v>
                </c:pt>
                <c:pt idx="14">
                  <c:v>573.07039755351684</c:v>
                </c:pt>
                <c:pt idx="15">
                  <c:v>559.0946761313221</c:v>
                </c:pt>
                <c:pt idx="16">
                  <c:v>538.76837668943472</c:v>
                </c:pt>
                <c:pt idx="17">
                  <c:v>560.99573867644983</c:v>
                </c:pt>
                <c:pt idx="18">
                  <c:v>373.25436920094177</c:v>
                </c:pt>
                <c:pt idx="19">
                  <c:v>355.42886178861789</c:v>
                </c:pt>
                <c:pt idx="20">
                  <c:v>341.12264329062708</c:v>
                </c:pt>
                <c:pt idx="21">
                  <c:v>327.16293724966624</c:v>
                </c:pt>
                <c:pt idx="22">
                  <c:v>350.96286831812262</c:v>
                </c:pt>
                <c:pt idx="23">
                  <c:v>347.25769240554644</c:v>
                </c:pt>
                <c:pt idx="24">
                  <c:v>341.59113399472562</c:v>
                </c:pt>
                <c:pt idx="25">
                  <c:v>333.65000614326084</c:v>
                </c:pt>
                <c:pt idx="26">
                  <c:v>346.29528607412743</c:v>
                </c:pt>
                <c:pt idx="27">
                  <c:v>359.48578408562122</c:v>
                </c:pt>
                <c:pt idx="28">
                  <c:v>356.58792928724245</c:v>
                </c:pt>
                <c:pt idx="29">
                  <c:v>385.71892069759792</c:v>
                </c:pt>
                <c:pt idx="30">
                  <c:v>353.00390450928381</c:v>
                </c:pt>
                <c:pt idx="31">
                  <c:v>472.83002230957192</c:v>
                </c:pt>
                <c:pt idx="32">
                  <c:v>109.06852225645385</c:v>
                </c:pt>
                <c:pt idx="33">
                  <c:v>490.98246712586098</c:v>
                </c:pt>
                <c:pt idx="34">
                  <c:v>422.90224581461825</c:v>
                </c:pt>
                <c:pt idx="35">
                  <c:v>443.38260000000002</c:v>
                </c:pt>
                <c:pt idx="36">
                  <c:v>419.56290973521021</c:v>
                </c:pt>
                <c:pt idx="37">
                  <c:v>551.85359565807323</c:v>
                </c:pt>
                <c:pt idx="38">
                  <c:v>497.43462502409869</c:v>
                </c:pt>
                <c:pt idx="39">
                  <c:v>473.14400612792036</c:v>
                </c:pt>
                <c:pt idx="40">
                  <c:v>403.45943911161305</c:v>
                </c:pt>
                <c:pt idx="41" formatCode="0">
                  <c:v>425.91808892571117</c:v>
                </c:pt>
                <c:pt idx="42" formatCode="0">
                  <c:v>441.10996470268805</c:v>
                </c:pt>
                <c:pt idx="43" formatCode="0">
                  <c:v>414</c:v>
                </c:pt>
                <c:pt idx="44" formatCode="0">
                  <c:v>654.93296475466491</c:v>
                </c:pt>
                <c:pt idx="45" formatCode="0">
                  <c:v>622.09764503159113</c:v>
                </c:pt>
                <c:pt idx="46" formatCode="0">
                  <c:v>653.54426728627516</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1978-2023R'!$E$209:$AY$209</c:f>
              <c:numCache>
                <c:formatCode>0.0</c:formatCode>
                <c:ptCount val="47"/>
                <c:pt idx="0">
                  <c:v>621.74918815663796</c:v>
                </c:pt>
                <c:pt idx="1">
                  <c:v>754.11263157894723</c:v>
                </c:pt>
                <c:pt idx="2">
                  <c:v>880.10944694363593</c:v>
                </c:pt>
                <c:pt idx="3">
                  <c:v>785.52368483694374</c:v>
                </c:pt>
                <c:pt idx="4">
                  <c:v>379.64904740806384</c:v>
                </c:pt>
                <c:pt idx="5">
                  <c:v>320.37071729957802</c:v>
                </c:pt>
                <c:pt idx="6">
                  <c:v>341.07315206445116</c:v>
                </c:pt>
                <c:pt idx="7">
                  <c:v>350.54707369239748</c:v>
                </c:pt>
                <c:pt idx="8">
                  <c:v>351.64954303122619</c:v>
                </c:pt>
                <c:pt idx="9">
                  <c:v>312.14363502575429</c:v>
                </c:pt>
                <c:pt idx="10">
                  <c:v>298.35867328840015</c:v>
                </c:pt>
                <c:pt idx="11">
                  <c:v>291.34094555384883</c:v>
                </c:pt>
                <c:pt idx="12">
                  <c:v>356.12516258129074</c:v>
                </c:pt>
                <c:pt idx="13">
                  <c:v>409.84330392943065</c:v>
                </c:pt>
                <c:pt idx="14">
                  <c:v>442.48211009174315</c:v>
                </c:pt>
                <c:pt idx="15">
                  <c:v>515.88204673173618</c:v>
                </c:pt>
                <c:pt idx="16">
                  <c:v>618.7802354308966</c:v>
                </c:pt>
                <c:pt idx="17">
                  <c:v>665.90385212360661</c:v>
                </c:pt>
                <c:pt idx="18">
                  <c:v>565.42802935881468</c:v>
                </c:pt>
                <c:pt idx="19">
                  <c:v>602.92964769647699</c:v>
                </c:pt>
                <c:pt idx="20">
                  <c:v>654.47772083614279</c:v>
                </c:pt>
                <c:pt idx="21">
                  <c:v>726.62064687876534</c:v>
                </c:pt>
                <c:pt idx="22">
                  <c:v>751.03606287229263</c:v>
                </c:pt>
                <c:pt idx="23">
                  <c:v>805.76073266358458</c:v>
                </c:pt>
                <c:pt idx="24">
                  <c:v>662.74149503532124</c:v>
                </c:pt>
                <c:pt idx="25">
                  <c:v>683.24091411721349</c:v>
                </c:pt>
                <c:pt idx="26">
                  <c:v>648.47479908840126</c:v>
                </c:pt>
                <c:pt idx="27">
                  <c:v>541.69418793143518</c:v>
                </c:pt>
                <c:pt idx="28">
                  <c:v>523.74677408446382</c:v>
                </c:pt>
                <c:pt idx="29">
                  <c:v>504.54248404253531</c:v>
                </c:pt>
                <c:pt idx="30">
                  <c:v>598.74377907306075</c:v>
                </c:pt>
                <c:pt idx="31">
                  <c:v>743.92040673954818</c:v>
                </c:pt>
                <c:pt idx="32">
                  <c:v>805.76954279906988</c:v>
                </c:pt>
                <c:pt idx="33">
                  <c:v>885.94324028393021</c:v>
                </c:pt>
                <c:pt idx="34">
                  <c:v>773.68940017770763</c:v>
                </c:pt>
                <c:pt idx="35">
                  <c:v>818.37046889987289</c:v>
                </c:pt>
                <c:pt idx="36">
                  <c:v>694.60891901268531</c:v>
                </c:pt>
                <c:pt idx="37">
                  <c:v>787.04055912283854</c:v>
                </c:pt>
                <c:pt idx="38">
                  <c:v>757.66996309286469</c:v>
                </c:pt>
                <c:pt idx="39">
                  <c:v>886.39136395838261</c:v>
                </c:pt>
                <c:pt idx="40">
                  <c:v>843.67473648146461</c:v>
                </c:pt>
                <c:pt idx="41" formatCode="0">
                  <c:v>989.05396709738329</c:v>
                </c:pt>
                <c:pt idx="42" formatCode="0">
                  <c:v>999.72233386843982</c:v>
                </c:pt>
                <c:pt idx="43" formatCode="0">
                  <c:v>1131.0264629847238</c:v>
                </c:pt>
                <c:pt idx="44" formatCode="0">
                  <c:v>1146.2320184338921</c:v>
                </c:pt>
                <c:pt idx="45" formatCode="0">
                  <c:v>1089.8002216205052</c:v>
                </c:pt>
                <c:pt idx="46" formatCode="0">
                  <c:v>1545.5862867618857</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1978-2023R'!$E$211:$AY$211</c:f>
              <c:numCache>
                <c:formatCode>0.0</c:formatCode>
                <c:ptCount val="47"/>
                <c:pt idx="0">
                  <c:v>2172.3507163323779</c:v>
                </c:pt>
                <c:pt idx="1">
                  <c:v>2539.7695321637425</c:v>
                </c:pt>
                <c:pt idx="2">
                  <c:v>2485.9807885684045</c:v>
                </c:pt>
                <c:pt idx="3">
                  <c:v>2209.9399666746017</c:v>
                </c:pt>
                <c:pt idx="4">
                  <c:v>1001.9835622507754</c:v>
                </c:pt>
                <c:pt idx="5">
                  <c:v>723.57130801687777</c:v>
                </c:pt>
                <c:pt idx="6">
                  <c:v>581.36952668680772</c:v>
                </c:pt>
                <c:pt idx="7">
                  <c:v>560.9191911335796</c:v>
                </c:pt>
                <c:pt idx="8">
                  <c:v>448.53038842345779</c:v>
                </c:pt>
                <c:pt idx="9">
                  <c:v>377.7270051508462</c:v>
                </c:pt>
                <c:pt idx="10">
                  <c:v>304.66202554097202</c:v>
                </c:pt>
                <c:pt idx="11">
                  <c:v>309.24888206178531</c:v>
                </c:pt>
                <c:pt idx="12">
                  <c:v>261.68520927130237</c:v>
                </c:pt>
                <c:pt idx="13">
                  <c:v>364.06389735364883</c:v>
                </c:pt>
                <c:pt idx="14">
                  <c:v>416.95097859327223</c:v>
                </c:pt>
                <c:pt idx="15">
                  <c:v>426.62043774031349</c:v>
                </c:pt>
                <c:pt idx="16">
                  <c:v>505.97663130358961</c:v>
                </c:pt>
                <c:pt idx="17">
                  <c:v>573.89036263581215</c:v>
                </c:pt>
                <c:pt idx="18">
                  <c:v>397.00265891150821</c:v>
                </c:pt>
                <c:pt idx="19">
                  <c:v>352.15738753387529</c:v>
                </c:pt>
                <c:pt idx="20">
                  <c:v>445.27003371544163</c:v>
                </c:pt>
                <c:pt idx="21">
                  <c:v>533.89918558077443</c:v>
                </c:pt>
                <c:pt idx="22">
                  <c:v>416.69853715775758</c:v>
                </c:pt>
                <c:pt idx="23">
                  <c:v>493.1300343467754</c:v>
                </c:pt>
                <c:pt idx="24">
                  <c:v>501.30730377998248</c:v>
                </c:pt>
                <c:pt idx="25">
                  <c:v>393.53235041159849</c:v>
                </c:pt>
                <c:pt idx="26">
                  <c:v>353.60280676502344</c:v>
                </c:pt>
                <c:pt idx="27">
                  <c:v>383.64563393891183</c:v>
                </c:pt>
                <c:pt idx="28">
                  <c:v>340.69106754950337</c:v>
                </c:pt>
                <c:pt idx="29">
                  <c:v>675.8384391886724</c:v>
                </c:pt>
                <c:pt idx="30">
                  <c:v>812.59393667958284</c:v>
                </c:pt>
                <c:pt idx="31">
                  <c:v>990.97148689500364</c:v>
                </c:pt>
                <c:pt idx="32">
                  <c:v>1910.3033144858821</c:v>
                </c:pt>
                <c:pt idx="33">
                  <c:v>1129.9809472671702</c:v>
                </c:pt>
                <c:pt idx="34">
                  <c:v>849.23284836101413</c:v>
                </c:pt>
                <c:pt idx="35">
                  <c:v>893.90928233017951</c:v>
                </c:pt>
                <c:pt idx="36">
                  <c:v>833.29234527347251</c:v>
                </c:pt>
                <c:pt idx="37">
                  <c:v>900.76419451164134</c:v>
                </c:pt>
                <c:pt idx="38">
                  <c:v>834.03018759768884</c:v>
                </c:pt>
                <c:pt idx="39">
                  <c:v>912.94617530852929</c:v>
                </c:pt>
                <c:pt idx="40">
                  <c:v>873.30329027276036</c:v>
                </c:pt>
                <c:pt idx="41" formatCode="0">
                  <c:v>944.58585036222757</c:v>
                </c:pt>
                <c:pt idx="42" formatCode="0">
                  <c:v>945.43965770642592</c:v>
                </c:pt>
                <c:pt idx="43" formatCode="0">
                  <c:v>1093.0292405866951</c:v>
                </c:pt>
                <c:pt idx="44" formatCode="0">
                  <c:v>1076.4297196222544</c:v>
                </c:pt>
                <c:pt idx="45" formatCode="0">
                  <c:v>1022.4624956385671</c:v>
                </c:pt>
                <c:pt idx="46" formatCode="0">
                  <c:v>1798.5691759627609</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1978-2023R'!$E$212:$AY$212</c:f>
              <c:numCache>
                <c:formatCode>0.0</c:formatCode>
                <c:ptCount val="47"/>
                <c:pt idx="0">
                  <c:v>2749.2017828716971</c:v>
                </c:pt>
                <c:pt idx="1">
                  <c:v>2509.0904093567246</c:v>
                </c:pt>
                <c:pt idx="2">
                  <c:v>2493.7429478698073</c:v>
                </c:pt>
                <c:pt idx="3">
                  <c:v>2670.2434182337543</c:v>
                </c:pt>
                <c:pt idx="4">
                  <c:v>1044.2223305272485</c:v>
                </c:pt>
                <c:pt idx="5">
                  <c:v>516.73464135021095</c:v>
                </c:pt>
                <c:pt idx="6">
                  <c:v>594.32167170191337</c:v>
                </c:pt>
                <c:pt idx="7">
                  <c:v>633.96811199688898</c:v>
                </c:pt>
                <c:pt idx="8">
                  <c:v>664.63267326732671</c:v>
                </c:pt>
                <c:pt idx="9">
                  <c:v>608.51405445180285</c:v>
                </c:pt>
                <c:pt idx="10">
                  <c:v>1042.7545583540264</c:v>
                </c:pt>
                <c:pt idx="11">
                  <c:v>1088.1478409284864</c:v>
                </c:pt>
                <c:pt idx="12">
                  <c:v>1799.2504252126066</c:v>
                </c:pt>
                <c:pt idx="13">
                  <c:v>1515.4250200481156</c:v>
                </c:pt>
                <c:pt idx="14">
                  <c:v>1422.6705504587158</c:v>
                </c:pt>
                <c:pt idx="15">
                  <c:v>665.04069801833759</c:v>
                </c:pt>
                <c:pt idx="16">
                  <c:v>1035.5633192849878</c:v>
                </c:pt>
                <c:pt idx="17">
                  <c:v>692.72785381684787</c:v>
                </c:pt>
                <c:pt idx="18">
                  <c:v>781.97493421963725</c:v>
                </c:pt>
                <c:pt idx="19">
                  <c:v>521.90715447154469</c:v>
                </c:pt>
                <c:pt idx="20">
                  <c:v>365.83197302764665</c:v>
                </c:pt>
                <c:pt idx="21">
                  <c:v>486.76783978638201</c:v>
                </c:pt>
                <c:pt idx="22">
                  <c:v>370.08490221642774</c:v>
                </c:pt>
                <c:pt idx="23">
                  <c:v>761.05062460246791</c:v>
                </c:pt>
                <c:pt idx="24">
                  <c:v>860.77848800703259</c:v>
                </c:pt>
                <c:pt idx="25">
                  <c:v>763.81870745791889</c:v>
                </c:pt>
                <c:pt idx="26">
                  <c:v>738.73621206669065</c:v>
                </c:pt>
                <c:pt idx="27">
                  <c:v>509.89495114006519</c:v>
                </c:pt>
                <c:pt idx="28">
                  <c:v>699.30996171602294</c:v>
                </c:pt>
                <c:pt idx="29">
                  <c:v>705.97575957003414</c:v>
                </c:pt>
                <c:pt idx="30">
                  <c:v>789.08163395225449</c:v>
                </c:pt>
                <c:pt idx="31">
                  <c:v>1022.1278657176247</c:v>
                </c:pt>
                <c:pt idx="32">
                  <c:v>4073.4096674811435</c:v>
                </c:pt>
                <c:pt idx="33">
                  <c:v>764.4962012106032</c:v>
                </c:pt>
                <c:pt idx="34">
                  <c:v>487.6136602694977</c:v>
                </c:pt>
                <c:pt idx="35">
                  <c:v>370.72651999999994</c:v>
                </c:pt>
                <c:pt idx="36">
                  <c:v>555.71540505955318</c:v>
                </c:pt>
                <c:pt idx="37">
                  <c:v>607.1811009885638</c:v>
                </c:pt>
                <c:pt idx="38">
                  <c:v>586.8293040293039</c:v>
                </c:pt>
                <c:pt idx="39">
                  <c:v>673.31200689391039</c:v>
                </c:pt>
                <c:pt idx="40">
                  <c:v>609.75462074157724</c:v>
                </c:pt>
                <c:pt idx="41" formatCode="0">
                  <c:v>641.00620454754676</c:v>
                </c:pt>
                <c:pt idx="42" formatCode="0">
                  <c:v>704.24431170241667</c:v>
                </c:pt>
                <c:pt idx="43" formatCode="0">
                  <c:v>696.9</c:v>
                </c:pt>
                <c:pt idx="44" formatCode="0">
                  <c:v>638.46218037318602</c:v>
                </c:pt>
                <c:pt idx="45" formatCode="0">
                  <c:v>606.45262985148122</c:v>
                </c:pt>
                <c:pt idx="46" formatCode="0">
                  <c:v>707.96109286114893</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1978-2023R'!$E$222:$AY$222</c:f>
              <c:numCache>
                <c:formatCode>0.0</c:formatCode>
                <c:ptCount val="47"/>
                <c:pt idx="0">
                  <c:v>647.96969118115248</c:v>
                </c:pt>
                <c:pt idx="1">
                  <c:v>675.27058479532161</c:v>
                </c:pt>
                <c:pt idx="2">
                  <c:v>671.27750727705745</c:v>
                </c:pt>
                <c:pt idx="3">
                  <c:v>610.96286598428958</c:v>
                </c:pt>
                <c:pt idx="4">
                  <c:v>634.70622507753649</c:v>
                </c:pt>
                <c:pt idx="5">
                  <c:v>702.38780590717317</c:v>
                </c:pt>
                <c:pt idx="6">
                  <c:v>762.35871097683798</c:v>
                </c:pt>
                <c:pt idx="7">
                  <c:v>901.15605677620078</c:v>
                </c:pt>
                <c:pt idx="8">
                  <c:v>922.83838537699933</c:v>
                </c:pt>
                <c:pt idx="9">
                  <c:v>1104.1250919793968</c:v>
                </c:pt>
                <c:pt idx="10">
                  <c:v>1119.5954239091877</c:v>
                </c:pt>
                <c:pt idx="11">
                  <c:v>1051.1766171701656</c:v>
                </c:pt>
                <c:pt idx="12">
                  <c:v>1061.2266466566618</c:v>
                </c:pt>
                <c:pt idx="13">
                  <c:v>1277.1187810745789</c:v>
                </c:pt>
                <c:pt idx="14">
                  <c:v>1311.748134556575</c:v>
                </c:pt>
                <c:pt idx="15">
                  <c:v>1421.3451345755693</c:v>
                </c:pt>
                <c:pt idx="16">
                  <c:v>1242.47923266967</c:v>
                </c:pt>
                <c:pt idx="17">
                  <c:v>1136.1596444193597</c:v>
                </c:pt>
                <c:pt idx="18">
                  <c:v>1209.7566265060243</c:v>
                </c:pt>
                <c:pt idx="19">
                  <c:v>993.21346883468846</c:v>
                </c:pt>
                <c:pt idx="20">
                  <c:v>991.72051247471336</c:v>
                </c:pt>
                <c:pt idx="21">
                  <c:v>1179.7146061415222</c:v>
                </c:pt>
                <c:pt idx="22">
                  <c:v>1111.4314471968712</c:v>
                </c:pt>
                <c:pt idx="23">
                  <c:v>1397.584480346012</c:v>
                </c:pt>
                <c:pt idx="24">
                  <c:v>1387.8432651010926</c:v>
                </c:pt>
                <c:pt idx="25">
                  <c:v>1388.7990907973954</c:v>
                </c:pt>
                <c:pt idx="26">
                  <c:v>1045.5167566270843</c:v>
                </c:pt>
                <c:pt idx="27">
                  <c:v>1120.3251744997674</c:v>
                </c:pt>
                <c:pt idx="28">
                  <c:v>1186.3821416507151</c:v>
                </c:pt>
                <c:pt idx="29">
                  <c:v>1356.7604255785898</c:v>
                </c:pt>
                <c:pt idx="30">
                  <c:v>1499.8775596816977</c:v>
                </c:pt>
                <c:pt idx="31">
                  <c:v>1840.9807712737704</c:v>
                </c:pt>
                <c:pt idx="32">
                  <c:v>665.19813024540531</c:v>
                </c:pt>
                <c:pt idx="33">
                  <c:v>1882.688165309956</c:v>
                </c:pt>
                <c:pt idx="34">
                  <c:v>1712.5698244181301</c:v>
                </c:pt>
                <c:pt idx="35">
                  <c:v>1684.8538800000003</c:v>
                </c:pt>
                <c:pt idx="36">
                  <c:v>1722.7843882271879</c:v>
                </c:pt>
                <c:pt idx="37">
                  <c:v>1760.4206241519676</c:v>
                </c:pt>
                <c:pt idx="38">
                  <c:v>1830.198361287835</c:v>
                </c:pt>
                <c:pt idx="39">
                  <c:v>1997.3590578322483</c:v>
                </c:pt>
                <c:pt idx="40">
                  <c:v>1987.0377376246943</c:v>
                </c:pt>
                <c:pt idx="41">
                  <c:v>2170.6140108625609</c:v>
                </c:pt>
                <c:pt idx="42">
                  <c:v>2211.6763508009776</c:v>
                </c:pt>
                <c:pt idx="43">
                  <c:v>2213</c:v>
                </c:pt>
                <c:pt idx="44">
                  <c:v>2187.9828956461647</c:v>
                </c:pt>
                <c:pt idx="45">
                  <c:v>2078.2875194879794</c:v>
                </c:pt>
                <c:pt idx="46">
                  <c:v>2187.5202307507411</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1978-2023R'!$E$213:$AY$213</c:f>
              <c:numCache>
                <c:formatCode>0.0</c:formatCode>
                <c:ptCount val="47"/>
                <c:pt idx="25">
                  <c:v>115.7448089445878</c:v>
                </c:pt>
                <c:pt idx="26">
                  <c:v>109.7481348206789</c:v>
                </c:pt>
                <c:pt idx="27">
                  <c:v>128.09716147045137</c:v>
                </c:pt>
                <c:pt idx="28">
                  <c:v>185.34442067334763</c:v>
                </c:pt>
                <c:pt idx="29">
                  <c:v>111.86714928156194</c:v>
                </c:pt>
                <c:pt idx="30">
                  <c:v>119.58321485411142</c:v>
                </c:pt>
                <c:pt idx="31">
                  <c:v>147.54214384362052</c:v>
                </c:pt>
                <c:pt idx="32">
                  <c:v>865.95612450865838</c:v>
                </c:pt>
                <c:pt idx="33">
                  <c:v>198.3945940304738</c:v>
                </c:pt>
                <c:pt idx="34">
                  <c:v>159.04902000816659</c:v>
                </c:pt>
                <c:pt idx="35">
                  <c:v>153.66084000000001</c:v>
                </c:pt>
                <c:pt idx="36">
                  <c:v>143.59312924500446</c:v>
                </c:pt>
                <c:pt idx="37">
                  <c:v>160.95274277960843</c:v>
                </c:pt>
                <c:pt idx="38">
                  <c:v>156.49506458453826</c:v>
                </c:pt>
                <c:pt idx="39">
                  <c:v>222.52891612409039</c:v>
                </c:pt>
                <c:pt idx="40">
                  <c:v>243.77444005270092</c:v>
                </c:pt>
                <c:pt idx="41" formatCode="0">
                  <c:v>271.06710853355429</c:v>
                </c:pt>
                <c:pt idx="42" formatCode="0">
                  <c:v>270.07774459227085</c:v>
                </c:pt>
                <c:pt idx="43" formatCode="0">
                  <c:v>333</c:v>
                </c:pt>
                <c:pt idx="44" formatCode="0">
                  <c:v>347.64075673807878</c:v>
                </c:pt>
                <c:pt idx="45" formatCode="0">
                  <c:v>330.21165176007224</c:v>
                </c:pt>
                <c:pt idx="46" formatCode="0">
                  <c:v>451.51502283470876</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1978-2023R'!$E$210:$AX$210</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15.740037785205638</c:v>
                </c:pt>
                <c:pt idx="17">
                  <c:v>14.008974178072531</c:v>
                </c:pt>
                <c:pt idx="18">
                  <c:v>22.342140977703924</c:v>
                </c:pt>
                <c:pt idx="19">
                  <c:v>22.625149051490517</c:v>
                </c:pt>
                <c:pt idx="20">
                  <c:v>28.756547538772757</c:v>
                </c:pt>
                <c:pt idx="21">
                  <c:v>37.626750333778375</c:v>
                </c:pt>
                <c:pt idx="22">
                  <c:v>35.728784876140814</c:v>
                </c:pt>
                <c:pt idx="23">
                  <c:v>38.175957257346397</c:v>
                </c:pt>
                <c:pt idx="24">
                  <c:v>107.11028506844154</c:v>
                </c:pt>
                <c:pt idx="25">
                  <c:v>127.52721464553386</c:v>
                </c:pt>
                <c:pt idx="26">
                  <c:v>195.13786733837111</c:v>
                </c:pt>
                <c:pt idx="27">
                  <c:v>218.92014890646814</c:v>
                </c:pt>
                <c:pt idx="28">
                  <c:v>194.99909920054048</c:v>
                </c:pt>
                <c:pt idx="29">
                  <c:v>234.50027421300871</c:v>
                </c:pt>
                <c:pt idx="30">
                  <c:v>246.82741644562336</c:v>
                </c:pt>
                <c:pt idx="31">
                  <c:v>197.28218421332201</c:v>
                </c:pt>
                <c:pt idx="32">
                  <c:v>51.537873154148521</c:v>
                </c:pt>
                <c:pt idx="33">
                  <c:v>204.87038196618659</c:v>
                </c:pt>
                <c:pt idx="34">
                  <c:v>110.33233973050226</c:v>
                </c:pt>
                <c:pt idx="35">
                  <c:v>114.28666000000001</c:v>
                </c:pt>
                <c:pt idx="36">
                  <c:v>106.38995964169703</c:v>
                </c:pt>
                <c:pt idx="37">
                  <c:v>101.57955030044583</c:v>
                </c:pt>
                <c:pt idx="38">
                  <c:v>103.09751301330249</c:v>
                </c:pt>
                <c:pt idx="39">
                  <c:v>109.10398314821907</c:v>
                </c:pt>
                <c:pt idx="40">
                  <c:v>107.23527197440242</c:v>
                </c:pt>
                <c:pt idx="41" formatCode="0">
                  <c:v>119.43569916229403</c:v>
                </c:pt>
                <c:pt idx="42" formatCode="0">
                  <c:v>122.53054575074668</c:v>
                </c:pt>
                <c:pt idx="43" formatCode="0">
                  <c:v>150</c:v>
                </c:pt>
                <c:pt idx="44" formatCode="0">
                  <c:v>146.19039391845197</c:v>
                </c:pt>
                <c:pt idx="45" formatCode="0">
                  <c:v>138.86108148026588</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1978-2023R'!$E$214:$AY$214</c:f>
              <c:numCache>
                <c:formatCode>0.0</c:formatCode>
                <c:ptCount val="47"/>
                <c:pt idx="31">
                  <c:v>10.427430149792841</c:v>
                </c:pt>
                <c:pt idx="32">
                  <c:v>466.11811324763624</c:v>
                </c:pt>
                <c:pt idx="33">
                  <c:v>0</c:v>
                </c:pt>
                <c:pt idx="34">
                  <c:v>206.84434463046142</c:v>
                </c:pt>
                <c:pt idx="35">
                  <c:v>310.25500000000005</c:v>
                </c:pt>
                <c:pt idx="36">
                  <c:v>278.30191948026385</c:v>
                </c:pt>
                <c:pt idx="37">
                  <c:v>306.18197712735025</c:v>
                </c:pt>
                <c:pt idx="38">
                  <c:v>304.49654713707349</c:v>
                </c:pt>
                <c:pt idx="39">
                  <c:v>314.45712370739182</c:v>
                </c:pt>
                <c:pt idx="40">
                  <c:v>324.14780726519859</c:v>
                </c:pt>
                <c:pt idx="41" formatCode="0">
                  <c:v>367.03109638221491</c:v>
                </c:pt>
                <c:pt idx="42" formatCode="0">
                  <c:v>373.82027332790307</c:v>
                </c:pt>
                <c:pt idx="43" formatCode="0">
                  <c:v>425</c:v>
                </c:pt>
                <c:pt idx="44" formatCode="0">
                  <c:v>450.26641326883208</c:v>
                </c:pt>
                <c:pt idx="45" formatCode="0">
                  <c:v>429.54361204562247</c:v>
                </c:pt>
                <c:pt idx="46" formatCode="0">
                  <c:v>632.75378575434661</c:v>
                </c:pt>
              </c:numCache>
            </c:numRef>
          </c:val>
          <c:extLst>
            <c:ext xmlns:c16="http://schemas.microsoft.com/office/drawing/2014/chart" uri="{C3380CC4-5D6E-409C-BE32-E72D297353CC}">
              <c16:uniqueId val="{00000008-A55E-40C8-A3FC-AC8E09D736E6}"/>
            </c:ext>
          </c:extLst>
        </c:ser>
        <c:ser>
          <c:idx val="11"/>
          <c:order val="9"/>
          <c:tx>
            <c:strRef>
              <c:f>'Complete Data 1978-2023R'!$BB$215</c:f>
              <c:strCache>
                <c:ptCount val="1"/>
                <c:pt idx="0">
                  <c:v>ARPA-C</c:v>
                </c:pt>
              </c:strCache>
            </c:strRef>
          </c:tx>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1978-2023R'!$E$215:$AX$215</c:f>
              <c:numCache>
                <c:formatCode>0.0</c:formatCode>
                <c:ptCount val="46"/>
                <c:pt idx="45" formatCode="0">
                  <c:v>0</c:v>
                </c:pt>
              </c:numCache>
            </c:numRef>
          </c:val>
          <c:extLst>
            <c:ext xmlns:c16="http://schemas.microsoft.com/office/drawing/2014/chart" uri="{C3380CC4-5D6E-409C-BE32-E72D297353CC}">
              <c16:uniqueId val="{00000001-81E6-4E9A-9ABC-F4D80DF8CA8A}"/>
            </c:ext>
          </c:extLst>
        </c:ser>
        <c:ser>
          <c:idx val="9"/>
          <c:order val="10"/>
          <c:tx>
            <c:strRef>
              <c:f>'Complete Data 1978-2023R'!$B$216</c:f>
              <c:strCache>
                <c:ptCount val="1"/>
                <c:pt idx="0">
                  <c:v>OCDE</c:v>
                </c:pt>
              </c:strCache>
              <c:extLst xmlns:c15="http://schemas.microsoft.com/office/drawing/2012/chart"/>
            </c:strRef>
          </c:tx>
          <c:spPr>
            <a:solidFill>
              <a:schemeClr val="tx1"/>
            </a:solidFill>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1978-2023R'!$E$216:$AY$216</c:f>
              <c:numCache>
                <c:formatCode>0.0</c:formatCode>
                <c:ptCount val="47"/>
                <c:pt idx="45" formatCode="0">
                  <c:v>0</c:v>
                </c:pt>
              </c:numCache>
            </c:numRef>
          </c:val>
          <c:extLst xmlns:c15="http://schemas.microsoft.com/office/drawing/2012/chart">
            <c:ext xmlns:c16="http://schemas.microsoft.com/office/drawing/2014/chart" uri="{C3380CC4-5D6E-409C-BE32-E72D297353CC}">
              <c16:uniqueId val="{00000000-1303-4331-8CC5-1BEC900E58E9}"/>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10"/>
                <c:order val="11"/>
                <c:tx>
                  <c:strRef>
                    <c:extLst>
                      <c:ext uri="{02D57815-91ED-43cb-92C2-25804820EDAC}">
                        <c15:formulaRef>
                          <c15:sqref>'Complete Data 1978-2023R'!$B$217</c15:sqref>
                        </c15:formulaRef>
                      </c:ext>
                    </c:extLst>
                    <c:strCache>
                      <c:ptCount val="1"/>
                      <c:pt idx="0">
                        <c:v>Sum of BES and Fusion</c:v>
                      </c:pt>
                    </c:strCache>
                  </c:strRef>
                </c:tx>
                <c:cat>
                  <c:strRef>
                    <c:extLst>
                      <c:ext uri="{02D57815-91ED-43cb-92C2-25804820EDAC}">
                        <c15:formulaRef>
                          <c15:sqref>'Complete Data 1978-2023R'!$E$206:$AY$206</c15:sqref>
                        </c15:formulaRef>
                      </c:ext>
                    </c:extLst>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uri="{02D57815-91ED-43cb-92C2-25804820EDAC}">
                        <c15:formulaRef>
                          <c15:sqref>'Complete Data 1978-2023R'!$E$217:$AT$217</c15:sqref>
                        </c15:formulaRef>
                      </c:ext>
                    </c:extLst>
                    <c:numCache>
                      <c:formatCode>0.0</c:formatCode>
                      <c:ptCount val="42"/>
                    </c:numCache>
                  </c:numRef>
                </c:val>
                <c:extLs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20248816401148501"/>
          <c:h val="0.45270536267091294"/>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FY1978-FY23 Request (2020$)</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3647651176864539"/>
        </c:manualLayout>
      </c:layout>
      <c:areaChart>
        <c:grouping val="stacked"/>
        <c:varyColors val="0"/>
        <c:ser>
          <c:idx val="1"/>
          <c:order val="1"/>
          <c:tx>
            <c:v>Total DOE Energy RD&amp;D</c:v>
          </c:tx>
          <c:spPr>
            <a:ln w="25400">
              <a:noFill/>
            </a:ln>
          </c:spPr>
          <c:cat>
            <c:strRef>
              <c:extLst>
                <c:ext xmlns:c15="http://schemas.microsoft.com/office/drawing/2012/chart" uri="{02D57815-91ED-43cb-92C2-25804820EDAC}">
                  <c15:fullRef>
                    <c15:sqref>'Complete Data 1978-2023R'!$E$206:$AY$206</c15:sqref>
                  </c15:fullRef>
                </c:ext>
              </c:extLst>
              <c:f>('Complete Data 1978-2023R'!$E$206,'Complete Data 1978-2023R'!$G$206:$AY$206)</c:f>
              <c:strCache>
                <c:ptCount val="46"/>
                <c:pt idx="0">
                  <c:v>1978</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2009 ARRA</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2022CR</c:v>
                </c:pt>
                <c:pt idx="45">
                  <c:v>2023R</c:v>
                </c:pt>
              </c:strCache>
            </c:strRef>
          </c:cat>
          <c:val>
            <c:numRef>
              <c:extLst>
                <c:ext xmlns:c15="http://schemas.microsoft.com/office/drawing/2012/chart" uri="{02D57815-91ED-43cb-92C2-25804820EDAC}">
                  <c15:fullRef>
                    <c15:sqref>'Complete Data 1978-2023R'!$E$219:$AY$219</c15:sqref>
                  </c15:fullRef>
                </c:ext>
              </c:extLst>
              <c:f>('Complete Data 1978-2023R'!$E$219,'Complete Data 1978-2023R'!$G$219:$AY$219)</c:f>
              <c:numCache>
                <c:formatCode>0.0</c:formatCode>
                <c:ptCount val="46"/>
                <c:pt idx="0">
                  <c:v>9859.2683221903862</c:v>
                </c:pt>
                <c:pt idx="1">
                  <c:v>9317.8751521566574</c:v>
                </c:pt>
                <c:pt idx="2">
                  <c:v>8587.0495120209471</c:v>
                </c:pt>
                <c:pt idx="3">
                  <c:v>5505.5360212671685</c:v>
                </c:pt>
                <c:pt idx="4">
                  <c:v>4152.4424472573846</c:v>
                </c:pt>
                <c:pt idx="5">
                  <c:v>3853.490372608258</c:v>
                </c:pt>
                <c:pt idx="6">
                  <c:v>3370.3412016332886</c:v>
                </c:pt>
                <c:pt idx="7">
                  <c:v>2972.373076923077</c:v>
                </c:pt>
                <c:pt idx="8">
                  <c:v>2538.0349153789557</c:v>
                </c:pt>
                <c:pt idx="9">
                  <c:v>2799.188666193686</c:v>
                </c:pt>
                <c:pt idx="10">
                  <c:v>2820.0186038573142</c:v>
                </c:pt>
                <c:pt idx="11">
                  <c:v>3595.1145572786399</c:v>
                </c:pt>
                <c:pt idx="12">
                  <c:v>3343.8870890136327</c:v>
                </c:pt>
                <c:pt idx="13">
                  <c:v>3364.9341284403677</c:v>
                </c:pt>
                <c:pt idx="14">
                  <c:v>2577.5781689808828</c:v>
                </c:pt>
                <c:pt idx="15">
                  <c:v>2884.835745503357</c:v>
                </c:pt>
                <c:pt idx="16">
                  <c:v>2695.5452149383718</c:v>
                </c:pt>
                <c:pt idx="17">
                  <c:v>2210.2041202586738</c:v>
                </c:pt>
                <c:pt idx="18">
                  <c:v>1951.6824693837634</c:v>
                </c:pt>
                <c:pt idx="19">
                  <c:v>1847.0590777112066</c:v>
                </c:pt>
                <c:pt idx="20">
                  <c:v>2159.4356766602723</c:v>
                </c:pt>
                <c:pt idx="21">
                  <c:v>1998.8869374998862</c:v>
                </c:pt>
                <c:pt idx="22">
                  <c:v>2536.305886219604</c:v>
                </c:pt>
                <c:pt idx="23">
                  <c:v>2694.4596012860243</c:v>
                </c:pt>
                <c:pt idx="24">
                  <c:v>2640.1590936404705</c:v>
                </c:pt>
                <c:pt idx="25">
                  <c:v>2627.257274285661</c:v>
                </c:pt>
                <c:pt idx="26">
                  <c:v>2455.9511562835833</c:v>
                </c:pt>
                <c:pt idx="27">
                  <c:v>2679.3246551566463</c:v>
                </c:pt>
                <c:pt idx="28">
                  <c:v>3080.9902810718245</c:v>
                </c:pt>
                <c:pt idx="29">
                  <c:v>3531.3662239884256</c:v>
                </c:pt>
                <c:pt idx="30">
                  <c:v>4291.8965014118812</c:v>
                </c:pt>
                <c:pt idx="31">
                  <c:v>8284.6531817698924</c:v>
                </c:pt>
                <c:pt idx="32">
                  <c:v>4300.8167229037417</c:v>
                </c:pt>
                <c:pt idx="33">
                  <c:v>3546.9051414376099</c:v>
                </c:pt>
                <c:pt idx="34">
                  <c:v>3687.1794541672621</c:v>
                </c:pt>
                <c:pt idx="35">
                  <c:v>3566.7872561206823</c:v>
                </c:pt>
                <c:pt idx="36">
                  <c:v>4017.4060304648574</c:v>
                </c:pt>
                <c:pt idx="37">
                  <c:v>3756.6490133171242</c:v>
                </c:pt>
                <c:pt idx="38">
                  <c:v>4229.8014664365564</c:v>
                </c:pt>
                <c:pt idx="39">
                  <c:v>4054.0555719002987</c:v>
                </c:pt>
                <c:pt idx="40">
                  <c:v>4503.4561016051193</c:v>
                </c:pt>
                <c:pt idx="41">
                  <c:v>4686.0428021993284</c:v>
                </c:pt>
                <c:pt idx="42">
                  <c:v>5279.2398604804812</c:v>
                </c:pt>
                <c:pt idx="43">
                  <c:v>5473.7266028340946</c:v>
                </c:pt>
                <c:pt idx="44">
                  <c:v>5202.1856576602804</c:v>
                </c:pt>
                <c:pt idx="45">
                  <c:v>7259.6379085948402</c:v>
                </c:pt>
              </c:numCache>
            </c:numRef>
          </c:val>
          <c:extLst>
            <c:ext xmlns:c16="http://schemas.microsoft.com/office/drawing/2014/chart" uri="{C3380CC4-5D6E-409C-BE32-E72D297353CC}">
              <c16:uniqueId val="{00000001-0A4A-4F8F-91B3-236E28FFE217}"/>
            </c:ext>
          </c:extLst>
        </c:ser>
        <c:dLbls>
          <c:showLegendKey val="0"/>
          <c:showVal val="0"/>
          <c:showCatName val="0"/>
          <c:showSerName val="0"/>
          <c:showPercent val="0"/>
          <c:showBubbleSize val="0"/>
        </c:dLbls>
        <c:axId val="2125896584"/>
        <c:axId val="2126353656"/>
        <c:extLst>
          <c:ext xmlns:c15="http://schemas.microsoft.com/office/drawing/2012/chart" uri="{02D57815-91ED-43cb-92C2-25804820EDAC}">
            <c15:filteredAreaSeries>
              <c15:ser>
                <c:idx val="0"/>
                <c:order val="0"/>
                <c:cat>
                  <c:strRef>
                    <c:extLst>
                      <c:ext uri="{02D57815-91ED-43cb-92C2-25804820EDAC}">
                        <c15:fullRef>
                          <c15:sqref>'Complete Data 1978-2023R'!$E$206:$AY$206</c15:sqref>
                        </c15:fullRef>
                        <c15:formulaRef>
                          <c15:sqref>('Complete Data 1978-2023R'!$E$206,'Complete Data 1978-2023R'!$G$206:$AY$206)</c15:sqref>
                        </c15:formulaRef>
                      </c:ext>
                    </c:extLst>
                    <c:strCache>
                      <c:ptCount val="46"/>
                      <c:pt idx="0">
                        <c:v>1978</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2009 ARRA</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2022CR</c:v>
                      </c:pt>
                      <c:pt idx="45">
                        <c:v>2023R</c:v>
                      </c:pt>
                    </c:strCache>
                  </c:strRef>
                </c:cat>
                <c:val>
                  <c:numRef>
                    <c:extLst>
                      <c:ext uri="{02D57815-91ED-43cb-92C2-25804820EDAC}">
                        <c15:fullRef>
                          <c15:sqref>'Complete Data 1978-2023R'!$E$206:$AW$206</c15:sqref>
                        </c15:fullRef>
                        <c15:formulaRef>
                          <c15:sqref>('Complete Data 1978-2023R'!$E$206,'Complete Data 1978-2023R'!$G$206:$AW$206)</c15:sqref>
                        </c15:formulaRef>
                      </c:ext>
                    </c:extLst>
                    <c:numCache>
                      <c:formatCode>General</c:formatCode>
                      <c:ptCount val="44"/>
                      <c:pt idx="0">
                        <c:v>1978</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0</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val>
                <c:extLst>
                  <c:ext xmlns:c16="http://schemas.microsoft.com/office/drawing/2014/chart" uri="{C3380CC4-5D6E-409C-BE32-E72D297353CC}">
                    <c16:uniqueId val="{00000000-CDBB-4122-93CE-28788F60AFE1}"/>
                  </c:ext>
                </c:extLst>
              </c15:ser>
            </c15:filteredAreaSeries>
          </c:ext>
        </c:extLst>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FY1978-FY2023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1978-2023R'!$B$207</c:f>
              <c:strCache>
                <c:ptCount val="1"/>
                <c:pt idx="0">
                  <c:v>Fission</c:v>
                </c:pt>
              </c:strCache>
            </c:strRef>
          </c:tx>
          <c:spPr>
            <a:solidFill>
              <a:srgbClr val="DD0806"/>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1978-2023R'!$E$207:$AY$207</c15:sqref>
                  </c15:fullRef>
                </c:ext>
              </c:extLst>
              <c:f>'Complete Data 1978-2023R'!$E$207:$AY$207</c:f>
              <c:numCache>
                <c:formatCode>0.0</c:formatCode>
                <c:ptCount val="47"/>
                <c:pt idx="0">
                  <c:v>3122.0357847819168</c:v>
                </c:pt>
                <c:pt idx="1">
                  <c:v>2686.2376023391816</c:v>
                </c:pt>
                <c:pt idx="2">
                  <c:v>2412.2402752050807</c:v>
                </c:pt>
                <c:pt idx="3">
                  <c:v>1862.9667698167104</c:v>
                </c:pt>
                <c:pt idx="4">
                  <c:v>1951.980948161276</c:v>
                </c:pt>
                <c:pt idx="5">
                  <c:v>1500.6964135021099</c:v>
                </c:pt>
                <c:pt idx="6">
                  <c:v>1272.3778247734142</c:v>
                </c:pt>
                <c:pt idx="7">
                  <c:v>882.5099358351157</c:v>
                </c:pt>
                <c:pt idx="8">
                  <c:v>731.01001523229252</c:v>
                </c:pt>
                <c:pt idx="9">
                  <c:v>530.68568800588673</c:v>
                </c:pt>
                <c:pt idx="10">
                  <c:v>490.4608371763037</c:v>
                </c:pt>
                <c:pt idx="11">
                  <c:v>463.4882061785288</c:v>
                </c:pt>
                <c:pt idx="12">
                  <c:v>582.25429381357355</c:v>
                </c:pt>
                <c:pt idx="13">
                  <c:v>535.96285485164401</c:v>
                </c:pt>
                <c:pt idx="14">
                  <c:v>509.76009174311929</c:v>
                </c:pt>
                <c:pt idx="15">
                  <c:v>410.940310359173</c:v>
                </c:pt>
                <c:pt idx="16">
                  <c:v>170.00714500924263</c:v>
                </c:pt>
                <c:pt idx="17">
                  <c:v>188.01843350758253</c:v>
                </c:pt>
                <c:pt idx="18">
                  <c:v>70.201987590067731</c:v>
                </c:pt>
                <c:pt idx="19">
                  <c:v>96.634268841758043</c:v>
                </c:pt>
                <c:pt idx="20">
                  <c:v>11.600159302575616</c:v>
                </c:pt>
                <c:pt idx="21">
                  <c:v>47.358316830905906</c:v>
                </c:pt>
                <c:pt idx="22">
                  <c:v>74.375782059145223</c:v>
                </c:pt>
                <c:pt idx="23">
                  <c:v>90.930844943883287</c:v>
                </c:pt>
                <c:pt idx="24">
                  <c:v>220.93089540052108</c:v>
                </c:pt>
                <c:pt idx="25">
                  <c:v>222.64509192035717</c:v>
                </c:pt>
                <c:pt idx="26">
                  <c:v>235.2621681323686</c:v>
                </c:pt>
                <c:pt idx="27">
                  <c:v>281.44934148600288</c:v>
                </c:pt>
                <c:pt idx="28">
                  <c:v>349.39030429525621</c:v>
                </c:pt>
                <c:pt idx="29">
                  <c:v>435.67133944240572</c:v>
                </c:pt>
                <c:pt idx="30">
                  <c:v>568.83871205208595</c:v>
                </c:pt>
                <c:pt idx="31">
                  <c:v>673.09881735791282</c:v>
                </c:pt>
                <c:pt idx="32">
                  <c:v>0</c:v>
                </c:pt>
                <c:pt idx="33">
                  <c:v>591.95635972277796</c:v>
                </c:pt>
                <c:pt idx="34">
                  <c:v>521.11319875116794</c:v>
                </c:pt>
                <c:pt idx="35">
                  <c:v>568.14236986454978</c:v>
                </c:pt>
                <c:pt idx="36">
                  <c:v>521.65330826573359</c:v>
                </c:pt>
                <c:pt idx="37">
                  <c:v>589.35190106345681</c:v>
                </c:pt>
                <c:pt idx="38">
                  <c:v>503.59591670432849</c:v>
                </c:pt>
                <c:pt idx="39">
                  <c:v>626.12541808880997</c:v>
                </c:pt>
                <c:pt idx="40">
                  <c:v>637.19730574070786</c:v>
                </c:pt>
                <c:pt idx="41" formatCode="0">
                  <c:v>734.03749081090621</c:v>
                </c:pt>
                <c:pt idx="42" formatCode="0">
                  <c:v>818.35011626863206</c:v>
                </c:pt>
                <c:pt idx="43" formatCode="0">
                  <c:v>1025.1268817204302</c:v>
                </c:pt>
                <c:pt idx="44" formatCode="0">
                  <c:v>1013.5721557247336</c:v>
                </c:pt>
                <c:pt idx="45" formatCode="0">
                  <c:v>962.75632023217497</c:v>
                </c:pt>
                <c:pt idx="46" formatCode="0">
                  <c:v>1108.1346852740878</c:v>
                </c:pt>
              </c:numCache>
            </c:numRef>
          </c:val>
          <c:extLst>
            <c:ext xmlns:c16="http://schemas.microsoft.com/office/drawing/2014/chart" uri="{C3380CC4-5D6E-409C-BE32-E72D297353CC}">
              <c16:uniqueId val="{00000000-A58A-4DB6-AAB5-1304A72A2273}"/>
            </c:ext>
          </c:extLst>
        </c:ser>
        <c:ser>
          <c:idx val="2"/>
          <c:order val="1"/>
          <c:tx>
            <c:strRef>
              <c:f>'Complete Data 1978-2023R'!$B$209</c:f>
              <c:strCache>
                <c:ptCount val="1"/>
                <c:pt idx="0">
                  <c:v>Efficiency</c:v>
                </c:pt>
              </c:strCache>
            </c:strRef>
          </c:tx>
          <c:spPr>
            <a:solidFill>
              <a:srgbClr val="FCF305"/>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1978-2023R'!$E$209:$AY$209</c15:sqref>
                  </c15:fullRef>
                </c:ext>
              </c:extLst>
              <c:f>'Complete Data 1978-2023R'!$E$209:$AY$209</c:f>
              <c:numCache>
                <c:formatCode>0.0</c:formatCode>
                <c:ptCount val="47"/>
                <c:pt idx="0">
                  <c:v>621.74918815663796</c:v>
                </c:pt>
                <c:pt idx="1">
                  <c:v>754.11263157894723</c:v>
                </c:pt>
                <c:pt idx="2">
                  <c:v>880.10944694363593</c:v>
                </c:pt>
                <c:pt idx="3">
                  <c:v>785.52368483694374</c:v>
                </c:pt>
                <c:pt idx="4">
                  <c:v>379.64904740806384</c:v>
                </c:pt>
                <c:pt idx="5">
                  <c:v>320.37071729957802</c:v>
                </c:pt>
                <c:pt idx="6">
                  <c:v>341.07315206445116</c:v>
                </c:pt>
                <c:pt idx="7">
                  <c:v>350.54707369239748</c:v>
                </c:pt>
                <c:pt idx="8">
                  <c:v>351.64954303122619</c:v>
                </c:pt>
                <c:pt idx="9">
                  <c:v>312.14363502575429</c:v>
                </c:pt>
                <c:pt idx="10">
                  <c:v>298.35867328840015</c:v>
                </c:pt>
                <c:pt idx="11">
                  <c:v>291.34094555384883</c:v>
                </c:pt>
                <c:pt idx="12">
                  <c:v>356.12516258129074</c:v>
                </c:pt>
                <c:pt idx="13">
                  <c:v>409.84330392943065</c:v>
                </c:pt>
                <c:pt idx="14">
                  <c:v>442.48211009174315</c:v>
                </c:pt>
                <c:pt idx="15">
                  <c:v>515.88204673173618</c:v>
                </c:pt>
                <c:pt idx="16">
                  <c:v>618.7802354308966</c:v>
                </c:pt>
                <c:pt idx="17">
                  <c:v>665.90385212360661</c:v>
                </c:pt>
                <c:pt idx="18">
                  <c:v>565.42802935881468</c:v>
                </c:pt>
                <c:pt idx="19">
                  <c:v>602.92964769647699</c:v>
                </c:pt>
                <c:pt idx="20">
                  <c:v>654.47772083614279</c:v>
                </c:pt>
                <c:pt idx="21">
                  <c:v>726.62064687876534</c:v>
                </c:pt>
                <c:pt idx="22">
                  <c:v>751.03606287229263</c:v>
                </c:pt>
                <c:pt idx="23">
                  <c:v>805.76073266358458</c:v>
                </c:pt>
                <c:pt idx="24">
                  <c:v>662.74149503532124</c:v>
                </c:pt>
                <c:pt idx="25">
                  <c:v>683.24091411721349</c:v>
                </c:pt>
                <c:pt idx="26">
                  <c:v>648.47479908840126</c:v>
                </c:pt>
                <c:pt idx="27">
                  <c:v>541.69418793143518</c:v>
                </c:pt>
                <c:pt idx="28">
                  <c:v>523.74677408446382</c:v>
                </c:pt>
                <c:pt idx="29">
                  <c:v>504.54248404253531</c:v>
                </c:pt>
                <c:pt idx="30">
                  <c:v>598.74377907306075</c:v>
                </c:pt>
                <c:pt idx="31">
                  <c:v>743.92040673954818</c:v>
                </c:pt>
                <c:pt idx="32">
                  <c:v>805.76954279906988</c:v>
                </c:pt>
                <c:pt idx="33">
                  <c:v>885.94324028393021</c:v>
                </c:pt>
                <c:pt idx="34">
                  <c:v>773.68940017770763</c:v>
                </c:pt>
                <c:pt idx="35">
                  <c:v>818.37046889987289</c:v>
                </c:pt>
                <c:pt idx="36">
                  <c:v>694.60891901268531</c:v>
                </c:pt>
                <c:pt idx="37">
                  <c:v>787.04055912283854</c:v>
                </c:pt>
                <c:pt idx="38">
                  <c:v>757.66996309286469</c:v>
                </c:pt>
                <c:pt idx="39">
                  <c:v>886.39136395838261</c:v>
                </c:pt>
                <c:pt idx="40">
                  <c:v>843.67473648146461</c:v>
                </c:pt>
                <c:pt idx="41" formatCode="0">
                  <c:v>989.05396709738329</c:v>
                </c:pt>
                <c:pt idx="42" formatCode="0">
                  <c:v>999.72233386843982</c:v>
                </c:pt>
                <c:pt idx="43" formatCode="0">
                  <c:v>1131.0264629847238</c:v>
                </c:pt>
                <c:pt idx="44" formatCode="0">
                  <c:v>1146.2320184338921</c:v>
                </c:pt>
                <c:pt idx="45" formatCode="0">
                  <c:v>1089.8002216205052</c:v>
                </c:pt>
                <c:pt idx="46" formatCode="0">
                  <c:v>1545.5862867618857</c:v>
                </c:pt>
              </c:numCache>
            </c:numRef>
          </c:val>
          <c:extLst>
            <c:ext xmlns:c16="http://schemas.microsoft.com/office/drawing/2014/chart" uri="{C3380CC4-5D6E-409C-BE32-E72D297353CC}">
              <c16:uniqueId val="{00000002-A58A-4DB6-AAB5-1304A72A2273}"/>
            </c:ext>
          </c:extLst>
        </c:ser>
        <c:ser>
          <c:idx val="3"/>
          <c:order val="2"/>
          <c:tx>
            <c:strRef>
              <c:f>'Complete Data 1978-2023R'!$B$211</c:f>
              <c:strCache>
                <c:ptCount val="1"/>
                <c:pt idx="0">
                  <c:v>Renewables</c:v>
                </c:pt>
              </c:strCache>
            </c:strRef>
          </c:tx>
          <c:spPr>
            <a:solidFill>
              <a:srgbClr val="666699"/>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1978-2023R'!$E$211:$AY$211</c15:sqref>
                  </c15:fullRef>
                </c:ext>
              </c:extLst>
              <c:f>'Complete Data 1978-2023R'!$E$211:$AY$211</c:f>
              <c:numCache>
                <c:formatCode>0.0</c:formatCode>
                <c:ptCount val="47"/>
                <c:pt idx="0">
                  <c:v>2172.3507163323779</c:v>
                </c:pt>
                <c:pt idx="1">
                  <c:v>2539.7695321637425</c:v>
                </c:pt>
                <c:pt idx="2">
                  <c:v>2485.9807885684045</c:v>
                </c:pt>
                <c:pt idx="3">
                  <c:v>2209.9399666746017</c:v>
                </c:pt>
                <c:pt idx="4">
                  <c:v>1001.9835622507754</c:v>
                </c:pt>
                <c:pt idx="5">
                  <c:v>723.57130801687777</c:v>
                </c:pt>
                <c:pt idx="6">
                  <c:v>581.36952668680772</c:v>
                </c:pt>
                <c:pt idx="7">
                  <c:v>560.9191911335796</c:v>
                </c:pt>
                <c:pt idx="8">
                  <c:v>448.53038842345779</c:v>
                </c:pt>
                <c:pt idx="9">
                  <c:v>377.7270051508462</c:v>
                </c:pt>
                <c:pt idx="10">
                  <c:v>304.66202554097202</c:v>
                </c:pt>
                <c:pt idx="11">
                  <c:v>309.24888206178531</c:v>
                </c:pt>
                <c:pt idx="12">
                  <c:v>261.68520927130237</c:v>
                </c:pt>
                <c:pt idx="13">
                  <c:v>364.06389735364883</c:v>
                </c:pt>
                <c:pt idx="14">
                  <c:v>416.95097859327223</c:v>
                </c:pt>
                <c:pt idx="15">
                  <c:v>426.62043774031349</c:v>
                </c:pt>
                <c:pt idx="16">
                  <c:v>505.97663130358961</c:v>
                </c:pt>
                <c:pt idx="17">
                  <c:v>573.89036263581215</c:v>
                </c:pt>
                <c:pt idx="18">
                  <c:v>397.00265891150821</c:v>
                </c:pt>
                <c:pt idx="19">
                  <c:v>352.15738753387529</c:v>
                </c:pt>
                <c:pt idx="20">
                  <c:v>445.27003371544163</c:v>
                </c:pt>
                <c:pt idx="21">
                  <c:v>533.89918558077443</c:v>
                </c:pt>
                <c:pt idx="22">
                  <c:v>416.69853715775758</c:v>
                </c:pt>
                <c:pt idx="23">
                  <c:v>493.1300343467754</c:v>
                </c:pt>
                <c:pt idx="24">
                  <c:v>501.30730377998248</c:v>
                </c:pt>
                <c:pt idx="25">
                  <c:v>393.53235041159849</c:v>
                </c:pt>
                <c:pt idx="26">
                  <c:v>353.60280676502344</c:v>
                </c:pt>
                <c:pt idx="27">
                  <c:v>383.64563393891183</c:v>
                </c:pt>
                <c:pt idx="28">
                  <c:v>340.69106754950337</c:v>
                </c:pt>
                <c:pt idx="29">
                  <c:v>675.8384391886724</c:v>
                </c:pt>
                <c:pt idx="30">
                  <c:v>812.59393667958284</c:v>
                </c:pt>
                <c:pt idx="31">
                  <c:v>990.97148689500364</c:v>
                </c:pt>
                <c:pt idx="32">
                  <c:v>1910.3033144858821</c:v>
                </c:pt>
                <c:pt idx="33">
                  <c:v>1129.9809472671702</c:v>
                </c:pt>
                <c:pt idx="34">
                  <c:v>849.23284836101413</c:v>
                </c:pt>
                <c:pt idx="35">
                  <c:v>893.90928233017951</c:v>
                </c:pt>
                <c:pt idx="36">
                  <c:v>833.29234527347251</c:v>
                </c:pt>
                <c:pt idx="37">
                  <c:v>900.76419451164134</c:v>
                </c:pt>
                <c:pt idx="38">
                  <c:v>834.03018759768884</c:v>
                </c:pt>
                <c:pt idx="39">
                  <c:v>912.94617530852929</c:v>
                </c:pt>
                <c:pt idx="40">
                  <c:v>873.30329027276036</c:v>
                </c:pt>
                <c:pt idx="41" formatCode="0">
                  <c:v>944.58585036222757</c:v>
                </c:pt>
                <c:pt idx="42" formatCode="0">
                  <c:v>945.43965770642592</c:v>
                </c:pt>
                <c:pt idx="43" formatCode="0">
                  <c:v>1093.0292405866951</c:v>
                </c:pt>
                <c:pt idx="44" formatCode="0">
                  <c:v>1076.4297196222544</c:v>
                </c:pt>
                <c:pt idx="45" formatCode="0">
                  <c:v>1022.4624956385671</c:v>
                </c:pt>
                <c:pt idx="46" formatCode="0">
                  <c:v>1798.5691759627609</c:v>
                </c:pt>
              </c:numCache>
            </c:numRef>
          </c:val>
          <c:extLst>
            <c:ext xmlns:c16="http://schemas.microsoft.com/office/drawing/2014/chart" uri="{C3380CC4-5D6E-409C-BE32-E72D297353CC}">
              <c16:uniqueId val="{00000003-A58A-4DB6-AAB5-1304A72A2273}"/>
            </c:ext>
          </c:extLst>
        </c:ser>
        <c:ser>
          <c:idx val="4"/>
          <c:order val="3"/>
          <c:tx>
            <c:strRef>
              <c:f>'Complete Data 1978-2023R'!$B$212</c:f>
              <c:strCache>
                <c:ptCount val="1"/>
                <c:pt idx="0">
                  <c:v>Fossil including CCT demo</c:v>
                </c:pt>
              </c:strCache>
            </c:strRef>
          </c:tx>
          <c:spPr>
            <a:solidFill>
              <a:srgbClr val="660066"/>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1978-2023R'!$E$212:$AY$212</c15:sqref>
                  </c15:fullRef>
                </c:ext>
              </c:extLst>
              <c:f>'Complete Data 1978-2023R'!$E$212:$AY$212</c:f>
              <c:numCache>
                <c:formatCode>0.0</c:formatCode>
                <c:ptCount val="47"/>
                <c:pt idx="0">
                  <c:v>2749.2017828716971</c:v>
                </c:pt>
                <c:pt idx="1">
                  <c:v>2509.0904093567246</c:v>
                </c:pt>
                <c:pt idx="2">
                  <c:v>2493.7429478698073</c:v>
                </c:pt>
                <c:pt idx="3">
                  <c:v>2670.2434182337543</c:v>
                </c:pt>
                <c:pt idx="4">
                  <c:v>1044.2223305272485</c:v>
                </c:pt>
                <c:pt idx="5">
                  <c:v>516.73464135021095</c:v>
                </c:pt>
                <c:pt idx="6">
                  <c:v>594.32167170191337</c:v>
                </c:pt>
                <c:pt idx="7">
                  <c:v>633.96811199688898</c:v>
                </c:pt>
                <c:pt idx="8">
                  <c:v>664.63267326732671</c:v>
                </c:pt>
                <c:pt idx="9">
                  <c:v>608.51405445180285</c:v>
                </c:pt>
                <c:pt idx="10">
                  <c:v>1042.7545583540264</c:v>
                </c:pt>
                <c:pt idx="11">
                  <c:v>1088.1478409284864</c:v>
                </c:pt>
                <c:pt idx="12">
                  <c:v>1799.2504252126066</c:v>
                </c:pt>
                <c:pt idx="13">
                  <c:v>1515.4250200481156</c:v>
                </c:pt>
                <c:pt idx="14">
                  <c:v>1422.6705504587158</c:v>
                </c:pt>
                <c:pt idx="15">
                  <c:v>665.04069801833759</c:v>
                </c:pt>
                <c:pt idx="16">
                  <c:v>1035.5633192849878</c:v>
                </c:pt>
                <c:pt idx="17">
                  <c:v>692.72785381684787</c:v>
                </c:pt>
                <c:pt idx="18">
                  <c:v>781.97493421963725</c:v>
                </c:pt>
                <c:pt idx="19">
                  <c:v>521.90715447154469</c:v>
                </c:pt>
                <c:pt idx="20">
                  <c:v>365.83197302764665</c:v>
                </c:pt>
                <c:pt idx="21">
                  <c:v>486.76783978638201</c:v>
                </c:pt>
                <c:pt idx="22">
                  <c:v>370.08490221642774</c:v>
                </c:pt>
                <c:pt idx="23">
                  <c:v>761.05062460246791</c:v>
                </c:pt>
                <c:pt idx="24">
                  <c:v>860.77848800703259</c:v>
                </c:pt>
                <c:pt idx="25">
                  <c:v>763.81870745791889</c:v>
                </c:pt>
                <c:pt idx="26">
                  <c:v>738.73621206669065</c:v>
                </c:pt>
                <c:pt idx="27">
                  <c:v>509.89495114006519</c:v>
                </c:pt>
                <c:pt idx="28">
                  <c:v>699.30996171602294</c:v>
                </c:pt>
                <c:pt idx="29">
                  <c:v>705.97575957003414</c:v>
                </c:pt>
                <c:pt idx="30">
                  <c:v>789.08163395225449</c:v>
                </c:pt>
                <c:pt idx="31">
                  <c:v>1022.1278657176247</c:v>
                </c:pt>
                <c:pt idx="32">
                  <c:v>4073.4096674811435</c:v>
                </c:pt>
                <c:pt idx="33">
                  <c:v>764.4962012106032</c:v>
                </c:pt>
                <c:pt idx="34">
                  <c:v>487.6136602694977</c:v>
                </c:pt>
                <c:pt idx="35">
                  <c:v>370.72651999999994</c:v>
                </c:pt>
                <c:pt idx="36">
                  <c:v>555.71540505955318</c:v>
                </c:pt>
                <c:pt idx="37">
                  <c:v>607.1811009885638</c:v>
                </c:pt>
                <c:pt idx="38">
                  <c:v>586.8293040293039</c:v>
                </c:pt>
                <c:pt idx="39">
                  <c:v>673.31200689391039</c:v>
                </c:pt>
                <c:pt idx="40">
                  <c:v>609.75462074157724</c:v>
                </c:pt>
                <c:pt idx="41" formatCode="0">
                  <c:v>641.00620454754676</c:v>
                </c:pt>
                <c:pt idx="42" formatCode="0">
                  <c:v>704.24431170241667</c:v>
                </c:pt>
                <c:pt idx="43" formatCode="0">
                  <c:v>696.9</c:v>
                </c:pt>
                <c:pt idx="44" formatCode="0">
                  <c:v>638.46218037318602</c:v>
                </c:pt>
                <c:pt idx="45" formatCode="0">
                  <c:v>606.45262985148122</c:v>
                </c:pt>
                <c:pt idx="46" formatCode="0">
                  <c:v>707.96109286114893</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1978-2023R'!$E$213:$AY$213</c15:sqref>
                  </c15:fullRef>
                </c:ext>
              </c:extLst>
              <c:f>'Complete Data 1978-2023R'!$E$213:$AY$213</c:f>
              <c:numCache>
                <c:formatCode>0.0</c:formatCode>
                <c:ptCount val="47"/>
                <c:pt idx="25">
                  <c:v>115.7448089445878</c:v>
                </c:pt>
                <c:pt idx="26">
                  <c:v>109.7481348206789</c:v>
                </c:pt>
                <c:pt idx="27">
                  <c:v>128.09716147045137</c:v>
                </c:pt>
                <c:pt idx="28">
                  <c:v>185.34442067334763</c:v>
                </c:pt>
                <c:pt idx="29">
                  <c:v>111.86714928156194</c:v>
                </c:pt>
                <c:pt idx="30">
                  <c:v>119.58321485411142</c:v>
                </c:pt>
                <c:pt idx="31">
                  <c:v>147.54214384362052</c:v>
                </c:pt>
                <c:pt idx="32">
                  <c:v>865.95612450865838</c:v>
                </c:pt>
                <c:pt idx="33">
                  <c:v>198.3945940304738</c:v>
                </c:pt>
                <c:pt idx="34">
                  <c:v>159.04902000816659</c:v>
                </c:pt>
                <c:pt idx="35">
                  <c:v>153.66084000000001</c:v>
                </c:pt>
                <c:pt idx="36">
                  <c:v>143.59312924500446</c:v>
                </c:pt>
                <c:pt idx="37">
                  <c:v>160.95274277960843</c:v>
                </c:pt>
                <c:pt idx="38">
                  <c:v>156.49506458453826</c:v>
                </c:pt>
                <c:pt idx="39">
                  <c:v>222.52891612409039</c:v>
                </c:pt>
                <c:pt idx="40">
                  <c:v>243.77444005270092</c:v>
                </c:pt>
                <c:pt idx="41" formatCode="0">
                  <c:v>271.06710853355429</c:v>
                </c:pt>
                <c:pt idx="42" formatCode="0">
                  <c:v>270.07774459227085</c:v>
                </c:pt>
                <c:pt idx="43" formatCode="0">
                  <c:v>333</c:v>
                </c:pt>
                <c:pt idx="44" formatCode="0">
                  <c:v>347.64075673807878</c:v>
                </c:pt>
                <c:pt idx="45" formatCode="0">
                  <c:v>330.21165176007224</c:v>
                </c:pt>
                <c:pt idx="46" formatCode="0">
                  <c:v>451.51502283470876</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1978-2023R'!$E$210:$AY$210</c15:sqref>
                  </c15:fullRef>
                </c:ext>
              </c:extLst>
              <c:f>'Complete Data 1978-2023R'!$E$210:$AY$210</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15.740037785205638</c:v>
                </c:pt>
                <c:pt idx="17">
                  <c:v>14.008974178072531</c:v>
                </c:pt>
                <c:pt idx="18">
                  <c:v>22.342140977703924</c:v>
                </c:pt>
                <c:pt idx="19">
                  <c:v>22.625149051490517</c:v>
                </c:pt>
                <c:pt idx="20">
                  <c:v>28.756547538772757</c:v>
                </c:pt>
                <c:pt idx="21">
                  <c:v>37.626750333778375</c:v>
                </c:pt>
                <c:pt idx="22">
                  <c:v>35.728784876140814</c:v>
                </c:pt>
                <c:pt idx="23">
                  <c:v>38.175957257346397</c:v>
                </c:pt>
                <c:pt idx="24">
                  <c:v>107.11028506844154</c:v>
                </c:pt>
                <c:pt idx="25">
                  <c:v>127.52721464553386</c:v>
                </c:pt>
                <c:pt idx="26">
                  <c:v>195.13786733837111</c:v>
                </c:pt>
                <c:pt idx="27">
                  <c:v>218.92014890646814</c:v>
                </c:pt>
                <c:pt idx="28">
                  <c:v>194.99909920054048</c:v>
                </c:pt>
                <c:pt idx="29">
                  <c:v>234.50027421300871</c:v>
                </c:pt>
                <c:pt idx="30">
                  <c:v>246.82741644562336</c:v>
                </c:pt>
                <c:pt idx="31">
                  <c:v>197.28218421332201</c:v>
                </c:pt>
                <c:pt idx="32">
                  <c:v>51.537873154148521</c:v>
                </c:pt>
                <c:pt idx="33">
                  <c:v>204.87038196618659</c:v>
                </c:pt>
                <c:pt idx="34">
                  <c:v>110.33233973050226</c:v>
                </c:pt>
                <c:pt idx="35">
                  <c:v>114.28666000000001</c:v>
                </c:pt>
                <c:pt idx="36">
                  <c:v>106.38995964169703</c:v>
                </c:pt>
                <c:pt idx="37">
                  <c:v>101.57955030044583</c:v>
                </c:pt>
                <c:pt idx="38">
                  <c:v>103.09751301330249</c:v>
                </c:pt>
                <c:pt idx="39">
                  <c:v>109.10398314821907</c:v>
                </c:pt>
                <c:pt idx="40">
                  <c:v>107.23527197440242</c:v>
                </c:pt>
                <c:pt idx="41" formatCode="0">
                  <c:v>119.43569916229403</c:v>
                </c:pt>
                <c:pt idx="42" formatCode="0">
                  <c:v>122.53054575074668</c:v>
                </c:pt>
                <c:pt idx="43" formatCode="0">
                  <c:v>150</c:v>
                </c:pt>
                <c:pt idx="44" formatCode="0">
                  <c:v>146.19039391845197</c:v>
                </c:pt>
                <c:pt idx="45" formatCode="0">
                  <c:v>138.86108148026588</c:v>
                </c:pt>
                <c:pt idx="46" formatCode="0">
                  <c:v>168.13172021472639</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1978-2023R'!$E$214:$AY$214</c15:sqref>
                  </c15:fullRef>
                </c:ext>
              </c:extLst>
              <c:f>'Complete Data 1978-2023R'!$E$214:$AY$214</c:f>
              <c:numCache>
                <c:formatCode>0.0</c:formatCode>
                <c:ptCount val="47"/>
                <c:pt idx="31">
                  <c:v>10.427430149792841</c:v>
                </c:pt>
                <c:pt idx="32">
                  <c:v>466.11811324763624</c:v>
                </c:pt>
                <c:pt idx="33">
                  <c:v>0</c:v>
                </c:pt>
                <c:pt idx="34">
                  <c:v>206.84434463046142</c:v>
                </c:pt>
                <c:pt idx="35">
                  <c:v>310.25500000000005</c:v>
                </c:pt>
                <c:pt idx="36">
                  <c:v>278.30191948026385</c:v>
                </c:pt>
                <c:pt idx="37">
                  <c:v>306.18197712735025</c:v>
                </c:pt>
                <c:pt idx="38">
                  <c:v>304.49654713707349</c:v>
                </c:pt>
                <c:pt idx="39">
                  <c:v>314.45712370739182</c:v>
                </c:pt>
                <c:pt idx="40">
                  <c:v>324.14780726519859</c:v>
                </c:pt>
                <c:pt idx="41" formatCode="0">
                  <c:v>367.03109638221491</c:v>
                </c:pt>
                <c:pt idx="42" formatCode="0">
                  <c:v>373.82027332790307</c:v>
                </c:pt>
                <c:pt idx="43" formatCode="0">
                  <c:v>425</c:v>
                </c:pt>
                <c:pt idx="44" formatCode="0">
                  <c:v>450.26641326883208</c:v>
                </c:pt>
                <c:pt idx="45" formatCode="0">
                  <c:v>429.54361204562247</c:v>
                </c:pt>
                <c:pt idx="46" formatCode="0">
                  <c:v>632.75378575434661</c:v>
                </c:pt>
              </c:numCache>
            </c:numRef>
          </c:val>
          <c:extLst>
            <c:ext xmlns:c16="http://schemas.microsoft.com/office/drawing/2014/chart" uri="{C3380CC4-5D6E-409C-BE32-E72D297353CC}">
              <c16:uniqueId val="{00000007-A58A-4DB6-AAB5-1304A72A2273}"/>
            </c:ext>
          </c:extLst>
        </c:ser>
        <c:ser>
          <c:idx val="1"/>
          <c:order val="8"/>
          <c:tx>
            <c:strRef>
              <c:f>'Complete Data 1978-2023R'!$BB$215</c:f>
              <c:strCache>
                <c:ptCount val="1"/>
                <c:pt idx="0">
                  <c:v>ARPA-C</c:v>
                </c:pt>
              </c:strCache>
            </c:strRef>
          </c:tx>
          <c:invertIfNegative val="0"/>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1978-2023R'!$D$215:$AY$215</c15:sqref>
                  </c15:fullRef>
                </c:ext>
              </c:extLst>
              <c:f>'Complete Data 1978-2023R'!$D$215:$AX$215</c:f>
              <c:numCache>
                <c:formatCode>0.0</c:formatCode>
                <c:ptCount val="47"/>
                <c:pt idx="46" formatCode="0">
                  <c:v>0</c:v>
                </c:pt>
              </c:numCache>
            </c:numRef>
          </c:val>
          <c:extLst>
            <c:ext xmlns:c16="http://schemas.microsoft.com/office/drawing/2014/chart" uri="{C3380CC4-5D6E-409C-BE32-E72D297353CC}">
              <c16:uniqueId val="{00000001-35C6-4783-B5EE-F7B9ABB7F752}"/>
            </c:ext>
          </c:extLst>
        </c:ser>
        <c:ser>
          <c:idx val="9"/>
          <c:order val="9"/>
          <c:tx>
            <c:strRef>
              <c:f>'Complete Data 1978-2023R'!$BB$216</c:f>
              <c:strCache>
                <c:ptCount val="1"/>
                <c:pt idx="0">
                  <c:v>OCDE</c:v>
                </c:pt>
              </c:strCache>
            </c:strRef>
          </c:tx>
          <c:invertIfNegative val="0"/>
          <c:dPt>
            <c:idx val="45"/>
            <c:invertIfNegative val="0"/>
            <c:bubble3D val="0"/>
            <c:spPr>
              <a:ln w="12700">
                <a:solidFill>
                  <a:srgbClr val="000000"/>
                </a:solidFill>
              </a:ln>
            </c:spPr>
            <c:extLst>
              <c:ext xmlns:c16="http://schemas.microsoft.com/office/drawing/2014/chart" uri="{C3380CC4-5D6E-409C-BE32-E72D297353CC}">
                <c16:uniqueId val="{00000003-35C6-4783-B5EE-F7B9ABB7F752}"/>
              </c:ext>
            </c:extLst>
          </c:dPt>
          <c:cat>
            <c:strRef>
              <c:extLst>
                <c:ext xmlns:c15="http://schemas.microsoft.com/office/drawing/2012/chart" uri="{02D57815-91ED-43cb-92C2-25804820EDAC}">
                  <c15:fullRef>
                    <c15:sqref>'Complete Data 1978-2023R'!$E$206:$AY$206</c15:sqref>
                  </c15:fullRef>
                </c:ext>
              </c:extLst>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xmlns:c15="http://schemas.microsoft.com/office/drawing/2012/chart" uri="{02D57815-91ED-43cb-92C2-25804820EDAC}">
                  <c15:fullRef>
                    <c15:sqref>'Complete Data 1978-2023R'!$E$216:$AY$216</c15:sqref>
                  </c15:fullRef>
                </c:ext>
              </c:extLst>
              <c:f>'Complete Data 1978-2023R'!$E$216:$AY$216</c:f>
              <c:numCache>
                <c:formatCode>0.0</c:formatCode>
                <c:ptCount val="47"/>
                <c:pt idx="45" formatCode="0">
                  <c:v>0</c:v>
                </c:pt>
              </c:numCache>
            </c:numRef>
          </c:val>
          <c:extLst>
            <c:ext xmlns:c16="http://schemas.microsoft.com/office/drawing/2014/chart" uri="{C3380CC4-5D6E-409C-BE32-E72D297353CC}">
              <c16:uniqueId val="{00000002-35C6-4783-B5EE-F7B9ABB7F752}"/>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1978-2023R'!$AY$182</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ullRef>
                          <c15:sqref>'Complete Data 1978-2023R'!$E$206:$AY$206</c15:sqref>
                        </c15:fullRef>
                        <c15:formulaRef>
                          <c15:sqref>'Complete Data 1978-2023R'!$E$206:$AY$206</c15:sqref>
                        </c15:formulaRef>
                      </c:ext>
                    </c:extLst>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extLst>
                      <c:ext uri="{02D57815-91ED-43cb-92C2-25804820EDAC}">
                        <c15:fullRef>
                          <c15:sqref>'Complete Data 1978-2023R'!$E$182:$AY$182</c15:sqref>
                        </c15:fullRef>
                        <c15:formulaRef>
                          <c15:sqref>'Complete Data 1978-2023R'!$E$182:$AY$182</c15:sqref>
                        </c15:formulaRef>
                      </c:ext>
                    </c:extLst>
                    <c:numCache>
                      <c:formatCode>General</c:formatCode>
                      <c:ptCount val="47"/>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89999994616057599"/>
          <c:h val="3.8046089788514648E-2"/>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FY2008-FY2023 Request (in 2020$)</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1978-2023R'!$BB$207</c:f>
              <c:strCache>
                <c:ptCount val="1"/>
                <c:pt idx="0">
                  <c:v>Fission</c:v>
                </c:pt>
              </c:strCache>
            </c:strRef>
          </c:tx>
          <c:spPr>
            <a:solidFill>
              <a:srgbClr val="DD0806"/>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1978-2023R'!$AI$207:$AX$207</c:f>
              <c:numCache>
                <c:formatCode>0.0</c:formatCode>
                <c:ptCount val="16"/>
                <c:pt idx="0">
                  <c:v>568.83871205208595</c:v>
                </c:pt>
                <c:pt idx="1">
                  <c:v>673.09881735791282</c:v>
                </c:pt>
                <c:pt idx="2">
                  <c:v>0</c:v>
                </c:pt>
                <c:pt idx="3">
                  <c:v>591.95635972277796</c:v>
                </c:pt>
                <c:pt idx="4">
                  <c:v>521.11319875116794</c:v>
                </c:pt>
                <c:pt idx="5">
                  <c:v>568.14236986454978</c:v>
                </c:pt>
                <c:pt idx="6">
                  <c:v>521.65330826573359</c:v>
                </c:pt>
                <c:pt idx="7">
                  <c:v>589.35190106345681</c:v>
                </c:pt>
                <c:pt idx="8">
                  <c:v>503.59591670432849</c:v>
                </c:pt>
                <c:pt idx="9">
                  <c:v>626.12541808880997</c:v>
                </c:pt>
                <c:pt idx="10">
                  <c:v>637.19730574070786</c:v>
                </c:pt>
                <c:pt idx="11" formatCode="0">
                  <c:v>734.03749081090621</c:v>
                </c:pt>
                <c:pt idx="12" formatCode="0">
                  <c:v>818.35011626863206</c:v>
                </c:pt>
                <c:pt idx="13" formatCode="0">
                  <c:v>1025.1268817204302</c:v>
                </c:pt>
                <c:pt idx="14" formatCode="0">
                  <c:v>1013.5721557247336</c:v>
                </c:pt>
                <c:pt idx="15" formatCode="0">
                  <c:v>962.75632023217497</c:v>
                </c:pt>
              </c:numCache>
            </c:numRef>
          </c:val>
          <c:extLst>
            <c:ext xmlns:c16="http://schemas.microsoft.com/office/drawing/2014/chart" uri="{C3380CC4-5D6E-409C-BE32-E72D297353CC}">
              <c16:uniqueId val="{00000000-DF8A-4254-B17C-26533B78DEEB}"/>
            </c:ext>
          </c:extLst>
        </c:ser>
        <c:ser>
          <c:idx val="1"/>
          <c:order val="1"/>
          <c:tx>
            <c:strRef>
              <c:f>'Complete Data 1978-2023R'!$B$208</c:f>
              <c:strCache>
                <c:ptCount val="1"/>
                <c:pt idx="0">
                  <c:v>Fusion</c:v>
                </c:pt>
              </c:strCache>
            </c:strRef>
          </c:tx>
          <c:spPr>
            <a:solidFill>
              <a:srgbClr val="FF9900"/>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1978-2023R'!$AI$208:$AY$208</c:f>
              <c:numCache>
                <c:formatCode>0.0</c:formatCode>
                <c:ptCount val="17"/>
                <c:pt idx="0">
                  <c:v>353.00390450928381</c:v>
                </c:pt>
                <c:pt idx="1">
                  <c:v>472.83002230957192</c:v>
                </c:pt>
                <c:pt idx="2">
                  <c:v>109.06852225645385</c:v>
                </c:pt>
                <c:pt idx="3">
                  <c:v>490.98246712586098</c:v>
                </c:pt>
                <c:pt idx="4">
                  <c:v>422.90224581461825</c:v>
                </c:pt>
                <c:pt idx="5">
                  <c:v>443.38260000000002</c:v>
                </c:pt>
                <c:pt idx="6">
                  <c:v>419.56290973521021</c:v>
                </c:pt>
                <c:pt idx="7">
                  <c:v>551.85359565807323</c:v>
                </c:pt>
                <c:pt idx="8">
                  <c:v>497.43462502409869</c:v>
                </c:pt>
                <c:pt idx="9">
                  <c:v>473.14400612792036</c:v>
                </c:pt>
                <c:pt idx="10">
                  <c:v>403.45943911161305</c:v>
                </c:pt>
                <c:pt idx="11" formatCode="0">
                  <c:v>425.91808892571117</c:v>
                </c:pt>
                <c:pt idx="12" formatCode="0">
                  <c:v>441.10996470268805</c:v>
                </c:pt>
                <c:pt idx="13" formatCode="0">
                  <c:v>414</c:v>
                </c:pt>
                <c:pt idx="14" formatCode="0">
                  <c:v>654.93296475466491</c:v>
                </c:pt>
                <c:pt idx="15" formatCode="0">
                  <c:v>622.09764503159113</c:v>
                </c:pt>
                <c:pt idx="16" formatCode="0">
                  <c:v>653.54426728627516</c:v>
                </c:pt>
              </c:numCache>
            </c:numRef>
          </c:val>
          <c:extLst>
            <c:ext xmlns:c16="http://schemas.microsoft.com/office/drawing/2014/chart" uri="{C3380CC4-5D6E-409C-BE32-E72D297353CC}">
              <c16:uniqueId val="{00000001-DF8A-4254-B17C-26533B78DEEB}"/>
            </c:ext>
          </c:extLst>
        </c:ser>
        <c:ser>
          <c:idx val="2"/>
          <c:order val="2"/>
          <c:tx>
            <c:strRef>
              <c:f>'Complete Data 1978-2023R'!$B$209</c:f>
              <c:strCache>
                <c:ptCount val="1"/>
                <c:pt idx="0">
                  <c:v>Efficiency</c:v>
                </c:pt>
              </c:strCache>
            </c:strRef>
          </c:tx>
          <c:spPr>
            <a:solidFill>
              <a:srgbClr val="FCF305"/>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1978-2023R'!$AI$209:$AY$209</c:f>
              <c:numCache>
                <c:formatCode>0.0</c:formatCode>
                <c:ptCount val="17"/>
                <c:pt idx="0">
                  <c:v>598.74377907306075</c:v>
                </c:pt>
                <c:pt idx="1">
                  <c:v>743.92040673954818</c:v>
                </c:pt>
                <c:pt idx="2">
                  <c:v>805.76954279906988</c:v>
                </c:pt>
                <c:pt idx="3">
                  <c:v>885.94324028393021</c:v>
                </c:pt>
                <c:pt idx="4">
                  <c:v>773.68940017770763</c:v>
                </c:pt>
                <c:pt idx="5">
                  <c:v>818.37046889987289</c:v>
                </c:pt>
                <c:pt idx="6">
                  <c:v>694.60891901268531</c:v>
                </c:pt>
                <c:pt idx="7">
                  <c:v>787.04055912283854</c:v>
                </c:pt>
                <c:pt idx="8">
                  <c:v>757.66996309286469</c:v>
                </c:pt>
                <c:pt idx="9">
                  <c:v>886.39136395838261</c:v>
                </c:pt>
                <c:pt idx="10">
                  <c:v>843.67473648146461</c:v>
                </c:pt>
                <c:pt idx="11" formatCode="0">
                  <c:v>989.05396709738329</c:v>
                </c:pt>
                <c:pt idx="12" formatCode="0">
                  <c:v>999.72233386843982</c:v>
                </c:pt>
                <c:pt idx="13" formatCode="0">
                  <c:v>1131.0264629847238</c:v>
                </c:pt>
                <c:pt idx="14" formatCode="0">
                  <c:v>1146.2320184338921</c:v>
                </c:pt>
                <c:pt idx="15" formatCode="0">
                  <c:v>1089.8002216205052</c:v>
                </c:pt>
                <c:pt idx="16" formatCode="0">
                  <c:v>1545.5862867618857</c:v>
                </c:pt>
              </c:numCache>
            </c:numRef>
          </c:val>
          <c:extLst>
            <c:ext xmlns:c16="http://schemas.microsoft.com/office/drawing/2014/chart" uri="{C3380CC4-5D6E-409C-BE32-E72D297353CC}">
              <c16:uniqueId val="{00000002-DF8A-4254-B17C-26533B78DEEB}"/>
            </c:ext>
          </c:extLst>
        </c:ser>
        <c:ser>
          <c:idx val="3"/>
          <c:order val="3"/>
          <c:tx>
            <c:strRef>
              <c:f>'Complete Data 1978-2023R'!$BB$210</c:f>
              <c:strCache>
                <c:ptCount val="1"/>
                <c:pt idx="0">
                  <c:v>Hydrogen EERE</c:v>
                </c:pt>
              </c:strCache>
            </c:strRef>
          </c:tx>
          <c:spPr>
            <a:solidFill>
              <a:srgbClr val="666699"/>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1978-2023R'!$AI$211:$AY$211</c:f>
              <c:numCache>
                <c:formatCode>0.0</c:formatCode>
                <c:ptCount val="17"/>
                <c:pt idx="0">
                  <c:v>812.59393667958284</c:v>
                </c:pt>
                <c:pt idx="1">
                  <c:v>990.97148689500364</c:v>
                </c:pt>
                <c:pt idx="2">
                  <c:v>1910.3033144858821</c:v>
                </c:pt>
                <c:pt idx="3">
                  <c:v>1129.9809472671702</c:v>
                </c:pt>
                <c:pt idx="4">
                  <c:v>849.23284836101413</c:v>
                </c:pt>
                <c:pt idx="5">
                  <c:v>893.90928233017951</c:v>
                </c:pt>
                <c:pt idx="6">
                  <c:v>833.29234527347251</c:v>
                </c:pt>
                <c:pt idx="7">
                  <c:v>900.76419451164134</c:v>
                </c:pt>
                <c:pt idx="8">
                  <c:v>834.03018759768884</c:v>
                </c:pt>
                <c:pt idx="9">
                  <c:v>912.94617530852929</c:v>
                </c:pt>
                <c:pt idx="10">
                  <c:v>873.30329027276036</c:v>
                </c:pt>
                <c:pt idx="11" formatCode="0">
                  <c:v>944.58585036222757</c:v>
                </c:pt>
                <c:pt idx="12" formatCode="0">
                  <c:v>945.43965770642592</c:v>
                </c:pt>
                <c:pt idx="13" formatCode="0">
                  <c:v>1093.0292405866951</c:v>
                </c:pt>
                <c:pt idx="14" formatCode="0">
                  <c:v>1076.4297196222544</c:v>
                </c:pt>
                <c:pt idx="15" formatCode="0">
                  <c:v>1022.4624956385671</c:v>
                </c:pt>
                <c:pt idx="16" formatCode="0">
                  <c:v>1798.5691759627609</c:v>
                </c:pt>
              </c:numCache>
            </c:numRef>
          </c:val>
          <c:extLst>
            <c:ext xmlns:c16="http://schemas.microsoft.com/office/drawing/2014/chart" uri="{C3380CC4-5D6E-409C-BE32-E72D297353CC}">
              <c16:uniqueId val="{00000003-DF8A-4254-B17C-26533B78DEEB}"/>
            </c:ext>
          </c:extLst>
        </c:ser>
        <c:ser>
          <c:idx val="4"/>
          <c:order val="4"/>
          <c:tx>
            <c:strRef>
              <c:f>'Complete Data 1978-2023R'!$B$212</c:f>
              <c:strCache>
                <c:ptCount val="1"/>
                <c:pt idx="0">
                  <c:v>Fossil including CCT demo</c:v>
                </c:pt>
              </c:strCache>
            </c:strRef>
          </c:tx>
          <c:spPr>
            <a:solidFill>
              <a:srgbClr val="660066"/>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1978-2023R'!$AI$212:$AY$212</c:f>
              <c:numCache>
                <c:formatCode>0.0</c:formatCode>
                <c:ptCount val="17"/>
                <c:pt idx="0">
                  <c:v>789.08163395225449</c:v>
                </c:pt>
                <c:pt idx="1">
                  <c:v>1022.1278657176247</c:v>
                </c:pt>
                <c:pt idx="2">
                  <c:v>4073.4096674811435</c:v>
                </c:pt>
                <c:pt idx="3">
                  <c:v>764.4962012106032</c:v>
                </c:pt>
                <c:pt idx="4">
                  <c:v>487.6136602694977</c:v>
                </c:pt>
                <c:pt idx="5">
                  <c:v>370.72651999999994</c:v>
                </c:pt>
                <c:pt idx="6">
                  <c:v>555.71540505955318</c:v>
                </c:pt>
                <c:pt idx="7">
                  <c:v>607.1811009885638</c:v>
                </c:pt>
                <c:pt idx="8">
                  <c:v>586.8293040293039</c:v>
                </c:pt>
                <c:pt idx="9">
                  <c:v>673.31200689391039</c:v>
                </c:pt>
                <c:pt idx="10">
                  <c:v>609.75462074157724</c:v>
                </c:pt>
                <c:pt idx="11" formatCode="0">
                  <c:v>641.00620454754676</c:v>
                </c:pt>
                <c:pt idx="12" formatCode="0">
                  <c:v>704.24431170241667</c:v>
                </c:pt>
                <c:pt idx="13" formatCode="0">
                  <c:v>696.9</c:v>
                </c:pt>
                <c:pt idx="14" formatCode="0">
                  <c:v>638.46218037318602</c:v>
                </c:pt>
                <c:pt idx="15" formatCode="0">
                  <c:v>606.45262985148122</c:v>
                </c:pt>
                <c:pt idx="16" formatCode="0">
                  <c:v>707.96109286114893</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1978-2023R'!$AI$213:$AY$213</c:f>
              <c:numCache>
                <c:formatCode>0.0</c:formatCode>
                <c:ptCount val="17"/>
                <c:pt idx="0">
                  <c:v>119.58321485411142</c:v>
                </c:pt>
                <c:pt idx="1">
                  <c:v>147.54214384362052</c:v>
                </c:pt>
                <c:pt idx="2">
                  <c:v>865.95612450865838</c:v>
                </c:pt>
                <c:pt idx="3">
                  <c:v>198.3945940304738</c:v>
                </c:pt>
                <c:pt idx="4">
                  <c:v>159.04902000816659</c:v>
                </c:pt>
                <c:pt idx="5">
                  <c:v>153.66084000000001</c:v>
                </c:pt>
                <c:pt idx="6">
                  <c:v>143.59312924500446</c:v>
                </c:pt>
                <c:pt idx="7">
                  <c:v>160.95274277960843</c:v>
                </c:pt>
                <c:pt idx="8">
                  <c:v>156.49506458453826</c:v>
                </c:pt>
                <c:pt idx="9">
                  <c:v>222.52891612409039</c:v>
                </c:pt>
                <c:pt idx="10">
                  <c:v>243.77444005270092</c:v>
                </c:pt>
                <c:pt idx="11" formatCode="0">
                  <c:v>271.06710853355429</c:v>
                </c:pt>
                <c:pt idx="12" formatCode="0">
                  <c:v>270.07774459227085</c:v>
                </c:pt>
                <c:pt idx="13" formatCode="0">
                  <c:v>333</c:v>
                </c:pt>
                <c:pt idx="14" formatCode="0">
                  <c:v>347.64075673807878</c:v>
                </c:pt>
                <c:pt idx="15" formatCode="0">
                  <c:v>330.21165176007224</c:v>
                </c:pt>
                <c:pt idx="16" formatCode="0">
                  <c:v>451.51502283470876</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1978-2023R'!$AI$210:$AY$210</c:f>
              <c:numCache>
                <c:formatCode>0.0</c:formatCode>
                <c:ptCount val="17"/>
                <c:pt idx="0">
                  <c:v>246.82741644562336</c:v>
                </c:pt>
                <c:pt idx="1">
                  <c:v>197.28218421332201</c:v>
                </c:pt>
                <c:pt idx="2">
                  <c:v>51.537873154148521</c:v>
                </c:pt>
                <c:pt idx="3">
                  <c:v>204.87038196618659</c:v>
                </c:pt>
                <c:pt idx="4">
                  <c:v>110.33233973050226</c:v>
                </c:pt>
                <c:pt idx="5">
                  <c:v>114.28666000000001</c:v>
                </c:pt>
                <c:pt idx="6">
                  <c:v>106.38995964169703</c:v>
                </c:pt>
                <c:pt idx="7">
                  <c:v>101.57955030044583</c:v>
                </c:pt>
                <c:pt idx="8">
                  <c:v>103.09751301330249</c:v>
                </c:pt>
                <c:pt idx="9">
                  <c:v>109.10398314821907</c:v>
                </c:pt>
                <c:pt idx="10">
                  <c:v>107.23527197440242</c:v>
                </c:pt>
                <c:pt idx="11" formatCode="0">
                  <c:v>119.43569916229403</c:v>
                </c:pt>
                <c:pt idx="12" formatCode="0">
                  <c:v>122.53054575074668</c:v>
                </c:pt>
                <c:pt idx="13" formatCode="0">
                  <c:v>150</c:v>
                </c:pt>
                <c:pt idx="14" formatCode="0">
                  <c:v>146.19039391845197</c:v>
                </c:pt>
                <c:pt idx="15" formatCode="0">
                  <c:v>138.86108148026588</c:v>
                </c:pt>
                <c:pt idx="16" formatCode="0">
                  <c:v>168.13172021472639</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1978-2023R'!$AI$214:$AY$214</c:f>
              <c:numCache>
                <c:formatCode>0.0</c:formatCode>
                <c:ptCount val="17"/>
                <c:pt idx="1">
                  <c:v>10.427430149792841</c:v>
                </c:pt>
                <c:pt idx="2">
                  <c:v>466.11811324763624</c:v>
                </c:pt>
                <c:pt idx="3">
                  <c:v>0</c:v>
                </c:pt>
                <c:pt idx="4">
                  <c:v>206.84434463046142</c:v>
                </c:pt>
                <c:pt idx="5">
                  <c:v>310.25500000000005</c:v>
                </c:pt>
                <c:pt idx="6">
                  <c:v>278.30191948026385</c:v>
                </c:pt>
                <c:pt idx="7">
                  <c:v>306.18197712735025</c:v>
                </c:pt>
                <c:pt idx="8">
                  <c:v>304.49654713707349</c:v>
                </c:pt>
                <c:pt idx="9">
                  <c:v>314.45712370739182</c:v>
                </c:pt>
                <c:pt idx="10">
                  <c:v>324.14780726519859</c:v>
                </c:pt>
                <c:pt idx="11" formatCode="0">
                  <c:v>367.03109638221491</c:v>
                </c:pt>
                <c:pt idx="12" formatCode="0">
                  <c:v>373.82027332790307</c:v>
                </c:pt>
                <c:pt idx="13" formatCode="0">
                  <c:v>425</c:v>
                </c:pt>
                <c:pt idx="14" formatCode="0">
                  <c:v>450.26641326883208</c:v>
                </c:pt>
                <c:pt idx="15" formatCode="0">
                  <c:v>429.54361204562247</c:v>
                </c:pt>
                <c:pt idx="16" formatCode="0">
                  <c:v>632.75378575434661</c:v>
                </c:pt>
              </c:numCache>
            </c:numRef>
          </c:val>
          <c:extLst>
            <c:ext xmlns:c16="http://schemas.microsoft.com/office/drawing/2014/chart" uri="{C3380CC4-5D6E-409C-BE32-E72D297353CC}">
              <c16:uniqueId val="{00000007-DF8A-4254-B17C-26533B78DEEB}"/>
            </c:ext>
          </c:extLst>
        </c:ser>
        <c:ser>
          <c:idx val="8"/>
          <c:order val="8"/>
          <c:tx>
            <c:strRef>
              <c:f>'Complete Data 1978-2023R'!$BB$215</c:f>
              <c:strCache>
                <c:ptCount val="1"/>
                <c:pt idx="0">
                  <c:v>ARPA-C</c:v>
                </c:pt>
              </c:strCache>
            </c:strRef>
          </c:tx>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1978-2023R'!$AI$215:$AX$215</c:f>
              <c:numCache>
                <c:formatCode>0.0</c:formatCode>
                <c:ptCount val="16"/>
                <c:pt idx="15" formatCode="0">
                  <c:v>0</c:v>
                </c:pt>
              </c:numCache>
            </c:numRef>
          </c:val>
          <c:extLst>
            <c:ext xmlns:c16="http://schemas.microsoft.com/office/drawing/2014/chart" uri="{C3380CC4-5D6E-409C-BE32-E72D297353CC}">
              <c16:uniqueId val="{00000000-163D-48C3-BDB1-2DF582B136CC}"/>
            </c:ext>
          </c:extLst>
        </c:ser>
        <c:ser>
          <c:idx val="11"/>
          <c:order val="9"/>
          <c:tx>
            <c:strRef>
              <c:f>'Complete Data 1978-2023R'!$BB$216</c:f>
              <c:strCache>
                <c:ptCount val="1"/>
                <c:pt idx="0">
                  <c:v>OCDE</c:v>
                </c:pt>
              </c:strCache>
            </c:strRef>
          </c:tx>
          <c:spPr>
            <a:ln>
              <a:solidFill>
                <a:srgbClr val="808080"/>
              </a:solidFill>
            </a:ln>
          </c:spPr>
          <c:invertIfNegative val="0"/>
          <c:dPt>
            <c:idx val="15"/>
            <c:invertIfNegative val="0"/>
            <c:bubble3D val="0"/>
            <c:spPr>
              <a:ln w="12700">
                <a:solidFill>
                  <a:srgbClr val="808080"/>
                </a:solidFill>
              </a:ln>
            </c:spPr>
            <c:extLst>
              <c:ext xmlns:c16="http://schemas.microsoft.com/office/drawing/2014/chart" uri="{C3380CC4-5D6E-409C-BE32-E72D297353CC}">
                <c16:uniqueId val="{00000002-163D-48C3-BDB1-2DF582B136CC}"/>
              </c:ext>
            </c:extLst>
          </c:dPt>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1978-2023R'!$AI$216:$AX$216</c:f>
              <c:numCache>
                <c:formatCode>0.0</c:formatCode>
                <c:ptCount val="16"/>
                <c:pt idx="15" formatCode="0">
                  <c:v>0</c:v>
                </c:pt>
              </c:numCache>
            </c:numRef>
          </c:val>
          <c:extLst>
            <c:ext xmlns:c16="http://schemas.microsoft.com/office/drawing/2014/chart" uri="{C3380CC4-5D6E-409C-BE32-E72D297353CC}">
              <c16:uniqueId val="{00000001-163D-48C3-BDB1-2DF582B136CC}"/>
            </c:ext>
          </c:extLst>
        </c:ser>
        <c:ser>
          <c:idx val="10"/>
          <c:order val="10"/>
          <c:tx>
            <c:strRef>
              <c:f>'Complete Data 1978-2023R'!$AZ$226</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1978-2023R'!$AI$222:$AX$222</c:f>
              <c:numCache>
                <c:formatCode>0.0</c:formatCode>
                <c:ptCount val="16"/>
                <c:pt idx="0">
                  <c:v>1499.8775596816977</c:v>
                </c:pt>
                <c:pt idx="1">
                  <c:v>1840.9807712737704</c:v>
                </c:pt>
                <c:pt idx="2">
                  <c:v>665.19813024540531</c:v>
                </c:pt>
                <c:pt idx="3">
                  <c:v>1882.688165309956</c:v>
                </c:pt>
                <c:pt idx="4">
                  <c:v>1712.5698244181301</c:v>
                </c:pt>
                <c:pt idx="5">
                  <c:v>1684.8538800000003</c:v>
                </c:pt>
                <c:pt idx="6">
                  <c:v>1722.7843882271879</c:v>
                </c:pt>
                <c:pt idx="7">
                  <c:v>1760.4206241519676</c:v>
                </c:pt>
                <c:pt idx="8">
                  <c:v>1830.198361287835</c:v>
                </c:pt>
                <c:pt idx="9">
                  <c:v>1997.3590578322483</c:v>
                </c:pt>
                <c:pt idx="10">
                  <c:v>1987.0377376246943</c:v>
                </c:pt>
                <c:pt idx="11">
                  <c:v>2170.6140108625609</c:v>
                </c:pt>
                <c:pt idx="12">
                  <c:v>2211.6763508009776</c:v>
                </c:pt>
                <c:pt idx="13">
                  <c:v>2213</c:v>
                </c:pt>
                <c:pt idx="14">
                  <c:v>2187.9828956461647</c:v>
                </c:pt>
                <c:pt idx="15">
                  <c:v>2078.2875194879794</c:v>
                </c:pt>
              </c:numCache>
            </c:numRef>
          </c:val>
          <c:extLst>
            <c:ext xmlns:c16="http://schemas.microsoft.com/office/drawing/2014/chart" uri="{C3380CC4-5D6E-409C-BE32-E72D297353CC}">
              <c16:uniqueId val="{00000009-DF8A-4254-B17C-26533B78DEEB}"/>
            </c:ext>
          </c:extLst>
        </c:ser>
        <c:ser>
          <c:idx val="9"/>
          <c:order val="11"/>
          <c:tx>
            <c:v>Deployment</c:v>
          </c:tx>
          <c:spPr>
            <a:solidFill>
              <a:srgbClr val="99CC00"/>
            </a:solidFill>
            <a:ln w="12700">
              <a:solidFill>
                <a:srgbClr val="000000"/>
              </a:solidFill>
              <a:prstDash val="solid"/>
            </a:ln>
          </c:spPr>
          <c:invertIfNegative val="0"/>
          <c:cat>
            <c:strRef>
              <c:f>'Complete Data 1978-2023R'!$AI$206:$AY$206</c:f>
              <c:strCache>
                <c:ptCount val="17"/>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2022CR</c:v>
                </c:pt>
                <c:pt idx="16">
                  <c:v>2023R</c:v>
                </c:pt>
              </c:strCache>
            </c:strRef>
          </c:cat>
          <c:val>
            <c:numRef>
              <c:f>'Complete Data 1978-2023R'!$AI$220:$AX$220</c:f>
              <c:numCache>
                <c:formatCode>0.0</c:formatCode>
                <c:ptCount val="16"/>
                <c:pt idx="0">
                  <c:v>348.45519363395232</c:v>
                </c:pt>
                <c:pt idx="1">
                  <c:v>9622.3606289174568</c:v>
                </c:pt>
                <c:pt idx="2">
                  <c:v>26302.533347498145</c:v>
                </c:pt>
                <c:pt idx="3">
                  <c:v>367.35378835316214</c:v>
                </c:pt>
                <c:pt idx="4">
                  <c:v>500.29612086565947</c:v>
                </c:pt>
                <c:pt idx="5">
                  <c:v>170.24538000000001</c:v>
                </c:pt>
                <c:pt idx="6">
                  <c:v>233.21389900580769</c:v>
                </c:pt>
                <c:pt idx="7">
                  <c:v>304.19193642178715</c:v>
                </c:pt>
                <c:pt idx="8">
                  <c:v>316.47021399652982</c:v>
                </c:pt>
                <c:pt idx="9">
                  <c:v>340.27479892761397</c:v>
                </c:pt>
                <c:pt idx="10">
                  <c:v>1742.0953886693019</c:v>
                </c:pt>
                <c:pt idx="11">
                  <c:v>380.01323759550769</c:v>
                </c:pt>
                <c:pt idx="12">
                  <c:v>366.87687573536073</c:v>
                </c:pt>
                <c:pt idx="13">
                  <c:v>446.5</c:v>
                </c:pt>
                <c:pt idx="14">
                  <c:v>-1804.4767622667589</c:v>
                </c:pt>
                <c:pt idx="15">
                  <c:v>434.63518503323218</c:v>
                </c:pt>
              </c:numCache>
            </c:numRef>
          </c:val>
          <c:extLst>
            <c:ext xmlns:c16="http://schemas.microsoft.com/office/drawing/2014/chart" uri="{C3380CC4-5D6E-409C-BE32-E72D297353CC}">
              <c16:uniqueId val="{00000008-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chemeClr val="tx1"/>
          </a:solidFill>
          <a:prstDash val="solid"/>
        </a:ln>
      </c:spPr>
    </c:plotArea>
    <c:legend>
      <c:legendPos val="b"/>
      <c:layout>
        <c:manualLayout>
          <c:xMode val="edge"/>
          <c:yMode val="edge"/>
          <c:x val="1.55382907880133E-2"/>
          <c:y val="0.805872756933116"/>
          <c:w val="0.61733144895349623"/>
          <c:h val="0.19412726728650795"/>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1978-FY2023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69102480651457021"/>
          <c:h val="0.60848287112561095"/>
        </c:manualLayout>
      </c:layout>
      <c:areaChart>
        <c:grouping val="stacked"/>
        <c:varyColors val="0"/>
        <c:ser>
          <c:idx val="0"/>
          <c:order val="0"/>
          <c:tx>
            <c:strRef>
              <c:f>'Complete Data 1978-2023R'!$BB$207</c:f>
              <c:strCache>
                <c:ptCount val="1"/>
                <c:pt idx="0">
                  <c:v>Fission</c:v>
                </c:pt>
              </c:strCache>
            </c:strRef>
          </c:tx>
          <c:spPr>
            <a:solidFill>
              <a:srgbClr val="DD0806"/>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1978-2023R'!$E$207:$AY$207</c:f>
              <c:numCache>
                <c:formatCode>0.0</c:formatCode>
                <c:ptCount val="47"/>
                <c:pt idx="0">
                  <c:v>3122.0357847819168</c:v>
                </c:pt>
                <c:pt idx="1">
                  <c:v>2686.2376023391816</c:v>
                </c:pt>
                <c:pt idx="2">
                  <c:v>2412.2402752050807</c:v>
                </c:pt>
                <c:pt idx="3">
                  <c:v>1862.9667698167104</c:v>
                </c:pt>
                <c:pt idx="4">
                  <c:v>1951.980948161276</c:v>
                </c:pt>
                <c:pt idx="5">
                  <c:v>1500.6964135021099</c:v>
                </c:pt>
                <c:pt idx="6">
                  <c:v>1272.3778247734142</c:v>
                </c:pt>
                <c:pt idx="7">
                  <c:v>882.5099358351157</c:v>
                </c:pt>
                <c:pt idx="8">
                  <c:v>731.01001523229252</c:v>
                </c:pt>
                <c:pt idx="9">
                  <c:v>530.68568800588673</c:v>
                </c:pt>
                <c:pt idx="10">
                  <c:v>490.4608371763037</c:v>
                </c:pt>
                <c:pt idx="11">
                  <c:v>463.4882061785288</c:v>
                </c:pt>
                <c:pt idx="12">
                  <c:v>582.25429381357355</c:v>
                </c:pt>
                <c:pt idx="13">
                  <c:v>535.96285485164401</c:v>
                </c:pt>
                <c:pt idx="14">
                  <c:v>509.76009174311929</c:v>
                </c:pt>
                <c:pt idx="15">
                  <c:v>410.940310359173</c:v>
                </c:pt>
                <c:pt idx="16">
                  <c:v>170.00714500924263</c:v>
                </c:pt>
                <c:pt idx="17">
                  <c:v>188.01843350758253</c:v>
                </c:pt>
                <c:pt idx="18">
                  <c:v>70.201987590067731</c:v>
                </c:pt>
                <c:pt idx="19">
                  <c:v>96.634268841758043</c:v>
                </c:pt>
                <c:pt idx="20">
                  <c:v>11.600159302575616</c:v>
                </c:pt>
                <c:pt idx="21">
                  <c:v>47.358316830905906</c:v>
                </c:pt>
                <c:pt idx="22">
                  <c:v>74.375782059145223</c:v>
                </c:pt>
                <c:pt idx="23">
                  <c:v>90.930844943883287</c:v>
                </c:pt>
                <c:pt idx="24">
                  <c:v>220.93089540052108</c:v>
                </c:pt>
                <c:pt idx="25">
                  <c:v>222.64509192035717</c:v>
                </c:pt>
                <c:pt idx="26">
                  <c:v>235.2621681323686</c:v>
                </c:pt>
                <c:pt idx="27">
                  <c:v>281.44934148600288</c:v>
                </c:pt>
                <c:pt idx="28">
                  <c:v>349.39030429525621</c:v>
                </c:pt>
                <c:pt idx="29">
                  <c:v>435.67133944240572</c:v>
                </c:pt>
                <c:pt idx="30">
                  <c:v>568.83871205208595</c:v>
                </c:pt>
                <c:pt idx="31">
                  <c:v>673.09881735791282</c:v>
                </c:pt>
                <c:pt idx="32">
                  <c:v>0</c:v>
                </c:pt>
                <c:pt idx="33">
                  <c:v>591.95635972277796</c:v>
                </c:pt>
                <c:pt idx="34">
                  <c:v>521.11319875116794</c:v>
                </c:pt>
                <c:pt idx="35">
                  <c:v>568.14236986454978</c:v>
                </c:pt>
                <c:pt idx="36">
                  <c:v>521.65330826573359</c:v>
                </c:pt>
                <c:pt idx="37">
                  <c:v>589.35190106345681</c:v>
                </c:pt>
                <c:pt idx="38">
                  <c:v>503.59591670432849</c:v>
                </c:pt>
                <c:pt idx="39">
                  <c:v>626.12541808880997</c:v>
                </c:pt>
                <c:pt idx="40">
                  <c:v>637.19730574070786</c:v>
                </c:pt>
                <c:pt idx="41" formatCode="0">
                  <c:v>734.03749081090621</c:v>
                </c:pt>
                <c:pt idx="42" formatCode="0">
                  <c:v>818.35011626863206</c:v>
                </c:pt>
                <c:pt idx="43" formatCode="0">
                  <c:v>1025.1268817204302</c:v>
                </c:pt>
                <c:pt idx="44" formatCode="0">
                  <c:v>1013.5721557247336</c:v>
                </c:pt>
                <c:pt idx="45" formatCode="0">
                  <c:v>962.75632023217497</c:v>
                </c:pt>
                <c:pt idx="46" formatCode="0">
                  <c:v>1108.1346852740878</c:v>
                </c:pt>
              </c:numCache>
            </c:numRef>
          </c:val>
          <c:extLst>
            <c:ext xmlns:c16="http://schemas.microsoft.com/office/drawing/2014/chart" uri="{C3380CC4-5D6E-409C-BE32-E72D297353CC}">
              <c16:uniqueId val="{00000000-07DE-4D5B-854E-57E686E9D41E}"/>
            </c:ext>
          </c:extLst>
        </c:ser>
        <c:ser>
          <c:idx val="1"/>
          <c:order val="1"/>
          <c:tx>
            <c:strRef>
              <c:f>'Complete Data 1978-2023R'!$BB$208</c:f>
              <c:strCache>
                <c:ptCount val="1"/>
                <c:pt idx="0">
                  <c:v>Fusion</c:v>
                </c:pt>
              </c:strCache>
            </c:strRef>
          </c:tx>
          <c:spPr>
            <a:solidFill>
              <a:srgbClr val="FF9900"/>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1978-2023R'!$E$208:$AY$208</c:f>
              <c:numCache>
                <c:formatCode>0.0</c:formatCode>
                <c:ptCount val="47"/>
                <c:pt idx="0">
                  <c:v>1193.9308500477555</c:v>
                </c:pt>
                <c:pt idx="1">
                  <c:v>1171.4146783625731</c:v>
                </c:pt>
                <c:pt idx="2">
                  <c:v>1045.8016935697276</c:v>
                </c:pt>
                <c:pt idx="3">
                  <c:v>1058.3756724589387</c:v>
                </c:pt>
                <c:pt idx="4">
                  <c:v>1127.7001329198051</c:v>
                </c:pt>
                <c:pt idx="5">
                  <c:v>1091.0693670886078</c:v>
                </c:pt>
                <c:pt idx="6">
                  <c:v>1064.3481973816718</c:v>
                </c:pt>
                <c:pt idx="7">
                  <c:v>942.39688897530641</c:v>
                </c:pt>
                <c:pt idx="8">
                  <c:v>776.5504569687738</c:v>
                </c:pt>
                <c:pt idx="9">
                  <c:v>708.96453274466535</c:v>
                </c:pt>
                <c:pt idx="10">
                  <c:v>662.95257183398382</c:v>
                </c:pt>
                <c:pt idx="11">
                  <c:v>667.7927291346648</c:v>
                </c:pt>
                <c:pt idx="12">
                  <c:v>595.79946639986667</c:v>
                </c:pt>
                <c:pt idx="13">
                  <c:v>518.59201283079403</c:v>
                </c:pt>
                <c:pt idx="14">
                  <c:v>573.07039755351684</c:v>
                </c:pt>
                <c:pt idx="15">
                  <c:v>559.0946761313221</c:v>
                </c:pt>
                <c:pt idx="16">
                  <c:v>538.76837668943472</c:v>
                </c:pt>
                <c:pt idx="17">
                  <c:v>560.99573867644983</c:v>
                </c:pt>
                <c:pt idx="18">
                  <c:v>373.25436920094177</c:v>
                </c:pt>
                <c:pt idx="19">
                  <c:v>355.42886178861789</c:v>
                </c:pt>
                <c:pt idx="20">
                  <c:v>341.12264329062708</c:v>
                </c:pt>
                <c:pt idx="21">
                  <c:v>327.16293724966624</c:v>
                </c:pt>
                <c:pt idx="22">
                  <c:v>350.96286831812262</c:v>
                </c:pt>
                <c:pt idx="23">
                  <c:v>347.25769240554644</c:v>
                </c:pt>
                <c:pt idx="24">
                  <c:v>341.59113399472562</c:v>
                </c:pt>
                <c:pt idx="25">
                  <c:v>333.65000614326084</c:v>
                </c:pt>
                <c:pt idx="26">
                  <c:v>346.29528607412743</c:v>
                </c:pt>
                <c:pt idx="27">
                  <c:v>359.48578408562122</c:v>
                </c:pt>
                <c:pt idx="28">
                  <c:v>356.58792928724245</c:v>
                </c:pt>
                <c:pt idx="29">
                  <c:v>385.71892069759792</c:v>
                </c:pt>
                <c:pt idx="30">
                  <c:v>353.00390450928381</c:v>
                </c:pt>
                <c:pt idx="31">
                  <c:v>472.83002230957192</c:v>
                </c:pt>
                <c:pt idx="32">
                  <c:v>109.06852225645385</c:v>
                </c:pt>
                <c:pt idx="33">
                  <c:v>490.98246712586098</c:v>
                </c:pt>
                <c:pt idx="34">
                  <c:v>422.90224581461825</c:v>
                </c:pt>
                <c:pt idx="35">
                  <c:v>443.38260000000002</c:v>
                </c:pt>
                <c:pt idx="36">
                  <c:v>419.56290973521021</c:v>
                </c:pt>
                <c:pt idx="37">
                  <c:v>551.85359565807323</c:v>
                </c:pt>
                <c:pt idx="38">
                  <c:v>497.43462502409869</c:v>
                </c:pt>
                <c:pt idx="39">
                  <c:v>473.14400612792036</c:v>
                </c:pt>
                <c:pt idx="40">
                  <c:v>403.45943911161305</c:v>
                </c:pt>
                <c:pt idx="41" formatCode="0">
                  <c:v>425.91808892571117</c:v>
                </c:pt>
                <c:pt idx="42" formatCode="0">
                  <c:v>441.10996470268805</c:v>
                </c:pt>
                <c:pt idx="43" formatCode="0">
                  <c:v>414</c:v>
                </c:pt>
                <c:pt idx="44" formatCode="0">
                  <c:v>654.93296475466491</c:v>
                </c:pt>
                <c:pt idx="45" formatCode="0">
                  <c:v>622.09764503159113</c:v>
                </c:pt>
                <c:pt idx="46" formatCode="0">
                  <c:v>653.54426728627516</c:v>
                </c:pt>
              </c:numCache>
            </c:numRef>
          </c:val>
          <c:extLst>
            <c:ext xmlns:c16="http://schemas.microsoft.com/office/drawing/2014/chart" uri="{C3380CC4-5D6E-409C-BE32-E72D297353CC}">
              <c16:uniqueId val="{00000001-07DE-4D5B-854E-57E686E9D41E}"/>
            </c:ext>
          </c:extLst>
        </c:ser>
        <c:ser>
          <c:idx val="2"/>
          <c:order val="2"/>
          <c:tx>
            <c:strRef>
              <c:f>'Complete Data 1978-2023R'!$BB$209</c:f>
              <c:strCache>
                <c:ptCount val="1"/>
                <c:pt idx="0">
                  <c:v>Efficiency</c:v>
                </c:pt>
              </c:strCache>
            </c:strRef>
          </c:tx>
          <c:spPr>
            <a:solidFill>
              <a:srgbClr val="FCF305"/>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1978-2023R'!$E$209:$AY$209</c:f>
              <c:numCache>
                <c:formatCode>0.0</c:formatCode>
                <c:ptCount val="47"/>
                <c:pt idx="0">
                  <c:v>621.74918815663796</c:v>
                </c:pt>
                <c:pt idx="1">
                  <c:v>754.11263157894723</c:v>
                </c:pt>
                <c:pt idx="2">
                  <c:v>880.10944694363593</c:v>
                </c:pt>
                <c:pt idx="3">
                  <c:v>785.52368483694374</c:v>
                </c:pt>
                <c:pt idx="4">
                  <c:v>379.64904740806384</c:v>
                </c:pt>
                <c:pt idx="5">
                  <c:v>320.37071729957802</c:v>
                </c:pt>
                <c:pt idx="6">
                  <c:v>341.07315206445116</c:v>
                </c:pt>
                <c:pt idx="7">
                  <c:v>350.54707369239748</c:v>
                </c:pt>
                <c:pt idx="8">
                  <c:v>351.64954303122619</c:v>
                </c:pt>
                <c:pt idx="9">
                  <c:v>312.14363502575429</c:v>
                </c:pt>
                <c:pt idx="10">
                  <c:v>298.35867328840015</c:v>
                </c:pt>
                <c:pt idx="11">
                  <c:v>291.34094555384883</c:v>
                </c:pt>
                <c:pt idx="12">
                  <c:v>356.12516258129074</c:v>
                </c:pt>
                <c:pt idx="13">
                  <c:v>409.84330392943065</c:v>
                </c:pt>
                <c:pt idx="14">
                  <c:v>442.48211009174315</c:v>
                </c:pt>
                <c:pt idx="15">
                  <c:v>515.88204673173618</c:v>
                </c:pt>
                <c:pt idx="16">
                  <c:v>618.7802354308966</c:v>
                </c:pt>
                <c:pt idx="17">
                  <c:v>665.90385212360661</c:v>
                </c:pt>
                <c:pt idx="18">
                  <c:v>565.42802935881468</c:v>
                </c:pt>
                <c:pt idx="19">
                  <c:v>602.92964769647699</c:v>
                </c:pt>
                <c:pt idx="20">
                  <c:v>654.47772083614279</c:v>
                </c:pt>
                <c:pt idx="21">
                  <c:v>726.62064687876534</c:v>
                </c:pt>
                <c:pt idx="22">
                  <c:v>751.03606287229263</c:v>
                </c:pt>
                <c:pt idx="23">
                  <c:v>805.76073266358458</c:v>
                </c:pt>
                <c:pt idx="24">
                  <c:v>662.74149503532124</c:v>
                </c:pt>
                <c:pt idx="25">
                  <c:v>683.24091411721349</c:v>
                </c:pt>
                <c:pt idx="26">
                  <c:v>648.47479908840126</c:v>
                </c:pt>
                <c:pt idx="27">
                  <c:v>541.69418793143518</c:v>
                </c:pt>
                <c:pt idx="28">
                  <c:v>523.74677408446382</c:v>
                </c:pt>
                <c:pt idx="29">
                  <c:v>504.54248404253531</c:v>
                </c:pt>
                <c:pt idx="30">
                  <c:v>598.74377907306075</c:v>
                </c:pt>
                <c:pt idx="31">
                  <c:v>743.92040673954818</c:v>
                </c:pt>
                <c:pt idx="32">
                  <c:v>805.76954279906988</c:v>
                </c:pt>
                <c:pt idx="33">
                  <c:v>885.94324028393021</c:v>
                </c:pt>
                <c:pt idx="34">
                  <c:v>773.68940017770763</c:v>
                </c:pt>
                <c:pt idx="35">
                  <c:v>818.37046889987289</c:v>
                </c:pt>
                <c:pt idx="36">
                  <c:v>694.60891901268531</c:v>
                </c:pt>
                <c:pt idx="37">
                  <c:v>787.04055912283854</c:v>
                </c:pt>
                <c:pt idx="38">
                  <c:v>757.66996309286469</c:v>
                </c:pt>
                <c:pt idx="39">
                  <c:v>886.39136395838261</c:v>
                </c:pt>
                <c:pt idx="40">
                  <c:v>843.67473648146461</c:v>
                </c:pt>
                <c:pt idx="41" formatCode="0">
                  <c:v>989.05396709738329</c:v>
                </c:pt>
                <c:pt idx="42" formatCode="0">
                  <c:v>999.72233386843982</c:v>
                </c:pt>
                <c:pt idx="43" formatCode="0">
                  <c:v>1131.0264629847238</c:v>
                </c:pt>
                <c:pt idx="44" formatCode="0">
                  <c:v>1146.2320184338921</c:v>
                </c:pt>
                <c:pt idx="45" formatCode="0">
                  <c:v>1089.8002216205052</c:v>
                </c:pt>
                <c:pt idx="46" formatCode="0">
                  <c:v>1545.5862867618857</c:v>
                </c:pt>
              </c:numCache>
            </c:numRef>
          </c:val>
          <c:extLst>
            <c:ext xmlns:c16="http://schemas.microsoft.com/office/drawing/2014/chart" uri="{C3380CC4-5D6E-409C-BE32-E72D297353CC}">
              <c16:uniqueId val="{00000002-07DE-4D5B-854E-57E686E9D41E}"/>
            </c:ext>
          </c:extLst>
        </c:ser>
        <c:ser>
          <c:idx val="3"/>
          <c:order val="3"/>
          <c:tx>
            <c:strRef>
              <c:f>'Complete Data 1978-2023R'!$BB$211</c:f>
              <c:strCache>
                <c:ptCount val="1"/>
                <c:pt idx="0">
                  <c:v>Renewables</c:v>
                </c:pt>
              </c:strCache>
            </c:strRef>
          </c:tx>
          <c:spPr>
            <a:solidFill>
              <a:srgbClr val="666699"/>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1978-2023R'!$E$211:$AY$211</c:f>
              <c:numCache>
                <c:formatCode>0.0</c:formatCode>
                <c:ptCount val="47"/>
                <c:pt idx="0">
                  <c:v>2172.3507163323779</c:v>
                </c:pt>
                <c:pt idx="1">
                  <c:v>2539.7695321637425</c:v>
                </c:pt>
                <c:pt idx="2">
                  <c:v>2485.9807885684045</c:v>
                </c:pt>
                <c:pt idx="3">
                  <c:v>2209.9399666746017</c:v>
                </c:pt>
                <c:pt idx="4">
                  <c:v>1001.9835622507754</c:v>
                </c:pt>
                <c:pt idx="5">
                  <c:v>723.57130801687777</c:v>
                </c:pt>
                <c:pt idx="6">
                  <c:v>581.36952668680772</c:v>
                </c:pt>
                <c:pt idx="7">
                  <c:v>560.9191911335796</c:v>
                </c:pt>
                <c:pt idx="8">
                  <c:v>448.53038842345779</c:v>
                </c:pt>
                <c:pt idx="9">
                  <c:v>377.7270051508462</c:v>
                </c:pt>
                <c:pt idx="10">
                  <c:v>304.66202554097202</c:v>
                </c:pt>
                <c:pt idx="11">
                  <c:v>309.24888206178531</c:v>
                </c:pt>
                <c:pt idx="12">
                  <c:v>261.68520927130237</c:v>
                </c:pt>
                <c:pt idx="13">
                  <c:v>364.06389735364883</c:v>
                </c:pt>
                <c:pt idx="14">
                  <c:v>416.95097859327223</c:v>
                </c:pt>
                <c:pt idx="15">
                  <c:v>426.62043774031349</c:v>
                </c:pt>
                <c:pt idx="16">
                  <c:v>505.97663130358961</c:v>
                </c:pt>
                <c:pt idx="17">
                  <c:v>573.89036263581215</c:v>
                </c:pt>
                <c:pt idx="18">
                  <c:v>397.00265891150821</c:v>
                </c:pt>
                <c:pt idx="19">
                  <c:v>352.15738753387529</c:v>
                </c:pt>
                <c:pt idx="20">
                  <c:v>445.27003371544163</c:v>
                </c:pt>
                <c:pt idx="21">
                  <c:v>533.89918558077443</c:v>
                </c:pt>
                <c:pt idx="22">
                  <c:v>416.69853715775758</c:v>
                </c:pt>
                <c:pt idx="23">
                  <c:v>493.1300343467754</c:v>
                </c:pt>
                <c:pt idx="24">
                  <c:v>501.30730377998248</c:v>
                </c:pt>
                <c:pt idx="25">
                  <c:v>393.53235041159849</c:v>
                </c:pt>
                <c:pt idx="26">
                  <c:v>353.60280676502344</c:v>
                </c:pt>
                <c:pt idx="27">
                  <c:v>383.64563393891183</c:v>
                </c:pt>
                <c:pt idx="28">
                  <c:v>340.69106754950337</c:v>
                </c:pt>
                <c:pt idx="29">
                  <c:v>675.8384391886724</c:v>
                </c:pt>
                <c:pt idx="30">
                  <c:v>812.59393667958284</c:v>
                </c:pt>
                <c:pt idx="31">
                  <c:v>990.97148689500364</c:v>
                </c:pt>
                <c:pt idx="32">
                  <c:v>1910.3033144858821</c:v>
                </c:pt>
                <c:pt idx="33">
                  <c:v>1129.9809472671702</c:v>
                </c:pt>
                <c:pt idx="34">
                  <c:v>849.23284836101413</c:v>
                </c:pt>
                <c:pt idx="35">
                  <c:v>893.90928233017951</c:v>
                </c:pt>
                <c:pt idx="36">
                  <c:v>833.29234527347251</c:v>
                </c:pt>
                <c:pt idx="37">
                  <c:v>900.76419451164134</c:v>
                </c:pt>
                <c:pt idx="38">
                  <c:v>834.03018759768884</c:v>
                </c:pt>
                <c:pt idx="39">
                  <c:v>912.94617530852929</c:v>
                </c:pt>
                <c:pt idx="40">
                  <c:v>873.30329027276036</c:v>
                </c:pt>
                <c:pt idx="41" formatCode="0">
                  <c:v>944.58585036222757</c:v>
                </c:pt>
                <c:pt idx="42" formatCode="0">
                  <c:v>945.43965770642592</c:v>
                </c:pt>
                <c:pt idx="43" formatCode="0">
                  <c:v>1093.0292405866951</c:v>
                </c:pt>
                <c:pt idx="44" formatCode="0">
                  <c:v>1076.4297196222544</c:v>
                </c:pt>
                <c:pt idx="45" formatCode="0">
                  <c:v>1022.4624956385671</c:v>
                </c:pt>
                <c:pt idx="46" formatCode="0">
                  <c:v>1798.5691759627609</c:v>
                </c:pt>
              </c:numCache>
            </c:numRef>
          </c:val>
          <c:extLst>
            <c:ext xmlns:c16="http://schemas.microsoft.com/office/drawing/2014/chart" uri="{C3380CC4-5D6E-409C-BE32-E72D297353CC}">
              <c16:uniqueId val="{00000003-07DE-4D5B-854E-57E686E9D41E}"/>
            </c:ext>
          </c:extLst>
        </c:ser>
        <c:ser>
          <c:idx val="4"/>
          <c:order val="4"/>
          <c:tx>
            <c:strRef>
              <c:f>'Complete Data 1978-2023R'!$BB$212</c:f>
              <c:strCache>
                <c:ptCount val="1"/>
                <c:pt idx="0">
                  <c:v>Fossil (including CCS and CDR)</c:v>
                </c:pt>
              </c:strCache>
            </c:strRef>
          </c:tx>
          <c:spPr>
            <a:solidFill>
              <a:srgbClr val="660066"/>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1978-2023R'!$E$212:$AY$212</c:f>
              <c:numCache>
                <c:formatCode>0.0</c:formatCode>
                <c:ptCount val="47"/>
                <c:pt idx="0">
                  <c:v>2749.2017828716971</c:v>
                </c:pt>
                <c:pt idx="1">
                  <c:v>2509.0904093567246</c:v>
                </c:pt>
                <c:pt idx="2">
                  <c:v>2493.7429478698073</c:v>
                </c:pt>
                <c:pt idx="3">
                  <c:v>2670.2434182337543</c:v>
                </c:pt>
                <c:pt idx="4">
                  <c:v>1044.2223305272485</c:v>
                </c:pt>
                <c:pt idx="5">
                  <c:v>516.73464135021095</c:v>
                </c:pt>
                <c:pt idx="6">
                  <c:v>594.32167170191337</c:v>
                </c:pt>
                <c:pt idx="7">
                  <c:v>633.96811199688898</c:v>
                </c:pt>
                <c:pt idx="8">
                  <c:v>664.63267326732671</c:v>
                </c:pt>
                <c:pt idx="9">
                  <c:v>608.51405445180285</c:v>
                </c:pt>
                <c:pt idx="10">
                  <c:v>1042.7545583540264</c:v>
                </c:pt>
                <c:pt idx="11">
                  <c:v>1088.1478409284864</c:v>
                </c:pt>
                <c:pt idx="12">
                  <c:v>1799.2504252126066</c:v>
                </c:pt>
                <c:pt idx="13">
                  <c:v>1515.4250200481156</c:v>
                </c:pt>
                <c:pt idx="14">
                  <c:v>1422.6705504587158</c:v>
                </c:pt>
                <c:pt idx="15">
                  <c:v>665.04069801833759</c:v>
                </c:pt>
                <c:pt idx="16">
                  <c:v>1035.5633192849878</c:v>
                </c:pt>
                <c:pt idx="17">
                  <c:v>692.72785381684787</c:v>
                </c:pt>
                <c:pt idx="18">
                  <c:v>781.97493421963725</c:v>
                </c:pt>
                <c:pt idx="19">
                  <c:v>521.90715447154469</c:v>
                </c:pt>
                <c:pt idx="20">
                  <c:v>365.83197302764665</c:v>
                </c:pt>
                <c:pt idx="21">
                  <c:v>486.76783978638201</c:v>
                </c:pt>
                <c:pt idx="22">
                  <c:v>370.08490221642774</c:v>
                </c:pt>
                <c:pt idx="23">
                  <c:v>761.05062460246791</c:v>
                </c:pt>
                <c:pt idx="24">
                  <c:v>860.77848800703259</c:v>
                </c:pt>
                <c:pt idx="25">
                  <c:v>763.81870745791889</c:v>
                </c:pt>
                <c:pt idx="26">
                  <c:v>738.73621206669065</c:v>
                </c:pt>
                <c:pt idx="27">
                  <c:v>509.89495114006519</c:v>
                </c:pt>
                <c:pt idx="28">
                  <c:v>699.30996171602294</c:v>
                </c:pt>
                <c:pt idx="29">
                  <c:v>705.97575957003414</c:v>
                </c:pt>
                <c:pt idx="30">
                  <c:v>789.08163395225449</c:v>
                </c:pt>
                <c:pt idx="31">
                  <c:v>1022.1278657176247</c:v>
                </c:pt>
                <c:pt idx="32">
                  <c:v>4073.4096674811435</c:v>
                </c:pt>
                <c:pt idx="33">
                  <c:v>764.4962012106032</c:v>
                </c:pt>
                <c:pt idx="34">
                  <c:v>487.6136602694977</c:v>
                </c:pt>
                <c:pt idx="35">
                  <c:v>370.72651999999994</c:v>
                </c:pt>
                <c:pt idx="36">
                  <c:v>555.71540505955318</c:v>
                </c:pt>
                <c:pt idx="37">
                  <c:v>607.1811009885638</c:v>
                </c:pt>
                <c:pt idx="38">
                  <c:v>586.8293040293039</c:v>
                </c:pt>
                <c:pt idx="39">
                  <c:v>673.31200689391039</c:v>
                </c:pt>
                <c:pt idx="40">
                  <c:v>609.75462074157724</c:v>
                </c:pt>
                <c:pt idx="41" formatCode="0">
                  <c:v>641.00620454754676</c:v>
                </c:pt>
                <c:pt idx="42" formatCode="0">
                  <c:v>704.24431170241667</c:v>
                </c:pt>
                <c:pt idx="43" formatCode="0">
                  <c:v>696.9</c:v>
                </c:pt>
                <c:pt idx="44" formatCode="0">
                  <c:v>638.46218037318602</c:v>
                </c:pt>
                <c:pt idx="45" formatCode="0">
                  <c:v>606.45262985148122</c:v>
                </c:pt>
                <c:pt idx="46" formatCode="0">
                  <c:v>707.96109286114893</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1978-2023R'!$E$213:$AY$213</c:f>
              <c:numCache>
                <c:formatCode>0.0</c:formatCode>
                <c:ptCount val="47"/>
                <c:pt idx="25">
                  <c:v>115.7448089445878</c:v>
                </c:pt>
                <c:pt idx="26">
                  <c:v>109.7481348206789</c:v>
                </c:pt>
                <c:pt idx="27">
                  <c:v>128.09716147045137</c:v>
                </c:pt>
                <c:pt idx="28">
                  <c:v>185.34442067334763</c:v>
                </c:pt>
                <c:pt idx="29">
                  <c:v>111.86714928156194</c:v>
                </c:pt>
                <c:pt idx="30">
                  <c:v>119.58321485411142</c:v>
                </c:pt>
                <c:pt idx="31">
                  <c:v>147.54214384362052</c:v>
                </c:pt>
                <c:pt idx="32">
                  <c:v>865.95612450865838</c:v>
                </c:pt>
                <c:pt idx="33">
                  <c:v>198.3945940304738</c:v>
                </c:pt>
                <c:pt idx="34">
                  <c:v>159.04902000816659</c:v>
                </c:pt>
                <c:pt idx="35">
                  <c:v>153.66084000000001</c:v>
                </c:pt>
                <c:pt idx="36">
                  <c:v>143.59312924500446</c:v>
                </c:pt>
                <c:pt idx="37">
                  <c:v>160.95274277960843</c:v>
                </c:pt>
                <c:pt idx="38">
                  <c:v>156.49506458453826</c:v>
                </c:pt>
                <c:pt idx="39">
                  <c:v>222.52891612409039</c:v>
                </c:pt>
                <c:pt idx="40">
                  <c:v>243.77444005270092</c:v>
                </c:pt>
                <c:pt idx="41" formatCode="0">
                  <c:v>271.06710853355429</c:v>
                </c:pt>
                <c:pt idx="42" formatCode="0">
                  <c:v>270.07774459227085</c:v>
                </c:pt>
                <c:pt idx="43" formatCode="0">
                  <c:v>333</c:v>
                </c:pt>
                <c:pt idx="44" formatCode="0">
                  <c:v>347.64075673807878</c:v>
                </c:pt>
                <c:pt idx="45" formatCode="0">
                  <c:v>330.21165176007224</c:v>
                </c:pt>
                <c:pt idx="46" formatCode="0">
                  <c:v>451.51502283470876</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1978-2023R'!$E$210:$AY$210</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15.740037785205638</c:v>
                </c:pt>
                <c:pt idx="17">
                  <c:v>14.008974178072531</c:v>
                </c:pt>
                <c:pt idx="18">
                  <c:v>22.342140977703924</c:v>
                </c:pt>
                <c:pt idx="19">
                  <c:v>22.625149051490517</c:v>
                </c:pt>
                <c:pt idx="20">
                  <c:v>28.756547538772757</c:v>
                </c:pt>
                <c:pt idx="21">
                  <c:v>37.626750333778375</c:v>
                </c:pt>
                <c:pt idx="22">
                  <c:v>35.728784876140814</c:v>
                </c:pt>
                <c:pt idx="23">
                  <c:v>38.175957257346397</c:v>
                </c:pt>
                <c:pt idx="24">
                  <c:v>107.11028506844154</c:v>
                </c:pt>
                <c:pt idx="25">
                  <c:v>127.52721464553386</c:v>
                </c:pt>
                <c:pt idx="26">
                  <c:v>195.13786733837111</c:v>
                </c:pt>
                <c:pt idx="27">
                  <c:v>218.92014890646814</c:v>
                </c:pt>
                <c:pt idx="28">
                  <c:v>194.99909920054048</c:v>
                </c:pt>
                <c:pt idx="29">
                  <c:v>234.50027421300871</c:v>
                </c:pt>
                <c:pt idx="30">
                  <c:v>246.82741644562336</c:v>
                </c:pt>
                <c:pt idx="31">
                  <c:v>197.28218421332201</c:v>
                </c:pt>
                <c:pt idx="32">
                  <c:v>51.537873154148521</c:v>
                </c:pt>
                <c:pt idx="33">
                  <c:v>204.87038196618659</c:v>
                </c:pt>
                <c:pt idx="34">
                  <c:v>110.33233973050226</c:v>
                </c:pt>
                <c:pt idx="35">
                  <c:v>114.28666000000001</c:v>
                </c:pt>
                <c:pt idx="36">
                  <c:v>106.38995964169703</c:v>
                </c:pt>
                <c:pt idx="37">
                  <c:v>101.57955030044583</c:v>
                </c:pt>
                <c:pt idx="38">
                  <c:v>103.09751301330249</c:v>
                </c:pt>
                <c:pt idx="39">
                  <c:v>109.10398314821907</c:v>
                </c:pt>
                <c:pt idx="40">
                  <c:v>107.23527197440242</c:v>
                </c:pt>
                <c:pt idx="41" formatCode="0">
                  <c:v>119.43569916229403</c:v>
                </c:pt>
                <c:pt idx="42" formatCode="0">
                  <c:v>122.53054575074668</c:v>
                </c:pt>
                <c:pt idx="43" formatCode="0">
                  <c:v>150</c:v>
                </c:pt>
                <c:pt idx="44" formatCode="0">
                  <c:v>146.19039391845197</c:v>
                </c:pt>
                <c:pt idx="45" formatCode="0">
                  <c:v>138.86108148026588</c:v>
                </c:pt>
                <c:pt idx="46" formatCode="0">
                  <c:v>168.13172021472639</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1978-2023R'!$E$214:$AY$214</c:f>
              <c:numCache>
                <c:formatCode>0.0</c:formatCode>
                <c:ptCount val="47"/>
                <c:pt idx="31">
                  <c:v>10.427430149792841</c:v>
                </c:pt>
                <c:pt idx="32">
                  <c:v>466.11811324763624</c:v>
                </c:pt>
                <c:pt idx="33">
                  <c:v>0</c:v>
                </c:pt>
                <c:pt idx="34">
                  <c:v>206.84434463046142</c:v>
                </c:pt>
                <c:pt idx="35">
                  <c:v>310.25500000000005</c:v>
                </c:pt>
                <c:pt idx="36">
                  <c:v>278.30191948026385</c:v>
                </c:pt>
                <c:pt idx="37">
                  <c:v>306.18197712735025</c:v>
                </c:pt>
                <c:pt idx="38">
                  <c:v>304.49654713707349</c:v>
                </c:pt>
                <c:pt idx="39">
                  <c:v>314.45712370739182</c:v>
                </c:pt>
                <c:pt idx="40">
                  <c:v>324.14780726519859</c:v>
                </c:pt>
                <c:pt idx="41" formatCode="0">
                  <c:v>367.03109638221491</c:v>
                </c:pt>
                <c:pt idx="42" formatCode="0">
                  <c:v>373.82027332790307</c:v>
                </c:pt>
                <c:pt idx="43" formatCode="0">
                  <c:v>425</c:v>
                </c:pt>
                <c:pt idx="44" formatCode="0">
                  <c:v>450.26641326883208</c:v>
                </c:pt>
                <c:pt idx="45" formatCode="0">
                  <c:v>429.54361204562247</c:v>
                </c:pt>
                <c:pt idx="46" formatCode="0">
                  <c:v>632.75378575434661</c:v>
                </c:pt>
              </c:numCache>
            </c:numRef>
          </c:val>
          <c:extLst>
            <c:ext xmlns:c16="http://schemas.microsoft.com/office/drawing/2014/chart" uri="{C3380CC4-5D6E-409C-BE32-E72D297353CC}">
              <c16:uniqueId val="{00000007-07DE-4D5B-854E-57E686E9D41E}"/>
            </c:ext>
          </c:extLst>
        </c:ser>
        <c:ser>
          <c:idx val="8"/>
          <c:order val="8"/>
          <c:tx>
            <c:strRef>
              <c:f>'Complete Data 1978-2023R'!$BB$215</c:f>
              <c:strCache>
                <c:ptCount val="1"/>
                <c:pt idx="0">
                  <c:v>ARPA-C</c:v>
                </c:pt>
              </c:strCache>
            </c:strRef>
          </c:tx>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1978-2023R'!$E$215:$AY$215</c:f>
              <c:numCache>
                <c:formatCode>0.0</c:formatCode>
                <c:ptCount val="47"/>
                <c:pt idx="45" formatCode="0">
                  <c:v>0</c:v>
                </c:pt>
                <c:pt idx="46" formatCode="0">
                  <c:v>0</c:v>
                </c:pt>
              </c:numCache>
            </c:numRef>
          </c:val>
          <c:extLst>
            <c:ext xmlns:c16="http://schemas.microsoft.com/office/drawing/2014/chart" uri="{C3380CC4-5D6E-409C-BE32-E72D297353CC}">
              <c16:uniqueId val="{00000000-0A37-4C10-8595-A9D2FB2E720D}"/>
            </c:ext>
          </c:extLst>
        </c:ser>
        <c:ser>
          <c:idx val="9"/>
          <c:order val="9"/>
          <c:tx>
            <c:strRef>
              <c:f>'Complete Data 1978-2023R'!$BB$216</c:f>
              <c:strCache>
                <c:ptCount val="1"/>
                <c:pt idx="0">
                  <c:v>OCDE</c:v>
                </c:pt>
              </c:strCache>
            </c:strRef>
          </c:tx>
          <c:spPr>
            <a:ln w="12700">
              <a:solidFill>
                <a:schemeClr val="tx1"/>
              </a:solidFill>
            </a:ln>
          </c:spPr>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1978-2023R'!$E$216:$AY$216</c:f>
              <c:numCache>
                <c:formatCode>0.0</c:formatCode>
                <c:ptCount val="47"/>
                <c:pt idx="45" formatCode="0">
                  <c:v>0</c:v>
                </c:pt>
              </c:numCache>
            </c:numRef>
          </c:val>
          <c:extLst>
            <c:ext xmlns:c16="http://schemas.microsoft.com/office/drawing/2014/chart" uri="{C3380CC4-5D6E-409C-BE32-E72D297353CC}">
              <c16:uniqueId val="{00000001-0A37-4C10-8595-A9D2FB2E720D}"/>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2020$</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83684794672586005"/>
          <c:y val="0.24959216965742301"/>
          <c:w val="0.16315208291271283"/>
          <c:h val="0.380460897885146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FY2023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1978-2023R'!$B$209</c:f>
              <c:strCache>
                <c:ptCount val="1"/>
                <c:pt idx="0">
                  <c:v>Efficiency</c:v>
                </c:pt>
              </c:strCache>
            </c:strRef>
          </c:tx>
          <c:spPr>
            <a:solidFill>
              <a:srgbClr val="FCF305"/>
            </a:solidFill>
            <a:ln w="12700">
              <a:solidFill>
                <a:srgbClr val="000000"/>
              </a:solidFill>
              <a:prstDash val="solid"/>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1978-2023R'!$E$209:$AY$209</c:f>
              <c:numCache>
                <c:formatCode>0.0</c:formatCode>
                <c:ptCount val="47"/>
                <c:pt idx="0">
                  <c:v>621.74918815663796</c:v>
                </c:pt>
                <c:pt idx="1">
                  <c:v>754.11263157894723</c:v>
                </c:pt>
                <c:pt idx="2">
                  <c:v>880.10944694363593</c:v>
                </c:pt>
                <c:pt idx="3">
                  <c:v>785.52368483694374</c:v>
                </c:pt>
                <c:pt idx="4">
                  <c:v>379.64904740806384</c:v>
                </c:pt>
                <c:pt idx="5">
                  <c:v>320.37071729957802</c:v>
                </c:pt>
                <c:pt idx="6">
                  <c:v>341.07315206445116</c:v>
                </c:pt>
                <c:pt idx="7">
                  <c:v>350.54707369239748</c:v>
                </c:pt>
                <c:pt idx="8">
                  <c:v>351.64954303122619</c:v>
                </c:pt>
                <c:pt idx="9">
                  <c:v>312.14363502575429</c:v>
                </c:pt>
                <c:pt idx="10">
                  <c:v>298.35867328840015</c:v>
                </c:pt>
                <c:pt idx="11">
                  <c:v>291.34094555384883</c:v>
                </c:pt>
                <c:pt idx="12">
                  <c:v>356.12516258129074</c:v>
                </c:pt>
                <c:pt idx="13">
                  <c:v>409.84330392943065</c:v>
                </c:pt>
                <c:pt idx="14">
                  <c:v>442.48211009174315</c:v>
                </c:pt>
                <c:pt idx="15">
                  <c:v>515.88204673173618</c:v>
                </c:pt>
                <c:pt idx="16">
                  <c:v>618.7802354308966</c:v>
                </c:pt>
                <c:pt idx="17">
                  <c:v>665.90385212360661</c:v>
                </c:pt>
                <c:pt idx="18">
                  <c:v>565.42802935881468</c:v>
                </c:pt>
                <c:pt idx="19">
                  <c:v>602.92964769647699</c:v>
                </c:pt>
                <c:pt idx="20">
                  <c:v>654.47772083614279</c:v>
                </c:pt>
                <c:pt idx="21">
                  <c:v>726.62064687876534</c:v>
                </c:pt>
                <c:pt idx="22">
                  <c:v>751.03606287229263</c:v>
                </c:pt>
                <c:pt idx="23">
                  <c:v>805.76073266358458</c:v>
                </c:pt>
                <c:pt idx="24">
                  <c:v>662.74149503532124</c:v>
                </c:pt>
                <c:pt idx="25">
                  <c:v>683.24091411721349</c:v>
                </c:pt>
                <c:pt idx="26">
                  <c:v>648.47479908840126</c:v>
                </c:pt>
                <c:pt idx="27">
                  <c:v>541.69418793143518</c:v>
                </c:pt>
                <c:pt idx="28">
                  <c:v>523.74677408446382</c:v>
                </c:pt>
                <c:pt idx="29">
                  <c:v>504.54248404253531</c:v>
                </c:pt>
                <c:pt idx="30">
                  <c:v>598.74377907306075</c:v>
                </c:pt>
                <c:pt idx="31">
                  <c:v>743.92040673954818</c:v>
                </c:pt>
                <c:pt idx="32">
                  <c:v>805.76954279906988</c:v>
                </c:pt>
                <c:pt idx="33">
                  <c:v>885.94324028393021</c:v>
                </c:pt>
                <c:pt idx="34">
                  <c:v>773.68940017770763</c:v>
                </c:pt>
                <c:pt idx="35">
                  <c:v>818.37046889987289</c:v>
                </c:pt>
                <c:pt idx="36">
                  <c:v>694.60891901268531</c:v>
                </c:pt>
                <c:pt idx="37">
                  <c:v>787.04055912283854</c:v>
                </c:pt>
                <c:pt idx="38">
                  <c:v>757.66996309286469</c:v>
                </c:pt>
                <c:pt idx="39">
                  <c:v>886.39136395838261</c:v>
                </c:pt>
                <c:pt idx="40">
                  <c:v>843.67473648146461</c:v>
                </c:pt>
                <c:pt idx="41" formatCode="0">
                  <c:v>989.05396709738329</c:v>
                </c:pt>
                <c:pt idx="42" formatCode="0">
                  <c:v>999.72233386843982</c:v>
                </c:pt>
                <c:pt idx="43" formatCode="0">
                  <c:v>1131.0264629847238</c:v>
                </c:pt>
                <c:pt idx="44" formatCode="0">
                  <c:v>1146.2320184338921</c:v>
                </c:pt>
                <c:pt idx="45" formatCode="0">
                  <c:v>1089.8002216205052</c:v>
                </c:pt>
                <c:pt idx="46" formatCode="0">
                  <c:v>1545.5862867618857</c:v>
                </c:pt>
              </c:numCache>
            </c:numRef>
          </c:val>
          <c:extLst>
            <c:ext xmlns:c16="http://schemas.microsoft.com/office/drawing/2014/chart" uri="{C3380CC4-5D6E-409C-BE32-E72D297353CC}">
              <c16:uniqueId val="{00000000-1BF5-48F4-B421-2B0C8469AC9F}"/>
            </c:ext>
          </c:extLst>
        </c:ser>
        <c:ser>
          <c:idx val="3"/>
          <c:order val="1"/>
          <c:tx>
            <c:strRef>
              <c:f>'Complete Data 1978-2023R'!$B$211</c:f>
              <c:strCache>
                <c:ptCount val="1"/>
                <c:pt idx="0">
                  <c:v>Renewables</c:v>
                </c:pt>
              </c:strCache>
            </c:strRef>
          </c:tx>
          <c:spPr>
            <a:solidFill>
              <a:srgbClr val="666699"/>
            </a:solidFill>
            <a:ln w="12700">
              <a:solidFill>
                <a:srgbClr val="000000"/>
              </a:solidFill>
              <a:prstDash val="solid"/>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1978-2023R'!$E$211:$AY$211</c:f>
              <c:numCache>
                <c:formatCode>0.0</c:formatCode>
                <c:ptCount val="47"/>
                <c:pt idx="0">
                  <c:v>2172.3507163323779</c:v>
                </c:pt>
                <c:pt idx="1">
                  <c:v>2539.7695321637425</c:v>
                </c:pt>
                <c:pt idx="2">
                  <c:v>2485.9807885684045</c:v>
                </c:pt>
                <c:pt idx="3">
                  <c:v>2209.9399666746017</c:v>
                </c:pt>
                <c:pt idx="4">
                  <c:v>1001.9835622507754</c:v>
                </c:pt>
                <c:pt idx="5">
                  <c:v>723.57130801687777</c:v>
                </c:pt>
                <c:pt idx="6">
                  <c:v>581.36952668680772</c:v>
                </c:pt>
                <c:pt idx="7">
                  <c:v>560.9191911335796</c:v>
                </c:pt>
                <c:pt idx="8">
                  <c:v>448.53038842345779</c:v>
                </c:pt>
                <c:pt idx="9">
                  <c:v>377.7270051508462</c:v>
                </c:pt>
                <c:pt idx="10">
                  <c:v>304.66202554097202</c:v>
                </c:pt>
                <c:pt idx="11">
                  <c:v>309.24888206178531</c:v>
                </c:pt>
                <c:pt idx="12">
                  <c:v>261.68520927130237</c:v>
                </c:pt>
                <c:pt idx="13">
                  <c:v>364.06389735364883</c:v>
                </c:pt>
                <c:pt idx="14">
                  <c:v>416.95097859327223</c:v>
                </c:pt>
                <c:pt idx="15">
                  <c:v>426.62043774031349</c:v>
                </c:pt>
                <c:pt idx="16">
                  <c:v>505.97663130358961</c:v>
                </c:pt>
                <c:pt idx="17">
                  <c:v>573.89036263581215</c:v>
                </c:pt>
                <c:pt idx="18">
                  <c:v>397.00265891150821</c:v>
                </c:pt>
                <c:pt idx="19">
                  <c:v>352.15738753387529</c:v>
                </c:pt>
                <c:pt idx="20">
                  <c:v>445.27003371544163</c:v>
                </c:pt>
                <c:pt idx="21">
                  <c:v>533.89918558077443</c:v>
                </c:pt>
                <c:pt idx="22">
                  <c:v>416.69853715775758</c:v>
                </c:pt>
                <c:pt idx="23">
                  <c:v>493.1300343467754</c:v>
                </c:pt>
                <c:pt idx="24">
                  <c:v>501.30730377998248</c:v>
                </c:pt>
                <c:pt idx="25">
                  <c:v>393.53235041159849</c:v>
                </c:pt>
                <c:pt idx="26">
                  <c:v>353.60280676502344</c:v>
                </c:pt>
                <c:pt idx="27">
                  <c:v>383.64563393891183</c:v>
                </c:pt>
                <c:pt idx="28">
                  <c:v>340.69106754950337</c:v>
                </c:pt>
                <c:pt idx="29">
                  <c:v>675.8384391886724</c:v>
                </c:pt>
                <c:pt idx="30">
                  <c:v>812.59393667958284</c:v>
                </c:pt>
                <c:pt idx="31">
                  <c:v>990.97148689500364</c:v>
                </c:pt>
                <c:pt idx="32">
                  <c:v>1910.3033144858821</c:v>
                </c:pt>
                <c:pt idx="33">
                  <c:v>1129.9809472671702</c:v>
                </c:pt>
                <c:pt idx="34">
                  <c:v>849.23284836101413</c:v>
                </c:pt>
                <c:pt idx="35">
                  <c:v>893.90928233017951</c:v>
                </c:pt>
                <c:pt idx="36">
                  <c:v>833.29234527347251</c:v>
                </c:pt>
                <c:pt idx="37">
                  <c:v>900.76419451164134</c:v>
                </c:pt>
                <c:pt idx="38">
                  <c:v>834.03018759768884</c:v>
                </c:pt>
                <c:pt idx="39">
                  <c:v>912.94617530852929</c:v>
                </c:pt>
                <c:pt idx="40">
                  <c:v>873.30329027276036</c:v>
                </c:pt>
                <c:pt idx="41" formatCode="0">
                  <c:v>944.58585036222757</c:v>
                </c:pt>
                <c:pt idx="42" formatCode="0">
                  <c:v>945.43965770642592</c:v>
                </c:pt>
                <c:pt idx="43" formatCode="0">
                  <c:v>1093.0292405866951</c:v>
                </c:pt>
                <c:pt idx="44" formatCode="0">
                  <c:v>1076.4297196222544</c:v>
                </c:pt>
                <c:pt idx="45" formatCode="0">
                  <c:v>1022.4624956385671</c:v>
                </c:pt>
                <c:pt idx="46" formatCode="0">
                  <c:v>1798.5691759627609</c:v>
                </c:pt>
              </c:numCache>
            </c:numRef>
          </c:val>
          <c:extLst>
            <c:ext xmlns:c16="http://schemas.microsoft.com/office/drawing/2014/chart" uri="{C3380CC4-5D6E-409C-BE32-E72D297353CC}">
              <c16:uniqueId val="{00000001-1BF5-48F4-B421-2B0C8469AC9F}"/>
            </c:ext>
          </c:extLst>
        </c:ser>
        <c:ser>
          <c:idx val="4"/>
          <c:order val="2"/>
          <c:tx>
            <c:strRef>
              <c:f>'Complete Data 1978-2023R'!$B$212</c:f>
              <c:strCache>
                <c:ptCount val="1"/>
                <c:pt idx="0">
                  <c:v>Fossil including CCT demo</c:v>
                </c:pt>
              </c:strCache>
            </c:strRef>
          </c:tx>
          <c:spPr>
            <a:solidFill>
              <a:srgbClr val="660066"/>
            </a:solidFill>
            <a:ln w="12700">
              <a:solidFill>
                <a:srgbClr val="000000"/>
              </a:solidFill>
              <a:prstDash val="solid"/>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1978-2023R'!$E$212:$AY$212</c:f>
              <c:numCache>
                <c:formatCode>0.0</c:formatCode>
                <c:ptCount val="47"/>
                <c:pt idx="0">
                  <c:v>2749.2017828716971</c:v>
                </c:pt>
                <c:pt idx="1">
                  <c:v>2509.0904093567246</c:v>
                </c:pt>
                <c:pt idx="2">
                  <c:v>2493.7429478698073</c:v>
                </c:pt>
                <c:pt idx="3">
                  <c:v>2670.2434182337543</c:v>
                </c:pt>
                <c:pt idx="4">
                  <c:v>1044.2223305272485</c:v>
                </c:pt>
                <c:pt idx="5">
                  <c:v>516.73464135021095</c:v>
                </c:pt>
                <c:pt idx="6">
                  <c:v>594.32167170191337</c:v>
                </c:pt>
                <c:pt idx="7">
                  <c:v>633.96811199688898</c:v>
                </c:pt>
                <c:pt idx="8">
                  <c:v>664.63267326732671</c:v>
                </c:pt>
                <c:pt idx="9">
                  <c:v>608.51405445180285</c:v>
                </c:pt>
                <c:pt idx="10">
                  <c:v>1042.7545583540264</c:v>
                </c:pt>
                <c:pt idx="11">
                  <c:v>1088.1478409284864</c:v>
                </c:pt>
                <c:pt idx="12">
                  <c:v>1799.2504252126066</c:v>
                </c:pt>
                <c:pt idx="13">
                  <c:v>1515.4250200481156</c:v>
                </c:pt>
                <c:pt idx="14">
                  <c:v>1422.6705504587158</c:v>
                </c:pt>
                <c:pt idx="15">
                  <c:v>665.04069801833759</c:v>
                </c:pt>
                <c:pt idx="16">
                  <c:v>1035.5633192849878</c:v>
                </c:pt>
                <c:pt idx="17">
                  <c:v>692.72785381684787</c:v>
                </c:pt>
                <c:pt idx="18">
                  <c:v>781.97493421963725</c:v>
                </c:pt>
                <c:pt idx="19">
                  <c:v>521.90715447154469</c:v>
                </c:pt>
                <c:pt idx="20">
                  <c:v>365.83197302764665</c:v>
                </c:pt>
                <c:pt idx="21">
                  <c:v>486.76783978638201</c:v>
                </c:pt>
                <c:pt idx="22">
                  <c:v>370.08490221642774</c:v>
                </c:pt>
                <c:pt idx="23">
                  <c:v>761.05062460246791</c:v>
                </c:pt>
                <c:pt idx="24">
                  <c:v>860.77848800703259</c:v>
                </c:pt>
                <c:pt idx="25">
                  <c:v>763.81870745791889</c:v>
                </c:pt>
                <c:pt idx="26">
                  <c:v>738.73621206669065</c:v>
                </c:pt>
                <c:pt idx="27">
                  <c:v>509.89495114006519</c:v>
                </c:pt>
                <c:pt idx="28">
                  <c:v>699.30996171602294</c:v>
                </c:pt>
                <c:pt idx="29">
                  <c:v>705.97575957003414</c:v>
                </c:pt>
                <c:pt idx="30">
                  <c:v>789.08163395225449</c:v>
                </c:pt>
                <c:pt idx="31">
                  <c:v>1022.1278657176247</c:v>
                </c:pt>
                <c:pt idx="32">
                  <c:v>4073.4096674811435</c:v>
                </c:pt>
                <c:pt idx="33">
                  <c:v>764.4962012106032</c:v>
                </c:pt>
                <c:pt idx="34">
                  <c:v>487.6136602694977</c:v>
                </c:pt>
                <c:pt idx="35">
                  <c:v>370.72651999999994</c:v>
                </c:pt>
                <c:pt idx="36">
                  <c:v>555.71540505955318</c:v>
                </c:pt>
                <c:pt idx="37">
                  <c:v>607.1811009885638</c:v>
                </c:pt>
                <c:pt idx="38">
                  <c:v>586.8293040293039</c:v>
                </c:pt>
                <c:pt idx="39">
                  <c:v>673.31200689391039</c:v>
                </c:pt>
                <c:pt idx="40">
                  <c:v>609.75462074157724</c:v>
                </c:pt>
                <c:pt idx="41" formatCode="0">
                  <c:v>641.00620454754676</c:v>
                </c:pt>
                <c:pt idx="42" formatCode="0">
                  <c:v>704.24431170241667</c:v>
                </c:pt>
                <c:pt idx="43" formatCode="0">
                  <c:v>696.9</c:v>
                </c:pt>
                <c:pt idx="44" formatCode="0">
                  <c:v>638.46218037318602</c:v>
                </c:pt>
                <c:pt idx="45" formatCode="0">
                  <c:v>606.45262985148122</c:v>
                </c:pt>
                <c:pt idx="46" formatCode="0">
                  <c:v>707.96109286114893</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1978-2023R'!$E$213:$AY$213</c:f>
              <c:numCache>
                <c:formatCode>0.0</c:formatCode>
                <c:ptCount val="47"/>
                <c:pt idx="25">
                  <c:v>115.7448089445878</c:v>
                </c:pt>
                <c:pt idx="26">
                  <c:v>109.7481348206789</c:v>
                </c:pt>
                <c:pt idx="27">
                  <c:v>128.09716147045137</c:v>
                </c:pt>
                <c:pt idx="28">
                  <c:v>185.34442067334763</c:v>
                </c:pt>
                <c:pt idx="29">
                  <c:v>111.86714928156194</c:v>
                </c:pt>
                <c:pt idx="30">
                  <c:v>119.58321485411142</c:v>
                </c:pt>
                <c:pt idx="31">
                  <c:v>147.54214384362052</c:v>
                </c:pt>
                <c:pt idx="32">
                  <c:v>865.95612450865838</c:v>
                </c:pt>
                <c:pt idx="33">
                  <c:v>198.3945940304738</c:v>
                </c:pt>
                <c:pt idx="34">
                  <c:v>159.04902000816659</c:v>
                </c:pt>
                <c:pt idx="35">
                  <c:v>153.66084000000001</c:v>
                </c:pt>
                <c:pt idx="36">
                  <c:v>143.59312924500446</c:v>
                </c:pt>
                <c:pt idx="37">
                  <c:v>160.95274277960843</c:v>
                </c:pt>
                <c:pt idx="38">
                  <c:v>156.49506458453826</c:v>
                </c:pt>
                <c:pt idx="39">
                  <c:v>222.52891612409039</c:v>
                </c:pt>
                <c:pt idx="40">
                  <c:v>243.77444005270092</c:v>
                </c:pt>
                <c:pt idx="41" formatCode="0">
                  <c:v>271.06710853355429</c:v>
                </c:pt>
                <c:pt idx="42" formatCode="0">
                  <c:v>270.07774459227085</c:v>
                </c:pt>
                <c:pt idx="43" formatCode="0">
                  <c:v>333</c:v>
                </c:pt>
                <c:pt idx="44" formatCode="0">
                  <c:v>347.64075673807878</c:v>
                </c:pt>
                <c:pt idx="45" formatCode="0">
                  <c:v>330.21165176007224</c:v>
                </c:pt>
                <c:pt idx="46" formatCode="0">
                  <c:v>451.51502283470876</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1978-2023R'!$E$210:$AY$210</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15.740037785205638</c:v>
                </c:pt>
                <c:pt idx="17">
                  <c:v>14.008974178072531</c:v>
                </c:pt>
                <c:pt idx="18">
                  <c:v>22.342140977703924</c:v>
                </c:pt>
                <c:pt idx="19">
                  <c:v>22.625149051490517</c:v>
                </c:pt>
                <c:pt idx="20">
                  <c:v>28.756547538772757</c:v>
                </c:pt>
                <c:pt idx="21">
                  <c:v>37.626750333778375</c:v>
                </c:pt>
                <c:pt idx="22">
                  <c:v>35.728784876140814</c:v>
                </c:pt>
                <c:pt idx="23">
                  <c:v>38.175957257346397</c:v>
                </c:pt>
                <c:pt idx="24">
                  <c:v>107.11028506844154</c:v>
                </c:pt>
                <c:pt idx="25">
                  <c:v>127.52721464553386</c:v>
                </c:pt>
                <c:pt idx="26">
                  <c:v>195.13786733837111</c:v>
                </c:pt>
                <c:pt idx="27">
                  <c:v>218.92014890646814</c:v>
                </c:pt>
                <c:pt idx="28">
                  <c:v>194.99909920054048</c:v>
                </c:pt>
                <c:pt idx="29">
                  <c:v>234.50027421300871</c:v>
                </c:pt>
                <c:pt idx="30">
                  <c:v>246.82741644562336</c:v>
                </c:pt>
                <c:pt idx="31">
                  <c:v>197.28218421332201</c:v>
                </c:pt>
                <c:pt idx="32">
                  <c:v>51.537873154148521</c:v>
                </c:pt>
                <c:pt idx="33">
                  <c:v>204.87038196618659</c:v>
                </c:pt>
                <c:pt idx="34">
                  <c:v>110.33233973050226</c:v>
                </c:pt>
                <c:pt idx="35">
                  <c:v>114.28666000000001</c:v>
                </c:pt>
                <c:pt idx="36">
                  <c:v>106.38995964169703</c:v>
                </c:pt>
                <c:pt idx="37">
                  <c:v>101.57955030044583</c:v>
                </c:pt>
                <c:pt idx="38">
                  <c:v>103.09751301330249</c:v>
                </c:pt>
                <c:pt idx="39">
                  <c:v>109.10398314821907</c:v>
                </c:pt>
                <c:pt idx="40">
                  <c:v>107.23527197440242</c:v>
                </c:pt>
                <c:pt idx="41" formatCode="0">
                  <c:v>119.43569916229403</c:v>
                </c:pt>
                <c:pt idx="42" formatCode="0">
                  <c:v>122.53054575074668</c:v>
                </c:pt>
                <c:pt idx="43" formatCode="0">
                  <c:v>150</c:v>
                </c:pt>
                <c:pt idx="44" formatCode="0">
                  <c:v>146.19039391845197</c:v>
                </c:pt>
                <c:pt idx="45" formatCode="0">
                  <c:v>138.86108148026588</c:v>
                </c:pt>
                <c:pt idx="46" formatCode="0">
                  <c:v>168.13172021472639</c:v>
                </c:pt>
              </c:numCache>
            </c:numRef>
          </c:val>
          <c:extLst>
            <c:ext xmlns:c16="http://schemas.microsoft.com/office/drawing/2014/chart" uri="{C3380CC4-5D6E-409C-BE32-E72D297353CC}">
              <c16:uniqueId val="{00000004-1BF5-48F4-B421-2B0C8469AC9F}"/>
            </c:ext>
          </c:extLst>
        </c:ser>
        <c:ser>
          <c:idx val="5"/>
          <c:order val="5"/>
          <c:tx>
            <c:strRef>
              <c:f>'Complete Data 1978-2023R'!$BB$214</c:f>
              <c:strCache>
                <c:ptCount val="1"/>
                <c:pt idx="0">
                  <c:v>ARPA-E</c:v>
                </c:pt>
              </c:strCache>
            </c:strRef>
          </c:tx>
          <c:spPr>
            <a:solidFill>
              <a:srgbClr val="FF33CC"/>
            </a:solidFill>
            <a:ln w="9525">
              <a:solidFill>
                <a:srgbClr val="000000"/>
              </a:solidFill>
            </a:ln>
          </c:spPr>
          <c:invertIfNegative val="0"/>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1978-2023R'!$E$214:$AY$214</c:f>
              <c:numCache>
                <c:formatCode>0.0</c:formatCode>
                <c:ptCount val="47"/>
                <c:pt idx="31">
                  <c:v>10.427430149792841</c:v>
                </c:pt>
                <c:pt idx="32">
                  <c:v>466.11811324763624</c:v>
                </c:pt>
                <c:pt idx="33">
                  <c:v>0</c:v>
                </c:pt>
                <c:pt idx="34">
                  <c:v>206.84434463046142</c:v>
                </c:pt>
                <c:pt idx="35">
                  <c:v>310.25500000000005</c:v>
                </c:pt>
                <c:pt idx="36">
                  <c:v>278.30191948026385</c:v>
                </c:pt>
                <c:pt idx="37">
                  <c:v>306.18197712735025</c:v>
                </c:pt>
                <c:pt idx="38">
                  <c:v>304.49654713707349</c:v>
                </c:pt>
                <c:pt idx="39">
                  <c:v>314.45712370739182</c:v>
                </c:pt>
                <c:pt idx="40">
                  <c:v>324.14780726519859</c:v>
                </c:pt>
                <c:pt idx="41" formatCode="0">
                  <c:v>367.03109638221491</c:v>
                </c:pt>
                <c:pt idx="42" formatCode="0">
                  <c:v>373.82027332790307</c:v>
                </c:pt>
                <c:pt idx="43" formatCode="0">
                  <c:v>425</c:v>
                </c:pt>
                <c:pt idx="44" formatCode="0">
                  <c:v>450.26641326883208</c:v>
                </c:pt>
                <c:pt idx="45" formatCode="0">
                  <c:v>429.54361204562247</c:v>
                </c:pt>
                <c:pt idx="46" formatCode="0">
                  <c:v>632.75378575434661</c:v>
                </c:pt>
              </c:numCache>
            </c:numRef>
          </c:val>
          <c:extLst>
            <c:ext xmlns:c16="http://schemas.microsoft.com/office/drawing/2014/chart" uri="{C3380CC4-5D6E-409C-BE32-E72D297353CC}">
              <c16:uniqueId val="{00000005-1BF5-48F4-B421-2B0C8469AC9F}"/>
            </c:ext>
          </c:extLst>
        </c:ser>
        <c:ser>
          <c:idx val="6"/>
          <c:order val="6"/>
          <c:tx>
            <c:strRef>
              <c:f>'Complete Data 1978-2023R'!$BB$215</c:f>
              <c:strCache>
                <c:ptCount val="1"/>
                <c:pt idx="0">
                  <c:v>ARPA-C</c:v>
                </c:pt>
              </c:strCache>
            </c:strRef>
          </c:tx>
          <c:invertIfNegative val="0"/>
          <c:dPt>
            <c:idx val="45"/>
            <c:invertIfNegative val="0"/>
            <c:bubble3D val="0"/>
            <c:spPr>
              <a:ln>
                <a:solidFill>
                  <a:srgbClr val="000000"/>
                </a:solidFill>
              </a:ln>
            </c:spPr>
            <c:extLst>
              <c:ext xmlns:c16="http://schemas.microsoft.com/office/drawing/2014/chart" uri="{C3380CC4-5D6E-409C-BE32-E72D297353CC}">
                <c16:uniqueId val="{00000005-CDCA-4953-A317-BA0490E4F7DA}"/>
              </c:ext>
            </c:extLst>
          </c:dPt>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1978-2023R'!$E$215:$AY$215</c:f>
              <c:numCache>
                <c:formatCode>0.0</c:formatCode>
                <c:ptCount val="47"/>
                <c:pt idx="45" formatCode="0">
                  <c:v>0</c:v>
                </c:pt>
                <c:pt idx="46" formatCode="0">
                  <c:v>0</c:v>
                </c:pt>
              </c:numCache>
            </c:numRef>
          </c:val>
          <c:extLst>
            <c:ext xmlns:c16="http://schemas.microsoft.com/office/drawing/2014/chart" uri="{C3380CC4-5D6E-409C-BE32-E72D297353CC}">
              <c16:uniqueId val="{00000002-CDCA-4953-A317-BA0490E4F7DA}"/>
            </c:ext>
          </c:extLst>
        </c:ser>
        <c:ser>
          <c:idx val="7"/>
          <c:order val="7"/>
          <c:tx>
            <c:strRef>
              <c:f>'Complete Data 1978-2023R'!$BB$216</c:f>
              <c:strCache>
                <c:ptCount val="1"/>
                <c:pt idx="0">
                  <c:v>OCDE</c:v>
                </c:pt>
              </c:strCache>
            </c:strRef>
          </c:tx>
          <c:invertIfNegative val="0"/>
          <c:dPt>
            <c:idx val="45"/>
            <c:invertIfNegative val="0"/>
            <c:bubble3D val="0"/>
            <c:spPr>
              <a:ln>
                <a:solidFill>
                  <a:srgbClr val="000000"/>
                </a:solidFill>
              </a:ln>
            </c:spPr>
            <c:extLst>
              <c:ext xmlns:c16="http://schemas.microsoft.com/office/drawing/2014/chart" uri="{C3380CC4-5D6E-409C-BE32-E72D297353CC}">
                <c16:uniqueId val="{00000004-CDCA-4953-A317-BA0490E4F7DA}"/>
              </c:ext>
            </c:extLst>
          </c:dPt>
          <c:cat>
            <c:strRef>
              <c:f>'Complete Data 1978-2023R'!$E$206:$AY$206</c:f>
              <c:strCache>
                <c:ptCount val="4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pt idx="46">
                  <c:v>2023R</c:v>
                </c:pt>
              </c:strCache>
            </c:strRef>
          </c:cat>
          <c:val>
            <c:numRef>
              <c:f>'Complete Data 1978-2023R'!$E$216:$AY$216</c:f>
              <c:numCache>
                <c:formatCode>0.0</c:formatCode>
                <c:ptCount val="47"/>
                <c:pt idx="45" formatCode="0">
                  <c:v>0</c:v>
                </c:pt>
              </c:numCache>
            </c:numRef>
          </c:val>
          <c:extLst>
            <c:ext xmlns:c16="http://schemas.microsoft.com/office/drawing/2014/chart" uri="{C3380CC4-5D6E-409C-BE32-E72D297353CC}">
              <c16:uniqueId val="{00000003-CDCA-4953-A317-BA0490E4F7DA}"/>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2020$</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3.6908324920923344E-2"/>
          <c:y val="0.78758597687310894"/>
          <c:w val="0.74396478901675756"/>
          <c:h val="0.13174526769810627"/>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FY1985-FY2023R including ARRA
million 2020$</a:t>
            </a:r>
          </a:p>
        </c:rich>
      </c:tx>
      <c:layout>
        <c:manualLayout>
          <c:xMode val="edge"/>
          <c:yMode val="edge"/>
          <c:x val="0.25675816676761559"/>
          <c:y val="1.9575875005153152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1978-2023R'!$BA$216</c:f>
              <c:strCache>
                <c:ptCount val="1"/>
                <c:pt idx="0">
                  <c:v>0</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Pt>
            <c:idx val="9"/>
            <c:bubble3D val="0"/>
            <c:spPr>
              <a:solidFill>
                <a:schemeClr val="tx1"/>
              </a:solidFill>
              <a:ln w="12700">
                <a:solidFill>
                  <a:srgbClr val="000000"/>
                </a:solidFill>
                <a:prstDash val="solid"/>
              </a:ln>
            </c:spPr>
            <c:extLst>
              <c:ext xmlns:c16="http://schemas.microsoft.com/office/drawing/2014/chart" uri="{C3380CC4-5D6E-409C-BE32-E72D297353CC}">
                <c16:uniqueId val="{0000000F-B620-47AC-8D3F-9B4A690E1BDB}"/>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15:layout/>
              </c:ext>
            </c:extLst>
          </c:dLbls>
          <c:cat>
            <c:strRef>
              <c:f>'Complete Data 1978-2023R'!$BB$207:$BB$216</c:f>
              <c:strCache>
                <c:ptCount val="10"/>
                <c:pt idx="0">
                  <c:v>Fission</c:v>
                </c:pt>
                <c:pt idx="1">
                  <c:v>Fusion</c:v>
                </c:pt>
                <c:pt idx="2">
                  <c:v>Efficiency</c:v>
                </c:pt>
                <c:pt idx="3">
                  <c:v>Hydrogen EERE</c:v>
                </c:pt>
                <c:pt idx="4">
                  <c:v>Renewables</c:v>
                </c:pt>
                <c:pt idx="5">
                  <c:v>Fossil (including CCS and CDR)</c:v>
                </c:pt>
                <c:pt idx="6">
                  <c:v>Electricity T&amp;D</c:v>
                </c:pt>
                <c:pt idx="7">
                  <c:v>ARPA-E</c:v>
                </c:pt>
                <c:pt idx="8">
                  <c:v>ARPA-C</c:v>
                </c:pt>
                <c:pt idx="9">
                  <c:v>OCDE</c:v>
                </c:pt>
              </c:strCache>
            </c:strRef>
          </c:cat>
          <c:val>
            <c:numRef>
              <c:f>'Complete Data 1978-2023R'!$BA$207:$BA$216</c:f>
              <c:numCache>
                <c:formatCode>0</c:formatCode>
                <c:ptCount val="10"/>
                <c:pt idx="0">
                  <c:v>19094.59926960021</c:v>
                </c:pt>
                <c:pt idx="1">
                  <c:v>19172.723548848513</c:v>
                </c:pt>
                <c:pt idx="2">
                  <c:v>27780.993746494034</c:v>
                </c:pt>
                <c:pt idx="3">
                  <c:v>3590.8918054852097</c:v>
                </c:pt>
                <c:pt idx="4">
                  <c:v>27658.89459695026</c:v>
                </c:pt>
                <c:pt idx="5">
                  <c:v>33270.101019799826</c:v>
                </c:pt>
                <c:pt idx="6">
                  <c:v>5225.8441896802851</c:v>
                </c:pt>
                <c:pt idx="7">
                  <c:v>5199.6454435240876</c:v>
                </c:pt>
                <c:pt idx="8">
                  <c:v>0</c:v>
                </c:pt>
                <c:pt idx="9">
                  <c:v>0</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(FY1978-FY2023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1978-2023R'!$E$250:$AX$250</c:f>
              <c:numCache>
                <c:formatCode>0.0</c:formatCode>
                <c:ptCount val="46"/>
                <c:pt idx="0">
                  <c:v>241.73148678764724</c:v>
                </c:pt>
                <c:pt idx="1">
                  <c:v>326.91409356725143</c:v>
                </c:pt>
                <c:pt idx="2">
                  <c:v>338.54956337655472</c:v>
                </c:pt>
                <c:pt idx="3">
                  <c:v>282.25141632944542</c:v>
                </c:pt>
                <c:pt idx="4">
                  <c:v>147.21085511741248</c:v>
                </c:pt>
                <c:pt idx="5">
                  <c:v>128.05308016877638</c:v>
                </c:pt>
                <c:pt idx="6">
                  <c:v>147.01820745216517</c:v>
                </c:pt>
                <c:pt idx="7">
                  <c:v>134.47143690453044</c:v>
                </c:pt>
                <c:pt idx="8">
                  <c:v>123.51770753998477</c:v>
                </c:pt>
                <c:pt idx="9">
                  <c:v>114.97844002943341</c:v>
                </c:pt>
                <c:pt idx="10">
                  <c:v>102.85470024831501</c:v>
                </c:pt>
                <c:pt idx="11">
                  <c:v>104.55924219150027</c:v>
                </c:pt>
                <c:pt idx="12">
                  <c:v>121.90655327663833</c:v>
                </c:pt>
                <c:pt idx="13">
                  <c:v>143.8522854851644</c:v>
                </c:pt>
                <c:pt idx="14">
                  <c:v>188.55085626911315</c:v>
                </c:pt>
                <c:pt idx="15">
                  <c:v>233.24809228039044</c:v>
                </c:pt>
                <c:pt idx="16">
                  <c:v>290.04298793779975</c:v>
                </c:pt>
                <c:pt idx="17">
                  <c:v>304.21760970791593</c:v>
                </c:pt>
                <c:pt idx="18">
                  <c:v>272.32413793103456</c:v>
                </c:pt>
                <c:pt idx="19">
                  <c:v>263.70528455284551</c:v>
                </c:pt>
                <c:pt idx="20">
                  <c:v>289.08698583951451</c:v>
                </c:pt>
                <c:pt idx="21">
                  <c:v>299.29684913217625</c:v>
                </c:pt>
                <c:pt idx="22">
                  <c:v>336.48895958279013</c:v>
                </c:pt>
                <c:pt idx="23">
                  <c:v>360.94937030912098</c:v>
                </c:pt>
                <c:pt idx="24">
                  <c:v>257.00801205575789</c:v>
                </c:pt>
                <c:pt idx="25">
                  <c:v>241.47000860056519</c:v>
                </c:pt>
                <c:pt idx="26">
                  <c:v>232.75806645076167</c:v>
                </c:pt>
                <c:pt idx="27">
                  <c:v>211.70155886458821</c:v>
                </c:pt>
                <c:pt idx="28">
                  <c:v>226.6308749014751</c:v>
                </c:pt>
                <c:pt idx="29">
                  <c:v>227.19921026653506</c:v>
                </c:pt>
                <c:pt idx="30">
                  <c:v>249.4608806366048</c:v>
                </c:pt>
                <c:pt idx="31">
                  <c:v>320.13409115053656</c:v>
                </c:pt>
                <c:pt idx="32">
                  <c:v>130.88222670774462</c:v>
                </c:pt>
                <c:pt idx="33">
                  <c:v>358.1699436443331</c:v>
                </c:pt>
                <c:pt idx="34">
                  <c:v>337.56167823601476</c:v>
                </c:pt>
                <c:pt idx="35">
                  <c:v>362.03937999999999</c:v>
                </c:pt>
                <c:pt idx="36">
                  <c:v>336.71644846933754</c:v>
                </c:pt>
                <c:pt idx="37">
                  <c:v>316.76636945144406</c:v>
                </c:pt>
                <c:pt idx="38">
                  <c:v>296.45972623867362</c:v>
                </c:pt>
                <c:pt idx="39">
                  <c:v>334.87361164304866</c:v>
                </c:pt>
                <c:pt idx="40">
                  <c:v>325.95275738754003</c:v>
                </c:pt>
                <c:pt idx="41">
                  <c:v>350.51781275890642</c:v>
                </c:pt>
                <c:pt idx="42">
                  <c:v>351.25423115214051</c:v>
                </c:pt>
                <c:pt idx="43">
                  <c:v>396</c:v>
                </c:pt>
                <c:pt idx="44">
                  <c:v>389.84105044920528</c:v>
                </c:pt>
                <c:pt idx="45">
                  <c:v>370.29621728070902</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1978-2023R'!$E$251:$AX$251</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8.1078593272171258</c:v>
                </c:pt>
                <c:pt idx="15">
                  <c:v>8.3422064477965101</c:v>
                </c:pt>
                <c:pt idx="16">
                  <c:v>10.985234704258103</c:v>
                </c:pt>
                <c:pt idx="17">
                  <c:v>13.690588401298154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1978-2023R'!$E$252:$AX$252</c:f>
              <c:numCache>
                <c:formatCode>0.0</c:formatCode>
                <c:ptCount val="46"/>
                <c:pt idx="0">
                  <c:v>114.58000636739891</c:v>
                </c:pt>
                <c:pt idx="1">
                  <c:v>131.953216374269</c:v>
                </c:pt>
                <c:pt idx="2">
                  <c:v>179.72384228631915</c:v>
                </c:pt>
                <c:pt idx="3">
                  <c:v>186.91435372530353</c:v>
                </c:pt>
                <c:pt idx="4">
                  <c:v>71.980859548072658</c:v>
                </c:pt>
                <c:pt idx="5">
                  <c:v>66.406708860759508</c:v>
                </c:pt>
                <c:pt idx="6">
                  <c:v>76.122255790533742</c:v>
                </c:pt>
                <c:pt idx="7">
                  <c:v>69.539062803811007</c:v>
                </c:pt>
                <c:pt idx="8">
                  <c:v>87.429055597867489</c:v>
                </c:pt>
                <c:pt idx="9">
                  <c:v>71.602097130242839</c:v>
                </c:pt>
                <c:pt idx="10">
                  <c:v>65.634905995033705</c:v>
                </c:pt>
                <c:pt idx="11">
                  <c:v>58.345212493599604</c:v>
                </c:pt>
                <c:pt idx="12">
                  <c:v>96.509354677338678</c:v>
                </c:pt>
                <c:pt idx="13">
                  <c:v>108.9296551724138</c:v>
                </c:pt>
                <c:pt idx="14">
                  <c:v>166.81489296636087</c:v>
                </c:pt>
                <c:pt idx="15">
                  <c:v>188.20017746228928</c:v>
                </c:pt>
                <c:pt idx="16">
                  <c:v>203.14486266531028</c:v>
                </c:pt>
                <c:pt idx="17">
                  <c:v>209.338648229152</c:v>
                </c:pt>
                <c:pt idx="18">
                  <c:v>169.20656418778566</c:v>
                </c:pt>
                <c:pt idx="19">
                  <c:v>176.41501355013551</c:v>
                </c:pt>
                <c:pt idx="20">
                  <c:v>203.73024949426838</c:v>
                </c:pt>
                <c:pt idx="21">
                  <c:v>245.22157543391191</c:v>
                </c:pt>
                <c:pt idx="22">
                  <c:v>233.83305606258151</c:v>
                </c:pt>
                <c:pt idx="23">
                  <c:v>246.27797990077599</c:v>
                </c:pt>
                <c:pt idx="24">
                  <c:v>142.95539369584327</c:v>
                </c:pt>
                <c:pt idx="25">
                  <c:v>134.18080845312693</c:v>
                </c:pt>
                <c:pt idx="26">
                  <c:v>122.46863380112751</c:v>
                </c:pt>
                <c:pt idx="27">
                  <c:v>96.335365286179623</c:v>
                </c:pt>
                <c:pt idx="28">
                  <c:v>71.012701272379246</c:v>
                </c:pt>
                <c:pt idx="29">
                  <c:v>69.050740375123397</c:v>
                </c:pt>
                <c:pt idx="30">
                  <c:v>75.65224403183025</c:v>
                </c:pt>
                <c:pt idx="31">
                  <c:v>105.47285668755977</c:v>
                </c:pt>
                <c:pt idx="32">
                  <c:v>255.17239987251676</c:v>
                </c:pt>
                <c:pt idx="33">
                  <c:v>111.03032769776664</c:v>
                </c:pt>
                <c:pt idx="34">
                  <c:v>121.96445487954269</c:v>
                </c:pt>
                <c:pt idx="35">
                  <c:v>127.14814000000001</c:v>
                </c:pt>
                <c:pt idx="36">
                  <c:v>126.93499360173247</c:v>
                </c:pt>
                <c:pt idx="37">
                  <c:v>197.36392711765848</c:v>
                </c:pt>
                <c:pt idx="38">
                  <c:v>211.19764796606901</c:v>
                </c:pt>
                <c:pt idx="39">
                  <c:v>247.37437763309077</c:v>
                </c:pt>
                <c:pt idx="40">
                  <c:v>273.39685676642199</c:v>
                </c:pt>
                <c:pt idx="41">
                  <c:v>316.76424560434504</c:v>
                </c:pt>
                <c:pt idx="42">
                  <c:v>326.74812200199119</c:v>
                </c:pt>
                <c:pt idx="43">
                  <c:v>395</c:v>
                </c:pt>
                <c:pt idx="44">
                  <c:v>385.94263994471322</c:v>
                </c:pt>
                <c:pt idx="45">
                  <c:v>366.59325510790188</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1978-2023R'!$E$253:$AX$253</c:f>
              <c:numCache>
                <c:formatCode>0.0</c:formatCode>
                <c:ptCount val="46"/>
                <c:pt idx="0">
                  <c:v>227.72327284304362</c:v>
                </c:pt>
                <c:pt idx="1">
                  <c:v>261.59725146198832</c:v>
                </c:pt>
                <c:pt idx="2">
                  <c:v>311.68055041016146</c:v>
                </c:pt>
                <c:pt idx="3">
                  <c:v>245.1908117114973</c:v>
                </c:pt>
                <c:pt idx="4">
                  <c:v>119.21829862649535</c:v>
                </c:pt>
                <c:pt idx="5">
                  <c:v>92.826582278481027</c:v>
                </c:pt>
                <c:pt idx="6">
                  <c:v>84.529788519637478</c:v>
                </c:pt>
                <c:pt idx="7">
                  <c:v>89.940112774645158</c:v>
                </c:pt>
                <c:pt idx="8">
                  <c:v>81.414280274181266</c:v>
                </c:pt>
                <c:pt idx="9">
                  <c:v>62.677777777777784</c:v>
                </c:pt>
                <c:pt idx="10">
                  <c:v>68.836608726498767</c:v>
                </c:pt>
                <c:pt idx="11">
                  <c:v>62.774057006315083</c:v>
                </c:pt>
                <c:pt idx="12">
                  <c:v>66.785225946306497</c:v>
                </c:pt>
                <c:pt idx="13">
                  <c:v>89.206511627906977</c:v>
                </c:pt>
                <c:pt idx="14">
                  <c:v>74.350795107033647</c:v>
                </c:pt>
                <c:pt idx="15">
                  <c:v>80.418870156758359</c:v>
                </c:pt>
                <c:pt idx="16">
                  <c:v>106.90108995785496</c:v>
                </c:pt>
                <c:pt idx="17">
                  <c:v>138.65700578524059</c:v>
                </c:pt>
                <c:pt idx="18">
                  <c:v>111.24198864423212</c:v>
                </c:pt>
                <c:pt idx="19">
                  <c:v>122.45097560975609</c:v>
                </c:pt>
                <c:pt idx="20">
                  <c:v>118.22136210384356</c:v>
                </c:pt>
                <c:pt idx="21">
                  <c:v>126.97255609104823</c:v>
                </c:pt>
                <c:pt idx="22">
                  <c:v>117.6554631330487</c:v>
                </c:pt>
                <c:pt idx="23">
                  <c:v>130.93610475364949</c:v>
                </c:pt>
                <c:pt idx="24">
                  <c:v>89.400251161622506</c:v>
                </c:pt>
                <c:pt idx="25">
                  <c:v>80.81344145472417</c:v>
                </c:pt>
                <c:pt idx="26">
                  <c:v>78.217536284035035</c:v>
                </c:pt>
                <c:pt idx="27">
                  <c:v>85.573103769194987</c:v>
                </c:pt>
                <c:pt idx="28">
                  <c:v>86.638036257178257</c:v>
                </c:pt>
                <c:pt idx="29">
                  <c:v>127.45925194691239</c:v>
                </c:pt>
                <c:pt idx="30">
                  <c:v>128.56093368700266</c:v>
                </c:pt>
                <c:pt idx="31">
                  <c:v>165.52047168809094</c:v>
                </c:pt>
                <c:pt idx="32">
                  <c:v>382.57881653033041</c:v>
                </c:pt>
                <c:pt idx="33">
                  <c:v>257.8541014402004</c:v>
                </c:pt>
                <c:pt idx="34">
                  <c:v>238.74628419763172</c:v>
                </c:pt>
                <c:pt idx="35">
                  <c:v>242.22454000000002</c:v>
                </c:pt>
                <c:pt idx="36">
                  <c:v>227.21697017422977</c:v>
                </c:pt>
                <c:pt idx="37">
                  <c:v>194.5210118239969</c:v>
                </c:pt>
                <c:pt idx="38">
                  <c:v>182.92195874301137</c:v>
                </c:pt>
                <c:pt idx="39">
                  <c:v>217.1277288395251</c:v>
                </c:pt>
                <c:pt idx="40">
                  <c:v>211.39151138716358</c:v>
                </c:pt>
                <c:pt idx="41">
                  <c:v>229.2126852618982</c:v>
                </c:pt>
                <c:pt idx="42">
                  <c:v>230.76586116390627</c:v>
                </c:pt>
                <c:pt idx="43">
                  <c:v>285</c:v>
                </c:pt>
                <c:pt idx="44">
                  <c:v>282.63476157567385</c:v>
                </c:pt>
                <c:pt idx="45">
                  <c:v>268.46475752851404</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1978-2023R'!$E$254:$AX$254</c:f>
              <c:numCache>
                <c:formatCode>0.0</c:formatCode>
                <c:ptCount val="46"/>
                <c:pt idx="0">
                  <c:v>37.714422158548231</c:v>
                </c:pt>
                <c:pt idx="1">
                  <c:v>33.64807017543859</c:v>
                </c:pt>
                <c:pt idx="2">
                  <c:v>50.155490870600694</c:v>
                </c:pt>
                <c:pt idx="3">
                  <c:v>71.167103070697465</c:v>
                </c:pt>
                <c:pt idx="4">
                  <c:v>41.239034116083296</c:v>
                </c:pt>
                <c:pt idx="5">
                  <c:v>30.228143459915614</c:v>
                </c:pt>
                <c:pt idx="6">
                  <c:v>28.858288016112791</c:v>
                </c:pt>
                <c:pt idx="7">
                  <c:v>52.209138635037924</c:v>
                </c:pt>
                <c:pt idx="8">
                  <c:v>55.636671744097484</c:v>
                </c:pt>
                <c:pt idx="9">
                  <c:v>58.942016188373806</c:v>
                </c:pt>
                <c:pt idx="10">
                  <c:v>57.630649166371064</c:v>
                </c:pt>
                <c:pt idx="11">
                  <c:v>62.196381635091321</c:v>
                </c:pt>
                <c:pt idx="12">
                  <c:v>67.537735534433892</c:v>
                </c:pt>
                <c:pt idx="13">
                  <c:v>63.693087409783487</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1978-2023R'!$E$257:$AX$257</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78.065829461258318</c:v>
                </c:pt>
                <c:pt idx="25">
                  <c:v>83.308539132571582</c:v>
                </c:pt>
                <c:pt idx="26">
                  <c:v>80.653376514333701</c:v>
                </c:pt>
                <c:pt idx="27">
                  <c:v>77.567031177291767</c:v>
                </c:pt>
                <c:pt idx="28">
                  <c:v>71.139736516158095</c:v>
                </c:pt>
                <c:pt idx="29">
                  <c:v>29.080508939344089</c:v>
                </c:pt>
                <c:pt idx="30">
                  <c:v>29.68632360742706</c:v>
                </c:pt>
                <c:pt idx="31">
                  <c:v>35.956655688940828</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1978-2023R'!$E$258:$AX$258</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35.136707271128969</c:v>
                </c:pt>
                <c:pt idx="25">
                  <c:v>33.406585575623545</c:v>
                </c:pt>
                <c:pt idx="26">
                  <c:v>9.4727120067170461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6-8E3B-4973-BBB5-65667D4E5464}"/>
            </c:ext>
          </c:extLst>
        </c:ser>
        <c:ser>
          <c:idx val="6"/>
          <c:order val="7"/>
          <c:tx>
            <c:strRef>
              <c:f>'Complete Data 1978-2023R'!$AZ$260</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1978-2023R'!$E$12:$AX$12</c:f>
              <c:strCach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2022CR</c:v>
                </c:pt>
              </c:strCache>
            </c:strRef>
          </c:cat>
          <c:val>
            <c:numRef>
              <c:f>'Complete Data 1978-2023R'!$E$260:$AX$260</c:f>
              <c:numCache>
                <c:formatCode>0.0</c:formatCode>
                <c:ptCount val="46"/>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63.322843501326261</c:v>
                </c:pt>
                <c:pt idx="31" formatCode="General">
                  <c:v>57.171082545415921</c:v>
                </c:pt>
                <c:pt idx="32" formatCode="General">
                  <c:v>0</c:v>
                </c:pt>
                <c:pt idx="33" formatCode="General">
                  <c:v>64.286912961803381</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2020$</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tabSelected="1" zoomScale="6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sheetViews>
    <sheetView zoomScale="9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sheetViews>
    <sheetView zoomScale="51"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zoomScale="51"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Department of Land Economy, University of Cambridge; and Belfer Center for Science and International Affairs, Harvard Kennedy School. Arpil 8</a:t>
          </a:r>
        </a:p>
        <a:p>
          <a:pPr algn="l" rtl="0">
            <a:defRPr sz="1000"/>
          </a:pPr>
          <a:r>
            <a:rPr lang="en-US" sz="800" b="0" i="0" u="none" strike="noStrike" baseline="0">
              <a:solidFill>
                <a:srgbClr val="000000"/>
              </a:solidFill>
              <a:latin typeface="Arial"/>
              <a:cs typeface="Arial"/>
            </a:rPr>
            <a:t>, 2022.</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2206" cy="60605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619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r>
            <a:rPr lang="en-US" sz="900" i="1" baseline="0">
              <a:effectLst/>
              <a:latin typeface="+mn-lt"/>
              <a:ea typeface="+mn-ea"/>
              <a:cs typeface="+mn-cs"/>
            </a:rPr>
            <a:t>.</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99563" cy="560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0.89474</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8231188" cy="5508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a:t>
          </a:r>
          <a:r>
            <a:rPr lang="en-US" sz="1100" i="1" baseline="0">
              <a:effectLst/>
              <a:latin typeface="+mn-lt"/>
              <a:ea typeface="+mn-ea"/>
              <a:cs typeface="+mn-cs"/>
            </a:rPr>
            <a:t> 8, 2022.</a:t>
          </a:r>
          <a:endParaRPr lang="en-GB" sz="900">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2206" cy="606051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 8, 2022.</a:t>
          </a:r>
        </a:p>
        <a:p xmlns:a="http://schemas.openxmlformats.org/drawingml/2006/main">
          <a:pPr rtl="0"/>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April</a:t>
          </a:r>
          <a:r>
            <a:rPr lang="en-US" sz="1100" i="1" baseline="0">
              <a:effectLst/>
              <a:latin typeface="+mn-lt"/>
              <a:ea typeface="+mn-ea"/>
              <a:cs typeface="+mn-cs"/>
            </a:rPr>
            <a:t>  8, 2022.</a:t>
          </a:r>
        </a:p>
        <a:p xmlns:a="http://schemas.openxmlformats.org/drawingml/2006/main">
          <a:pPr rtl="0"/>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whitehouse.gov/omb/historical-tabl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351"/>
  <sheetViews>
    <sheetView topLeftCell="Y1" zoomScale="70" zoomScaleNormal="70" zoomScalePageLayoutView="150" workbookViewId="0">
      <pane ySplit="12" topLeftCell="A206" activePane="bottomLeft" state="frozen"/>
      <selection pane="bottomLeft" activeCell="AY232" sqref="AY232"/>
    </sheetView>
  </sheetViews>
  <sheetFormatPr defaultColWidth="8.796875" defaultRowHeight="10.15" x14ac:dyDescent="0.3"/>
  <cols>
    <col min="1" max="1" width="3.33203125" style="18" customWidth="1"/>
    <col min="2" max="3" width="8.796875" style="10"/>
    <col min="4" max="4" width="13" style="10" customWidth="1"/>
    <col min="5" max="7" width="6.33203125" style="54" customWidth="1"/>
    <col min="8" max="8" width="5.33203125" style="54" customWidth="1"/>
    <col min="9" max="11" width="5.796875" style="54" customWidth="1"/>
    <col min="12" max="12" width="5.33203125" style="54" customWidth="1"/>
    <col min="13" max="13" width="6" style="54" customWidth="1"/>
    <col min="14" max="14" width="5.796875" style="54" customWidth="1"/>
    <col min="15" max="16" width="5.33203125" style="54" customWidth="1"/>
    <col min="17" max="17" width="5.796875" style="54" customWidth="1"/>
    <col min="18" max="18" width="6.1328125" style="54" customWidth="1"/>
    <col min="19" max="19" width="5.33203125" style="54" customWidth="1"/>
    <col min="20" max="20" width="7" style="54" customWidth="1"/>
    <col min="21" max="21" width="6" style="55" customWidth="1"/>
    <col min="22" max="22" width="5.796875" style="55" customWidth="1"/>
    <col min="23" max="23" width="5.6640625" style="54" customWidth="1"/>
    <col min="24" max="24" width="5.796875" style="55" customWidth="1"/>
    <col min="25" max="25" width="5.6640625" style="54" customWidth="1"/>
    <col min="26" max="26" width="6.1328125" style="54" customWidth="1"/>
    <col min="27" max="27" width="6.1328125" style="56" customWidth="1"/>
    <col min="28" max="28" width="5.33203125" style="54" customWidth="1"/>
    <col min="29" max="29" width="5.796875" style="54" customWidth="1"/>
    <col min="30" max="30" width="6.33203125" style="55" customWidth="1"/>
    <col min="31" max="31" width="5.796875" style="54" customWidth="1"/>
    <col min="32" max="32" width="6.6640625" style="54" customWidth="1"/>
    <col min="33" max="33" width="6.33203125" style="54" customWidth="1"/>
    <col min="34" max="34" width="6.6640625" style="54" customWidth="1"/>
    <col min="35" max="35" width="6.33203125" style="10" customWidth="1"/>
    <col min="36" max="36" width="7.33203125" style="10" customWidth="1"/>
    <col min="37" max="37" width="8" style="10" customWidth="1"/>
    <col min="38" max="38" width="7.33203125" style="10" customWidth="1"/>
    <col min="39" max="39" width="8.33203125" style="10" customWidth="1"/>
    <col min="40" max="40" width="7.33203125" style="10" customWidth="1"/>
    <col min="41" max="41" width="9" style="10" customWidth="1"/>
    <col min="42" max="52" width="7.33203125" style="10" customWidth="1"/>
    <col min="53" max="53" width="6.33203125" style="10" customWidth="1"/>
    <col min="54" max="55" width="8.796875" style="10"/>
    <col min="56" max="56" width="9.33203125" style="10" bestFit="1" customWidth="1"/>
    <col min="57" max="57" width="8.796875" style="10"/>
    <col min="58" max="58" width="15.796875" style="10" bestFit="1" customWidth="1"/>
    <col min="59" max="59" width="7.33203125" style="5" customWidth="1"/>
    <col min="60" max="60" width="7.1328125" style="5" customWidth="1"/>
    <col min="61" max="61" width="4.6640625" style="10" customWidth="1"/>
    <col min="62" max="62" width="5" style="10" customWidth="1"/>
    <col min="63" max="63" width="5.6640625" style="10" customWidth="1"/>
    <col min="64" max="64" width="4.796875" style="10" customWidth="1"/>
    <col min="65" max="66" width="5.33203125" style="10" customWidth="1"/>
    <col min="67" max="67" width="4.6640625" style="10" customWidth="1"/>
    <col min="68" max="68" width="4.796875" style="10" customWidth="1"/>
    <col min="69" max="69" width="5.33203125" style="10" customWidth="1"/>
    <col min="70" max="70" width="5.1328125" style="10" customWidth="1"/>
    <col min="71" max="71" width="6.796875" style="19" customWidth="1"/>
    <col min="72" max="72" width="7.33203125" style="2" bestFit="1" customWidth="1"/>
    <col min="73" max="79" width="9.33203125" style="2" bestFit="1" customWidth="1"/>
    <col min="80" max="80" width="11.33203125" style="2" bestFit="1" customWidth="1"/>
    <col min="81" max="88" width="9.33203125" style="2" bestFit="1" customWidth="1"/>
    <col min="89" max="16384" width="8.796875" style="2"/>
  </cols>
  <sheetData>
    <row r="1" spans="1:73" ht="20.65" x14ac:dyDescent="0.6">
      <c r="A1" s="73" t="s">
        <v>124</v>
      </c>
      <c r="B1" s="16"/>
      <c r="C1" s="16"/>
      <c r="D1" s="16"/>
      <c r="AE1" s="55"/>
      <c r="AF1" s="55"/>
      <c r="AI1" s="16"/>
      <c r="AJ1" s="16"/>
      <c r="AK1" s="16"/>
      <c r="AL1" s="16"/>
      <c r="AM1" s="16"/>
      <c r="AN1" s="16"/>
      <c r="AO1" s="16"/>
      <c r="AP1" s="16"/>
      <c r="AQ1" s="16"/>
      <c r="AR1" s="16"/>
      <c r="AS1" s="16"/>
      <c r="AT1" s="16"/>
      <c r="AU1" s="16"/>
      <c r="AV1" s="16"/>
      <c r="AW1" s="16"/>
      <c r="AX1" s="16"/>
      <c r="AY1" s="16"/>
      <c r="AZ1" s="16"/>
      <c r="BA1" s="16"/>
      <c r="BB1" s="16"/>
      <c r="BG1" s="10"/>
      <c r="BH1" s="16"/>
      <c r="BI1" s="16"/>
      <c r="BJ1" s="16"/>
      <c r="BK1" s="16"/>
      <c r="BL1" s="16"/>
      <c r="BM1" s="16"/>
      <c r="BN1" s="16"/>
      <c r="BO1" s="16"/>
      <c r="BP1" s="16"/>
      <c r="BQ1" s="16"/>
      <c r="BR1" s="16"/>
      <c r="BS1" s="17"/>
    </row>
    <row r="2" spans="1:73" ht="12.75" x14ac:dyDescent="0.35">
      <c r="A2" s="18" t="s">
        <v>40</v>
      </c>
      <c r="AH2" s="138"/>
      <c r="AK2" s="141"/>
      <c r="AQ2" s="11"/>
      <c r="BB2" s="11"/>
      <c r="BD2" s="140"/>
      <c r="BE2" s="140"/>
      <c r="BF2" s="140"/>
      <c r="BG2" s="140"/>
      <c r="BH2" s="10"/>
    </row>
    <row r="3" spans="1:73" x14ac:dyDescent="0.3">
      <c r="A3" s="18" t="s">
        <v>396</v>
      </c>
      <c r="AQ3" s="294"/>
      <c r="AR3" s="295"/>
      <c r="AS3" s="295"/>
      <c r="AT3" s="295"/>
      <c r="AU3" s="295"/>
      <c r="AV3" s="295"/>
      <c r="AW3" s="295"/>
      <c r="AX3" s="295"/>
      <c r="AY3" s="295"/>
      <c r="AZ3" s="295"/>
      <c r="BB3" s="36"/>
      <c r="BD3" s="140"/>
      <c r="BE3" s="140"/>
      <c r="BF3" s="140"/>
      <c r="BG3" s="140"/>
      <c r="BH3" s="10"/>
    </row>
    <row r="4" spans="1:73" x14ac:dyDescent="0.3">
      <c r="A4" s="18" t="s">
        <v>395</v>
      </c>
      <c r="AJ4" s="5"/>
      <c r="AK4" s="5"/>
      <c r="AL4" s="5"/>
      <c r="AM4" s="5"/>
      <c r="AN4" s="5"/>
      <c r="AO4" s="5"/>
      <c r="AP4" s="5"/>
      <c r="AQ4" s="36"/>
      <c r="AR4" s="5"/>
      <c r="AS4" s="5"/>
      <c r="AT4" s="5"/>
      <c r="AU4" s="5"/>
      <c r="AV4" s="5"/>
      <c r="AW4" s="5"/>
      <c r="AX4" s="5"/>
      <c r="AY4" s="5"/>
      <c r="AZ4" s="5"/>
      <c r="BA4" s="5"/>
      <c r="BB4" s="36"/>
      <c r="BD4" s="140"/>
      <c r="BE4" s="140"/>
      <c r="BF4" s="140"/>
      <c r="BG4" s="140"/>
      <c r="BH4" s="10"/>
    </row>
    <row r="5" spans="1:73" x14ac:dyDescent="0.3">
      <c r="A5" s="18" t="s">
        <v>394</v>
      </c>
      <c r="AQ5" s="53"/>
      <c r="BB5" s="36"/>
      <c r="BC5" s="53"/>
      <c r="BD5" s="140"/>
      <c r="BE5" s="140"/>
      <c r="BF5" s="140"/>
      <c r="BG5" s="140"/>
      <c r="BH5" s="10"/>
    </row>
    <row r="6" spans="1:73" x14ac:dyDescent="0.3">
      <c r="A6" s="18" t="s">
        <v>467</v>
      </c>
      <c r="AQ6" s="53"/>
      <c r="BB6" s="36"/>
      <c r="BD6" s="292"/>
      <c r="BE6" s="140"/>
      <c r="BF6" s="140"/>
      <c r="BG6" s="140"/>
      <c r="BH6" s="10"/>
    </row>
    <row r="7" spans="1:73" x14ac:dyDescent="0.3">
      <c r="AQ7" s="292"/>
      <c r="BB7" s="292"/>
      <c r="BD7" s="140"/>
      <c r="BE7" s="140"/>
      <c r="BF7" s="140"/>
      <c r="BG7" s="140"/>
      <c r="BH7" s="10"/>
    </row>
    <row r="8" spans="1:73" x14ac:dyDescent="0.3">
      <c r="AQ8" s="294"/>
      <c r="AR8" s="295"/>
      <c r="AS8" s="295"/>
      <c r="AT8" s="295"/>
      <c r="AU8" s="295"/>
      <c r="AV8" s="295"/>
      <c r="AW8" s="295"/>
      <c r="AX8" s="295"/>
      <c r="AY8" s="295"/>
      <c r="AZ8" s="295"/>
      <c r="BB8" s="296"/>
      <c r="BD8" s="140"/>
      <c r="BE8" s="140"/>
      <c r="BF8" s="140"/>
      <c r="BG8" s="140"/>
      <c r="BH8" s="10"/>
    </row>
    <row r="9" spans="1:73" x14ac:dyDescent="0.3">
      <c r="AQ9" s="297"/>
      <c r="AR9" s="295"/>
      <c r="AS9" s="295"/>
      <c r="AT9" s="295"/>
      <c r="AU9" s="295"/>
      <c r="AV9" s="295"/>
      <c r="AW9" s="295"/>
      <c r="AX9" s="295"/>
      <c r="AY9" s="295"/>
      <c r="AZ9" s="295"/>
      <c r="BB9" s="297"/>
      <c r="BD9" s="140"/>
      <c r="BE9" s="140"/>
      <c r="BF9" s="140"/>
      <c r="BG9" s="140"/>
      <c r="BH9" s="10"/>
    </row>
    <row r="10" spans="1:73" x14ac:dyDescent="0.3">
      <c r="AT10" s="125"/>
      <c r="AU10" s="125"/>
      <c r="BD10" s="140"/>
      <c r="BE10" s="140"/>
      <c r="BF10" s="140"/>
      <c r="BG10" s="140"/>
      <c r="BH10" s="10"/>
    </row>
    <row r="11" spans="1:73" ht="1.5" customHeight="1" x14ac:dyDescent="0.3">
      <c r="AQ11" s="125"/>
      <c r="AR11" s="125"/>
      <c r="AS11" s="125"/>
      <c r="BG11" s="10"/>
      <c r="BH11" s="10"/>
    </row>
    <row r="12" spans="1:73" ht="36.75" customHeight="1" thickBot="1" x14ac:dyDescent="0.35">
      <c r="E12" s="243">
        <v>1978</v>
      </c>
      <c r="F12" s="243">
        <f t="shared" ref="F12:V12" si="0">E12+1</f>
        <v>1979</v>
      </c>
      <c r="G12" s="243">
        <f t="shared" si="0"/>
        <v>1980</v>
      </c>
      <c r="H12" s="243">
        <f t="shared" si="0"/>
        <v>1981</v>
      </c>
      <c r="I12" s="243">
        <f t="shared" si="0"/>
        <v>1982</v>
      </c>
      <c r="J12" s="243">
        <f t="shared" si="0"/>
        <v>1983</v>
      </c>
      <c r="K12" s="243">
        <f t="shared" si="0"/>
        <v>1984</v>
      </c>
      <c r="L12" s="243">
        <f t="shared" si="0"/>
        <v>1985</v>
      </c>
      <c r="M12" s="243">
        <f t="shared" si="0"/>
        <v>1986</v>
      </c>
      <c r="N12" s="243">
        <f t="shared" si="0"/>
        <v>1987</v>
      </c>
      <c r="O12" s="243">
        <f t="shared" si="0"/>
        <v>1988</v>
      </c>
      <c r="P12" s="243">
        <f t="shared" si="0"/>
        <v>1989</v>
      </c>
      <c r="Q12" s="243">
        <f t="shared" si="0"/>
        <v>1990</v>
      </c>
      <c r="R12" s="243">
        <f t="shared" si="0"/>
        <v>1991</v>
      </c>
      <c r="S12" s="243">
        <f>R12+1</f>
        <v>1992</v>
      </c>
      <c r="T12" s="243">
        <f t="shared" si="0"/>
        <v>1993</v>
      </c>
      <c r="U12" s="243">
        <f t="shared" si="0"/>
        <v>1994</v>
      </c>
      <c r="V12" s="243">
        <f t="shared" si="0"/>
        <v>1995</v>
      </c>
      <c r="W12" s="243">
        <f>V12+1</f>
        <v>1996</v>
      </c>
      <c r="X12" s="243">
        <f>W12+1</f>
        <v>1997</v>
      </c>
      <c r="Y12" s="243">
        <v>1998</v>
      </c>
      <c r="Z12" s="243">
        <f t="shared" ref="Z12:AE12" si="1">Y12+1</f>
        <v>1999</v>
      </c>
      <c r="AA12" s="243">
        <f t="shared" si="1"/>
        <v>2000</v>
      </c>
      <c r="AB12" s="243">
        <f t="shared" si="1"/>
        <v>2001</v>
      </c>
      <c r="AC12" s="243">
        <f t="shared" si="1"/>
        <v>2002</v>
      </c>
      <c r="AD12" s="243">
        <f t="shared" si="1"/>
        <v>2003</v>
      </c>
      <c r="AE12" s="243">
        <f t="shared" si="1"/>
        <v>2004</v>
      </c>
      <c r="AF12" s="243">
        <v>2005</v>
      </c>
      <c r="AG12" s="243">
        <v>2006</v>
      </c>
      <c r="AH12" s="244">
        <v>2007</v>
      </c>
      <c r="AI12" s="244">
        <v>2008</v>
      </c>
      <c r="AJ12" s="244">
        <v>2009</v>
      </c>
      <c r="AK12" s="244" t="s">
        <v>236</v>
      </c>
      <c r="AL12" s="244">
        <v>2010</v>
      </c>
      <c r="AM12" s="245">
        <v>2011</v>
      </c>
      <c r="AN12" s="245">
        <v>2012</v>
      </c>
      <c r="AO12" s="245">
        <v>2013</v>
      </c>
      <c r="AP12" s="244">
        <v>2014</v>
      </c>
      <c r="AQ12" s="244">
        <v>2015</v>
      </c>
      <c r="AR12" s="244">
        <v>2016</v>
      </c>
      <c r="AS12" s="257">
        <v>2017</v>
      </c>
      <c r="AT12" s="298">
        <v>2018</v>
      </c>
      <c r="AU12" s="298">
        <v>2019</v>
      </c>
      <c r="AV12" s="314">
        <v>2020</v>
      </c>
      <c r="AW12" s="314">
        <v>2021</v>
      </c>
      <c r="AX12" s="314" t="s">
        <v>461</v>
      </c>
      <c r="AY12" s="314" t="s">
        <v>460</v>
      </c>
      <c r="BG12" s="20" t="s">
        <v>94</v>
      </c>
      <c r="BH12" s="20" t="s">
        <v>221</v>
      </c>
      <c r="BI12" s="20" t="s">
        <v>95</v>
      </c>
      <c r="BJ12" s="20" t="s">
        <v>96</v>
      </c>
      <c r="BK12" s="20" t="s">
        <v>97</v>
      </c>
      <c r="BL12" s="20" t="s">
        <v>98</v>
      </c>
      <c r="BM12" s="20" t="s">
        <v>99</v>
      </c>
      <c r="BN12" s="20" t="s">
        <v>35</v>
      </c>
      <c r="BO12" s="20" t="s">
        <v>36</v>
      </c>
      <c r="BP12" s="20" t="s">
        <v>37</v>
      </c>
      <c r="BQ12" s="20" t="s">
        <v>289</v>
      </c>
      <c r="BR12" s="20" t="s">
        <v>259</v>
      </c>
      <c r="BS12" s="21" t="s">
        <v>260</v>
      </c>
      <c r="BT12" s="21" t="s">
        <v>179</v>
      </c>
      <c r="BU12" s="2" t="s">
        <v>239</v>
      </c>
    </row>
    <row r="13" spans="1:73" ht="10.5" thickTop="1" x14ac:dyDescent="0.3">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G13" s="10"/>
      <c r="BH13" s="10"/>
      <c r="BN13" s="10" t="s">
        <v>229</v>
      </c>
    </row>
    <row r="14" spans="1:73" x14ac:dyDescent="0.3">
      <c r="A14" s="22" t="s">
        <v>109</v>
      </c>
      <c r="I14" s="291"/>
      <c r="AI14" s="54"/>
      <c r="AJ14" s="54"/>
      <c r="AK14" s="54"/>
      <c r="AL14" s="54"/>
      <c r="AM14" s="54"/>
      <c r="AN14" s="177"/>
      <c r="AO14" s="54"/>
      <c r="AP14" s="54"/>
      <c r="AQ14" s="54"/>
      <c r="AR14" s="54"/>
      <c r="AS14" s="54"/>
      <c r="AT14" s="54"/>
      <c r="AU14" s="54"/>
      <c r="AZ14" s="23" t="s">
        <v>109</v>
      </c>
      <c r="BD14" s="24"/>
      <c r="BG14" s="10"/>
      <c r="BH14" s="10" t="s">
        <v>280</v>
      </c>
      <c r="BI14" s="10" t="s">
        <v>363</v>
      </c>
      <c r="BJ14" s="10" t="s">
        <v>49</v>
      </c>
      <c r="BK14" s="10" t="s">
        <v>378</v>
      </c>
      <c r="BL14" s="10" t="s">
        <v>242</v>
      </c>
      <c r="BU14" s="2" t="s">
        <v>240</v>
      </c>
    </row>
    <row r="15" spans="1:73" x14ac:dyDescent="0.3">
      <c r="B15" s="10" t="s">
        <v>285</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78">
        <f>97.2+47.9+35</f>
        <v>180.1</v>
      </c>
      <c r="AO15" s="64">
        <f>92.4+45.6+33.3</f>
        <v>171.3</v>
      </c>
      <c r="AP15" s="64">
        <f>99.5+41.9+50</f>
        <v>191.4</v>
      </c>
      <c r="AQ15" s="64">
        <f>99.8+47.6+50</f>
        <v>197.4</v>
      </c>
      <c r="AR15" s="64">
        <f>105+50+53</f>
        <v>208</v>
      </c>
      <c r="AS15" s="64">
        <f>105+45.5+53</f>
        <v>203.5</v>
      </c>
      <c r="AT15" s="64">
        <f>112+58.4+53</f>
        <v>223.4</v>
      </c>
      <c r="AU15" s="64">
        <f>158+46.4+36+22.4+25</f>
        <v>287.8</v>
      </c>
      <c r="AV15" s="36">
        <f>150+49+38+16+20</f>
        <v>273</v>
      </c>
      <c r="AW15" s="36">
        <f>122.3+79+0+14.5+10</f>
        <v>225.8</v>
      </c>
      <c r="AX15" s="36">
        <f>122.3+79+0+14.5+10</f>
        <v>225.8</v>
      </c>
      <c r="AY15" s="36">
        <f>74+122</f>
        <v>196</v>
      </c>
      <c r="AZ15" s="10" t="s">
        <v>428</v>
      </c>
      <c r="BG15" s="10" t="s">
        <v>3</v>
      </c>
      <c r="BH15" s="10"/>
      <c r="BM15" s="10" t="s">
        <v>197</v>
      </c>
      <c r="BN15" s="10" t="s">
        <v>248</v>
      </c>
      <c r="BO15" s="10" t="s">
        <v>29</v>
      </c>
      <c r="BP15" s="10" t="s">
        <v>316</v>
      </c>
      <c r="BQ15" s="10" t="s">
        <v>193</v>
      </c>
      <c r="BR15" s="10" t="s">
        <v>193</v>
      </c>
      <c r="BS15" s="19" t="s">
        <v>193</v>
      </c>
    </row>
    <row r="16" spans="1:73" x14ac:dyDescent="0.3">
      <c r="B16" s="10" t="s">
        <v>290</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5">
        <v>0</v>
      </c>
      <c r="AO16" s="114">
        <v>0</v>
      </c>
      <c r="AP16" s="114">
        <v>0</v>
      </c>
      <c r="AQ16" s="114">
        <v>0</v>
      </c>
      <c r="AR16" s="114">
        <v>0</v>
      </c>
      <c r="AS16" s="114">
        <v>0</v>
      </c>
      <c r="AT16" s="114">
        <v>0</v>
      </c>
      <c r="AU16" s="114">
        <v>0</v>
      </c>
      <c r="AV16" s="140">
        <v>0</v>
      </c>
      <c r="AW16" s="140">
        <v>0</v>
      </c>
      <c r="AX16" s="140">
        <v>0</v>
      </c>
      <c r="AY16" s="140">
        <v>0</v>
      </c>
      <c r="AZ16" s="10" t="s">
        <v>290</v>
      </c>
      <c r="BG16" s="10"/>
      <c r="BH16" s="10"/>
      <c r="BQ16" s="10" t="s">
        <v>193</v>
      </c>
      <c r="BR16" s="10" t="s">
        <v>193</v>
      </c>
      <c r="BS16" s="19" t="s">
        <v>193</v>
      </c>
    </row>
    <row r="17" spans="2:71" x14ac:dyDescent="0.3">
      <c r="B17" s="10" t="s">
        <v>272</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79">
        <f>67+112.2</f>
        <v>179.2</v>
      </c>
      <c r="AO17" s="70">
        <f>63.7+116.7</f>
        <v>180.4</v>
      </c>
      <c r="AP17" s="70">
        <f>92+108.8</f>
        <v>200.8</v>
      </c>
      <c r="AQ17" s="70">
        <f>85.3+97+9.7</f>
        <v>192</v>
      </c>
      <c r="AR17" s="70">
        <f>101+106+15</f>
        <v>222</v>
      </c>
      <c r="AS17" s="70">
        <f>101+95.3+24</f>
        <v>220.3</v>
      </c>
      <c r="AT17" s="70">
        <f>100.7+98.1</f>
        <v>198.8</v>
      </c>
      <c r="AU17" s="70">
        <f>198.8</f>
        <v>198.8</v>
      </c>
      <c r="AV17" s="53">
        <f>217.8</f>
        <v>217.8</v>
      </c>
      <c r="AW17" s="53">
        <f>23+86.3</f>
        <v>109.3</v>
      </c>
      <c r="AX17" s="53">
        <f>23+86.3</f>
        <v>109.3</v>
      </c>
      <c r="AY17" s="53">
        <f>50+162.9</f>
        <v>212.9</v>
      </c>
      <c r="AZ17" s="10" t="s">
        <v>427</v>
      </c>
      <c r="BG17" s="10"/>
      <c r="BH17" s="10"/>
    </row>
    <row r="18" spans="2:71" x14ac:dyDescent="0.3">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5">
        <v>0</v>
      </c>
      <c r="AO18" s="114">
        <v>4.5999999999999996</v>
      </c>
      <c r="AP18" s="114">
        <v>15</v>
      </c>
      <c r="AQ18" s="114">
        <v>4.4000000000000004</v>
      </c>
      <c r="AR18" s="114">
        <v>20.3</v>
      </c>
      <c r="AS18" s="114">
        <v>21</v>
      </c>
      <c r="AT18" s="114">
        <v>40</v>
      </c>
      <c r="AU18" s="114">
        <v>46</v>
      </c>
      <c r="AV18" s="140">
        <v>46</v>
      </c>
      <c r="AW18" s="140">
        <v>46</v>
      </c>
      <c r="AX18" s="140">
        <v>46</v>
      </c>
      <c r="AY18" s="140">
        <v>0</v>
      </c>
      <c r="AZ18" s="10" t="s">
        <v>402</v>
      </c>
      <c r="BG18" s="10" t="s">
        <v>4</v>
      </c>
      <c r="BH18" s="10"/>
      <c r="BO18" s="10" t="s">
        <v>371</v>
      </c>
      <c r="BP18" s="10" t="s">
        <v>323</v>
      </c>
      <c r="BQ18" s="10" t="s">
        <v>193</v>
      </c>
      <c r="BR18" s="10" t="s">
        <v>193</v>
      </c>
      <c r="BS18" s="19" t="s">
        <v>193</v>
      </c>
    </row>
    <row r="19" spans="2:71" x14ac:dyDescent="0.3">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79">
        <f>14.6+4.9</f>
        <v>19.5</v>
      </c>
      <c r="AO19" s="70">
        <f>13.9</f>
        <v>13.9</v>
      </c>
      <c r="AP19" s="70">
        <f>20.6</f>
        <v>20.6</v>
      </c>
      <c r="AQ19" s="70">
        <v>24.3</v>
      </c>
      <c r="AR19" s="70">
        <v>43</v>
      </c>
      <c r="AS19" s="70">
        <v>43</v>
      </c>
      <c r="AT19" s="70">
        <v>50</v>
      </c>
      <c r="AU19" s="70">
        <v>51</v>
      </c>
      <c r="AV19" s="53">
        <v>51</v>
      </c>
      <c r="AW19" s="53">
        <f>44.5+20</f>
        <v>64.5</v>
      </c>
      <c r="AX19" s="53">
        <f>44.5+20</f>
        <v>64.5</v>
      </c>
      <c r="AY19" s="53">
        <f>13+100+26</f>
        <v>139</v>
      </c>
      <c r="AZ19" s="10" t="s">
        <v>462</v>
      </c>
      <c r="BG19" s="26"/>
      <c r="BH19" s="10"/>
      <c r="BO19" s="10" t="s">
        <v>32</v>
      </c>
      <c r="BP19" s="10" t="s">
        <v>329</v>
      </c>
      <c r="BQ19" s="10" t="s">
        <v>193</v>
      </c>
      <c r="BR19" s="10" t="s">
        <v>193</v>
      </c>
      <c r="BS19" s="19" t="s">
        <v>193</v>
      </c>
    </row>
    <row r="20" spans="2:71" x14ac:dyDescent="0.3">
      <c r="B20" s="10" t="s">
        <v>292</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79"/>
      <c r="AO20" s="70"/>
      <c r="AP20" s="70"/>
      <c r="AQ20" s="70"/>
      <c r="AR20" s="70"/>
      <c r="AS20" s="70"/>
      <c r="AT20" s="70"/>
      <c r="AU20" s="70"/>
      <c r="AV20" s="53"/>
      <c r="AW20" s="53"/>
      <c r="AX20" s="53"/>
      <c r="AY20" s="53"/>
      <c r="AZ20" s="10" t="s">
        <v>381</v>
      </c>
      <c r="BG20" s="26"/>
      <c r="BH20" s="10"/>
      <c r="BO20" s="10" t="s">
        <v>33</v>
      </c>
      <c r="BP20" s="10" t="s">
        <v>330</v>
      </c>
      <c r="BQ20" s="10" t="s">
        <v>193</v>
      </c>
      <c r="BR20" s="10" t="s">
        <v>193</v>
      </c>
      <c r="BS20" s="19" t="s">
        <v>193</v>
      </c>
    </row>
    <row r="21" spans="2:71" x14ac:dyDescent="0.3">
      <c r="V21" s="57"/>
      <c r="AF21" s="55"/>
      <c r="AG21" s="55"/>
      <c r="AH21" s="55"/>
      <c r="AI21" s="54"/>
      <c r="AJ21" s="70"/>
      <c r="AK21" s="70"/>
      <c r="AL21" s="70"/>
      <c r="AM21" s="70"/>
      <c r="AN21" s="179"/>
      <c r="AO21" s="70"/>
      <c r="AP21" s="70"/>
      <c r="AQ21" s="70"/>
      <c r="AR21" s="70"/>
      <c r="AS21" s="70"/>
      <c r="AT21" s="70"/>
      <c r="AU21" s="70"/>
      <c r="AV21" s="53"/>
      <c r="AW21" s="53">
        <v>53</v>
      </c>
      <c r="AX21" s="53">
        <v>53</v>
      </c>
      <c r="AY21" s="53">
        <v>44</v>
      </c>
      <c r="AZ21" s="10" t="s">
        <v>435</v>
      </c>
      <c r="BG21" s="26"/>
      <c r="BH21" s="10"/>
    </row>
    <row r="22" spans="2:71" x14ac:dyDescent="0.3">
      <c r="V22" s="57"/>
      <c r="AF22" s="55"/>
      <c r="AG22" s="55"/>
      <c r="AH22" s="55"/>
      <c r="AI22" s="54"/>
      <c r="AJ22" s="70"/>
      <c r="AK22" s="70"/>
      <c r="AL22" s="70"/>
      <c r="AM22" s="70"/>
      <c r="AN22" s="179"/>
      <c r="AO22" s="70"/>
      <c r="AP22" s="70"/>
      <c r="AQ22" s="70"/>
      <c r="AR22" s="70"/>
      <c r="AS22" s="70"/>
      <c r="AT22" s="70"/>
      <c r="AU22" s="70"/>
      <c r="AV22" s="53"/>
      <c r="AW22" s="53">
        <v>40</v>
      </c>
      <c r="AX22" s="53">
        <v>40</v>
      </c>
      <c r="AY22" s="53">
        <v>65</v>
      </c>
      <c r="AZ22" s="10" t="s">
        <v>436</v>
      </c>
      <c r="BG22" s="26"/>
      <c r="BH22" s="10"/>
    </row>
    <row r="23" spans="2:71" x14ac:dyDescent="0.3">
      <c r="V23" s="57"/>
      <c r="AF23" s="55"/>
      <c r="AG23" s="55"/>
      <c r="AH23" s="55"/>
      <c r="AI23" s="54"/>
      <c r="AJ23" s="70"/>
      <c r="AK23" s="70"/>
      <c r="AL23" s="70"/>
      <c r="AM23" s="70"/>
      <c r="AN23" s="179"/>
      <c r="AO23" s="70"/>
      <c r="AP23" s="70"/>
      <c r="AQ23" s="70"/>
      <c r="AR23" s="70"/>
      <c r="AS23" s="70"/>
      <c r="AT23" s="70"/>
      <c r="AU23" s="70"/>
      <c r="AV23" s="53"/>
      <c r="AW23" s="53"/>
      <c r="AX23" s="53"/>
      <c r="AY23" s="53"/>
      <c r="AZ23" s="10" t="s">
        <v>437</v>
      </c>
      <c r="BG23" s="26"/>
      <c r="BH23" s="10"/>
    </row>
    <row r="24" spans="2:71" x14ac:dyDescent="0.3">
      <c r="B24" s="10" t="s">
        <v>58</v>
      </c>
      <c r="E24" s="54">
        <v>0</v>
      </c>
      <c r="F24" s="54">
        <v>0</v>
      </c>
      <c r="G24" s="54">
        <v>0</v>
      </c>
      <c r="H24" s="54">
        <v>0</v>
      </c>
      <c r="I24" s="54">
        <v>13.8</v>
      </c>
      <c r="J24" s="54">
        <v>39</v>
      </c>
      <c r="K24" s="54">
        <v>45.9</v>
      </c>
      <c r="L24" s="54">
        <v>46.2</v>
      </c>
      <c r="M24" s="54">
        <v>50.1</v>
      </c>
      <c r="N24" s="54">
        <v>58.6</v>
      </c>
      <c r="O24" s="54">
        <v>59</v>
      </c>
      <c r="P24" s="54">
        <v>64.3</v>
      </c>
      <c r="Q24" s="54">
        <v>64.3</v>
      </c>
      <c r="R24" s="54">
        <v>65.099999999999994</v>
      </c>
      <c r="S24" s="54">
        <v>58.9</v>
      </c>
      <c r="T24" s="54">
        <v>70.7</v>
      </c>
      <c r="U24" s="55">
        <v>73.900000000000006</v>
      </c>
      <c r="V24" s="55">
        <v>72.7</v>
      </c>
      <c r="W24" s="54">
        <v>66.900000000000006</v>
      </c>
      <c r="X24" s="55">
        <v>68.7</v>
      </c>
      <c r="Y24" s="54">
        <v>66.8</v>
      </c>
      <c r="Z24" s="54">
        <v>69.48</v>
      </c>
      <c r="AA24" s="56">
        <v>75.5</v>
      </c>
      <c r="AB24" s="54">
        <v>80.099999999999994</v>
      </c>
      <c r="AC24" s="54">
        <v>86</v>
      </c>
      <c r="AD24" s="55">
        <v>87.2</v>
      </c>
      <c r="AE24" s="54">
        <v>106</v>
      </c>
      <c r="AF24" s="54">
        <v>105.6</v>
      </c>
      <c r="AG24" s="54">
        <v>105.9</v>
      </c>
      <c r="AH24" s="54">
        <v>129.80000000000001</v>
      </c>
      <c r="AI24" s="54">
        <v>148.6</v>
      </c>
      <c r="AJ24" s="70">
        <v>152</v>
      </c>
      <c r="AK24" s="70">
        <v>10</v>
      </c>
      <c r="AL24" s="70">
        <v>158</v>
      </c>
      <c r="AM24" s="70">
        <f>164.7</f>
        <v>164.7</v>
      </c>
      <c r="AN24" s="179">
        <v>120</v>
      </c>
      <c r="AO24" s="70">
        <v>114.2</v>
      </c>
      <c r="AP24" s="70">
        <v>120</v>
      </c>
      <c r="AQ24" s="70">
        <v>119</v>
      </c>
      <c r="AR24" s="70">
        <v>114.2</v>
      </c>
      <c r="AS24" s="70">
        <v>60</v>
      </c>
      <c r="AT24" s="70">
        <v>60</v>
      </c>
      <c r="AU24" s="70">
        <v>61.1</v>
      </c>
      <c r="AV24" s="53">
        <v>59.1</v>
      </c>
      <c r="AW24" s="53">
        <v>61.5</v>
      </c>
      <c r="AX24" s="53">
        <v>61.5</v>
      </c>
      <c r="AY24" s="53">
        <v>70.3</v>
      </c>
      <c r="AZ24" s="10" t="s">
        <v>58</v>
      </c>
      <c r="BH24" s="10"/>
      <c r="BO24" s="10" t="s">
        <v>34</v>
      </c>
      <c r="BP24" s="10" t="s">
        <v>308</v>
      </c>
      <c r="BQ24" s="10" t="s">
        <v>193</v>
      </c>
      <c r="BR24" s="10" t="s">
        <v>193</v>
      </c>
      <c r="BS24" s="19" t="s">
        <v>193</v>
      </c>
    </row>
    <row r="25" spans="2:71" x14ac:dyDescent="0.3">
      <c r="B25" s="10" t="s">
        <v>59</v>
      </c>
      <c r="E25" s="54">
        <v>0</v>
      </c>
      <c r="F25" s="54">
        <v>0</v>
      </c>
      <c r="G25" s="54">
        <v>0</v>
      </c>
      <c r="H25" s="54">
        <v>0</v>
      </c>
      <c r="I25" s="54">
        <v>0</v>
      </c>
      <c r="J25" s="54">
        <v>0</v>
      </c>
      <c r="K25" s="54">
        <v>0.15</v>
      </c>
      <c r="L25" s="54">
        <v>9.3000000000000007</v>
      </c>
      <c r="M25" s="54">
        <v>6.2</v>
      </c>
      <c r="N25" s="54">
        <v>3.4</v>
      </c>
      <c r="O25" s="54">
        <v>18.2</v>
      </c>
      <c r="P25" s="54">
        <v>21.8</v>
      </c>
      <c r="Q25" s="54">
        <v>12</v>
      </c>
      <c r="R25" s="54">
        <v>15.8</v>
      </c>
      <c r="S25" s="54">
        <v>10.4</v>
      </c>
      <c r="T25" s="54">
        <v>4.5</v>
      </c>
      <c r="U25" s="55">
        <v>3.8</v>
      </c>
      <c r="V25" s="55">
        <v>5</v>
      </c>
      <c r="W25" s="54">
        <v>4</v>
      </c>
      <c r="X25" s="55">
        <v>2</v>
      </c>
      <c r="Y25" s="54">
        <v>2.5</v>
      </c>
      <c r="Z25" s="54">
        <v>2.6</v>
      </c>
      <c r="AA25" s="56">
        <v>2.6</v>
      </c>
      <c r="AB25" s="54">
        <v>3.9</v>
      </c>
      <c r="AC25" s="54">
        <v>13.5</v>
      </c>
      <c r="AD25" s="55">
        <v>6.95</v>
      </c>
      <c r="AE25" s="54">
        <v>6.9</v>
      </c>
      <c r="AF25" s="54">
        <v>6.9</v>
      </c>
      <c r="AG25" s="54">
        <v>19.8</v>
      </c>
      <c r="AH25" s="54">
        <v>12</v>
      </c>
      <c r="AI25" s="54">
        <v>12.9</v>
      </c>
      <c r="AJ25" s="70">
        <v>18</v>
      </c>
      <c r="AK25" s="70"/>
      <c r="AL25" s="70">
        <v>20</v>
      </c>
      <c r="AM25" s="70">
        <v>20</v>
      </c>
      <c r="AN25" s="179">
        <v>16.8</v>
      </c>
      <c r="AO25" s="70">
        <v>16</v>
      </c>
      <c r="AP25" s="70">
        <v>16</v>
      </c>
      <c r="AQ25" s="70">
        <v>15.8</v>
      </c>
      <c r="AR25" s="70">
        <v>15.8</v>
      </c>
      <c r="AS25" s="70">
        <v>40.5</v>
      </c>
      <c r="AT25" s="70">
        <v>45</v>
      </c>
      <c r="AU25" s="70">
        <v>45</v>
      </c>
      <c r="AV25" s="53">
        <v>50</v>
      </c>
      <c r="AW25" s="53">
        <v>55</v>
      </c>
      <c r="AX25" s="53">
        <v>55</v>
      </c>
      <c r="AY25" s="53">
        <v>55</v>
      </c>
      <c r="AZ25" s="5" t="s">
        <v>412</v>
      </c>
      <c r="BH25" s="10"/>
      <c r="BO25" s="10" t="s">
        <v>374</v>
      </c>
      <c r="BP25" s="10" t="s">
        <v>309</v>
      </c>
      <c r="BQ25" s="10" t="s">
        <v>193</v>
      </c>
      <c r="BR25" s="10" t="s">
        <v>193</v>
      </c>
      <c r="BS25" s="19" t="s">
        <v>193</v>
      </c>
    </row>
    <row r="26" spans="2:71" x14ac:dyDescent="0.3">
      <c r="B26" s="10" t="s">
        <v>174</v>
      </c>
      <c r="X26" s="55">
        <v>5</v>
      </c>
      <c r="Y26" s="54">
        <v>5</v>
      </c>
      <c r="Z26" s="54">
        <v>5</v>
      </c>
      <c r="AA26" s="56">
        <v>5</v>
      </c>
      <c r="AB26" s="54">
        <v>5.2</v>
      </c>
      <c r="AC26" s="54">
        <v>5.2</v>
      </c>
      <c r="AD26" s="55">
        <v>6</v>
      </c>
      <c r="AE26" s="54">
        <v>9.9</v>
      </c>
      <c r="AF26" s="54">
        <v>9.9</v>
      </c>
      <c r="AG26" s="54">
        <v>8</v>
      </c>
      <c r="AH26" s="54">
        <v>0</v>
      </c>
      <c r="AI26" s="54">
        <v>0</v>
      </c>
      <c r="AJ26" s="70">
        <v>0</v>
      </c>
      <c r="AK26" s="70"/>
      <c r="AL26" s="114"/>
      <c r="AM26" s="114"/>
      <c r="AN26" s="235"/>
      <c r="AO26" s="114"/>
      <c r="AP26" s="114"/>
      <c r="AQ26" s="114"/>
      <c r="AR26" s="114"/>
      <c r="AS26" s="114"/>
      <c r="AT26" s="114"/>
      <c r="AU26" s="114"/>
      <c r="AV26" s="140"/>
      <c r="AW26" s="140"/>
      <c r="AX26" s="140"/>
      <c r="AY26" s="140"/>
      <c r="AZ26" s="10" t="s">
        <v>174</v>
      </c>
      <c r="BH26" s="10"/>
      <c r="BO26" s="10" t="s">
        <v>301</v>
      </c>
      <c r="BP26" s="10" t="s">
        <v>310</v>
      </c>
      <c r="BQ26" s="10" t="s">
        <v>193</v>
      </c>
      <c r="BR26" s="10" t="s">
        <v>193</v>
      </c>
      <c r="BS26" s="19" t="s">
        <v>193</v>
      </c>
    </row>
    <row r="27" spans="2:71" x14ac:dyDescent="0.3">
      <c r="B27" s="10" t="s">
        <v>60</v>
      </c>
      <c r="E27" s="54">
        <v>0</v>
      </c>
      <c r="F27" s="54">
        <v>0</v>
      </c>
      <c r="G27" s="54">
        <v>0</v>
      </c>
      <c r="H27" s="54">
        <v>0</v>
      </c>
      <c r="I27" s="54">
        <v>0</v>
      </c>
      <c r="J27" s="54">
        <v>0</v>
      </c>
      <c r="K27" s="54">
        <v>0</v>
      </c>
      <c r="L27" s="54">
        <v>0</v>
      </c>
      <c r="M27" s="54">
        <v>0</v>
      </c>
      <c r="N27" s="54">
        <v>0</v>
      </c>
      <c r="O27" s="54">
        <v>0</v>
      </c>
      <c r="P27" s="54">
        <v>0</v>
      </c>
      <c r="Q27" s="54">
        <v>4.5999999999999996</v>
      </c>
      <c r="R27" s="54">
        <v>11.9</v>
      </c>
      <c r="S27" s="54">
        <v>10.7</v>
      </c>
      <c r="T27" s="54">
        <v>9.9</v>
      </c>
      <c r="U27" s="55">
        <v>9.6</v>
      </c>
      <c r="V27" s="55">
        <v>8.9</v>
      </c>
      <c r="W27" s="54">
        <v>6.2</v>
      </c>
      <c r="X27" s="55">
        <v>5.4</v>
      </c>
      <c r="Y27" s="54">
        <v>5.7</v>
      </c>
      <c r="Z27" s="54">
        <v>6.7</v>
      </c>
      <c r="AA27" s="56">
        <v>7.2</v>
      </c>
      <c r="AB27" s="54">
        <v>7.9</v>
      </c>
      <c r="AC27" s="54">
        <v>8</v>
      </c>
      <c r="AD27" s="55">
        <v>8</v>
      </c>
      <c r="AE27" s="54">
        <v>8.1</v>
      </c>
      <c r="AF27" s="54">
        <v>8.1</v>
      </c>
      <c r="AG27" s="54">
        <v>5.8</v>
      </c>
      <c r="AH27" s="54">
        <v>0</v>
      </c>
      <c r="AI27" s="54">
        <v>4.8</v>
      </c>
      <c r="AJ27" s="70">
        <v>4.9000000000000004</v>
      </c>
      <c r="AK27" s="70"/>
      <c r="AL27" s="114">
        <v>5</v>
      </c>
      <c r="AM27" s="114">
        <v>0</v>
      </c>
      <c r="AN27" s="235"/>
      <c r="AO27" s="114"/>
      <c r="AP27" s="114"/>
      <c r="AQ27" s="114"/>
      <c r="AR27" s="114"/>
      <c r="AS27" s="114"/>
      <c r="AT27" s="114"/>
      <c r="AU27" s="114"/>
      <c r="AV27" s="140"/>
      <c r="AW27" s="140"/>
      <c r="AX27" s="140"/>
      <c r="AY27" s="140"/>
      <c r="AZ27" s="10" t="s">
        <v>60</v>
      </c>
      <c r="BH27" s="10"/>
      <c r="BO27" s="10" t="s">
        <v>302</v>
      </c>
      <c r="BP27" s="10" t="s">
        <v>311</v>
      </c>
      <c r="BQ27" s="10" t="s">
        <v>193</v>
      </c>
      <c r="BR27" s="10" t="s">
        <v>193</v>
      </c>
      <c r="BS27" s="19" t="s">
        <v>193</v>
      </c>
    </row>
    <row r="28" spans="2:71" x14ac:dyDescent="0.3">
      <c r="B28" s="10" t="s">
        <v>61</v>
      </c>
      <c r="E28" s="54">
        <v>0</v>
      </c>
      <c r="F28" s="54">
        <v>0</v>
      </c>
      <c r="G28" s="54">
        <v>0</v>
      </c>
      <c r="H28" s="54">
        <v>0</v>
      </c>
      <c r="I28" s="54">
        <v>0</v>
      </c>
      <c r="J28" s="54">
        <v>0</v>
      </c>
      <c r="K28" s="54">
        <v>0</v>
      </c>
      <c r="L28" s="54">
        <v>1.4</v>
      </c>
      <c r="M28" s="54">
        <v>0.5</v>
      </c>
      <c r="N28" s="54">
        <v>0.2</v>
      </c>
      <c r="O28" s="54">
        <v>0.2</v>
      </c>
      <c r="P28" s="54">
        <v>0.2</v>
      </c>
      <c r="Q28" s="54">
        <v>0.2</v>
      </c>
      <c r="R28" s="54">
        <v>0.3</v>
      </c>
      <c r="S28" s="54">
        <v>0.2</v>
      </c>
      <c r="T28" s="54">
        <v>0</v>
      </c>
      <c r="U28" s="55">
        <v>0</v>
      </c>
      <c r="V28" s="55">
        <v>0</v>
      </c>
      <c r="X28" s="55">
        <v>0</v>
      </c>
      <c r="AI28" s="54"/>
      <c r="AJ28" s="70"/>
      <c r="AK28" s="70"/>
      <c r="AL28" s="114"/>
      <c r="AM28" s="114"/>
      <c r="AN28" s="235"/>
      <c r="AO28" s="114"/>
      <c r="AP28" s="114"/>
      <c r="AQ28" s="114"/>
      <c r="AR28" s="114"/>
      <c r="AS28" s="114"/>
      <c r="AT28" s="114"/>
      <c r="AU28" s="114"/>
      <c r="AV28" s="140"/>
      <c r="AW28" s="140"/>
      <c r="AX28" s="140"/>
      <c r="AY28" s="140"/>
      <c r="AZ28" s="10" t="s">
        <v>61</v>
      </c>
    </row>
    <row r="29" spans="2:71" x14ac:dyDescent="0.3">
      <c r="B29" s="10" t="s">
        <v>62</v>
      </c>
      <c r="E29" s="54">
        <v>0</v>
      </c>
      <c r="F29" s="54">
        <v>0</v>
      </c>
      <c r="G29" s="54">
        <v>0</v>
      </c>
      <c r="H29" s="54">
        <v>2.8</v>
      </c>
      <c r="I29" s="54">
        <v>0</v>
      </c>
      <c r="J29" s="54">
        <v>0</v>
      </c>
      <c r="K29" s="54">
        <v>0</v>
      </c>
      <c r="L29" s="54">
        <v>0</v>
      </c>
      <c r="M29" s="54">
        <v>0</v>
      </c>
      <c r="N29" s="54">
        <v>0</v>
      </c>
      <c r="O29" s="54">
        <v>0</v>
      </c>
      <c r="P29" s="54">
        <v>0</v>
      </c>
      <c r="Q29" s="54">
        <v>0</v>
      </c>
      <c r="R29" s="54">
        <v>0</v>
      </c>
      <c r="S29" s="54">
        <v>0</v>
      </c>
      <c r="T29" s="54">
        <v>0</v>
      </c>
      <c r="U29" s="55">
        <v>0</v>
      </c>
      <c r="V29" s="55">
        <v>0</v>
      </c>
      <c r="X29" s="55">
        <v>0</v>
      </c>
      <c r="AI29" s="54"/>
      <c r="AJ29" s="70"/>
      <c r="AK29" s="70"/>
      <c r="AL29" s="114"/>
      <c r="AM29" s="114"/>
      <c r="AN29" s="235"/>
      <c r="AO29" s="114"/>
      <c r="AP29" s="114"/>
      <c r="AQ29" s="114"/>
      <c r="AR29" s="114"/>
      <c r="AS29" s="114"/>
      <c r="AT29" s="114"/>
      <c r="AU29" s="114"/>
      <c r="AV29" s="140"/>
      <c r="AW29" s="140"/>
      <c r="AX29" s="140"/>
      <c r="AY29" s="140"/>
      <c r="AZ29" s="10" t="s">
        <v>62</v>
      </c>
    </row>
    <row r="30" spans="2:71" x14ac:dyDescent="0.3">
      <c r="B30" s="10" t="s">
        <v>168</v>
      </c>
      <c r="AC30" s="54">
        <v>6</v>
      </c>
      <c r="AD30" s="55">
        <v>2.4</v>
      </c>
      <c r="AI30" s="54"/>
      <c r="AJ30" s="70"/>
      <c r="AK30" s="70"/>
      <c r="AL30" s="114"/>
      <c r="AM30" s="114"/>
      <c r="AN30" s="235"/>
      <c r="AO30" s="114"/>
      <c r="AP30" s="114"/>
      <c r="AQ30" s="114"/>
      <c r="AR30" s="114"/>
      <c r="AS30" s="114"/>
      <c r="AT30" s="114"/>
      <c r="AU30" s="114"/>
      <c r="AV30" s="140"/>
      <c r="AW30" s="140"/>
      <c r="AX30" s="140"/>
      <c r="AY30" s="140"/>
      <c r="AZ30" s="10" t="s">
        <v>168</v>
      </c>
      <c r="BO30" s="10" t="s">
        <v>303</v>
      </c>
      <c r="BP30" s="10" t="s">
        <v>312</v>
      </c>
    </row>
    <row r="31" spans="2:71" x14ac:dyDescent="0.3">
      <c r="B31" s="10" t="s">
        <v>165</v>
      </c>
      <c r="AA31" s="56">
        <v>13.1</v>
      </c>
      <c r="AI31" s="54"/>
      <c r="AJ31" s="70"/>
      <c r="AK31" s="70"/>
      <c r="AL31" s="114"/>
      <c r="AM31" s="114"/>
      <c r="AN31" s="235"/>
      <c r="AO31" s="114"/>
      <c r="AP31" s="114"/>
      <c r="AQ31" s="114"/>
      <c r="AR31" s="114"/>
      <c r="AS31" s="114"/>
      <c r="AT31" s="114"/>
      <c r="AU31" s="114"/>
      <c r="AV31" s="140"/>
      <c r="AW31" s="140"/>
      <c r="AX31" s="140"/>
      <c r="AY31" s="140"/>
      <c r="AZ31" s="10" t="s">
        <v>165</v>
      </c>
    </row>
    <row r="32" spans="2:71" x14ac:dyDescent="0.3">
      <c r="B32" s="10" t="s">
        <v>253</v>
      </c>
      <c r="AH32" s="55"/>
      <c r="AI32" s="55">
        <v>46.8</v>
      </c>
      <c r="AJ32" s="55">
        <v>42.6</v>
      </c>
      <c r="AK32" s="70">
        <v>0</v>
      </c>
      <c r="AL32" s="114">
        <v>35.9</v>
      </c>
      <c r="AM32" s="114"/>
      <c r="AN32" s="235"/>
      <c r="AO32" s="114"/>
      <c r="AP32" s="114"/>
      <c r="AQ32" s="114"/>
      <c r="AR32" s="114"/>
      <c r="AS32" s="114"/>
      <c r="AT32" s="114"/>
      <c r="AU32" s="114"/>
      <c r="AV32" s="140"/>
      <c r="AW32" s="140"/>
      <c r="AX32" s="140"/>
      <c r="AY32" s="140"/>
      <c r="AZ32" s="10" t="s">
        <v>253</v>
      </c>
    </row>
    <row r="33" spans="1:71" x14ac:dyDescent="0.3">
      <c r="B33" s="10" t="s">
        <v>63</v>
      </c>
      <c r="E33" s="54">
        <v>0</v>
      </c>
      <c r="F33" s="54">
        <v>-78</v>
      </c>
      <c r="G33" s="54">
        <v>-12</v>
      </c>
      <c r="H33" s="54">
        <v>173</v>
      </c>
      <c r="I33" s="54">
        <v>-149.1</v>
      </c>
      <c r="J33" s="54">
        <v>-93.8</v>
      </c>
      <c r="K33" s="54">
        <v>-69.400000000000006</v>
      </c>
      <c r="L33" s="54">
        <v>-60.4</v>
      </c>
      <c r="M33" s="54">
        <v>-31.1</v>
      </c>
      <c r="N33" s="54">
        <v>-6</v>
      </c>
      <c r="O33" s="54">
        <v>-27</v>
      </c>
      <c r="P33" s="54">
        <v>-1</v>
      </c>
      <c r="Q33" s="54">
        <v>-1.6</v>
      </c>
      <c r="R33" s="54">
        <v>-6.7</v>
      </c>
      <c r="S33" s="54">
        <v>-10.9</v>
      </c>
      <c r="T33" s="54">
        <v>-13.8</v>
      </c>
      <c r="U33" s="55">
        <v>-12.2</v>
      </c>
      <c r="V33" s="55">
        <v>-16.899999999999999</v>
      </c>
      <c r="W33" s="54">
        <v>-7.6</v>
      </c>
      <c r="X33" s="55">
        <v>-1.1000000000000001</v>
      </c>
      <c r="Y33" s="54">
        <v>-0.06</v>
      </c>
      <c r="Z33" s="54">
        <v>-0.7</v>
      </c>
      <c r="AA33" s="56">
        <v>0</v>
      </c>
      <c r="AB33" s="54">
        <f>-4.4-95</f>
        <v>-99.4</v>
      </c>
      <c r="AC33" s="54">
        <f>-9.45-33.7</f>
        <v>-43.150000000000006</v>
      </c>
      <c r="AD33" s="55">
        <v>0</v>
      </c>
      <c r="AE33" s="54">
        <v>0</v>
      </c>
      <c r="AF33" s="54">
        <v>-1.1000000000000001</v>
      </c>
      <c r="AG33" s="54">
        <v>0</v>
      </c>
      <c r="AH33" s="55">
        <v>0</v>
      </c>
      <c r="AI33" s="55">
        <v>0</v>
      </c>
      <c r="AJ33" s="55">
        <v>-70.3</v>
      </c>
      <c r="AK33" s="114">
        <v>0</v>
      </c>
      <c r="AL33" s="114">
        <v>0</v>
      </c>
      <c r="AM33" s="114">
        <v>-151</v>
      </c>
      <c r="AN33" s="235">
        <v>-187</v>
      </c>
      <c r="AO33" s="114">
        <v>0</v>
      </c>
      <c r="AP33" s="114">
        <v>-8.5</v>
      </c>
      <c r="AQ33" s="114">
        <v>-10.4</v>
      </c>
      <c r="AR33" s="114">
        <v>0</v>
      </c>
      <c r="AS33" s="114">
        <v>-14</v>
      </c>
      <c r="AT33" s="114">
        <v>0</v>
      </c>
      <c r="AU33" s="114">
        <v>0</v>
      </c>
      <c r="AV33" s="140">
        <v>0</v>
      </c>
      <c r="AW33" s="140">
        <v>0</v>
      </c>
      <c r="AX33" s="140">
        <v>0</v>
      </c>
      <c r="AY33" s="140">
        <v>0</v>
      </c>
      <c r="AZ33" s="10" t="s">
        <v>63</v>
      </c>
      <c r="BH33" s="10"/>
      <c r="BM33" s="10" t="s">
        <v>198</v>
      </c>
      <c r="BO33" s="10" t="s">
        <v>273</v>
      </c>
      <c r="BP33" s="10" t="s">
        <v>293</v>
      </c>
    </row>
    <row r="34" spans="1:71" x14ac:dyDescent="0.3">
      <c r="A34" s="27"/>
      <c r="B34" s="5"/>
      <c r="C34" s="5"/>
      <c r="D34" s="5"/>
      <c r="E34" s="55"/>
      <c r="F34" s="55"/>
      <c r="G34" s="55"/>
      <c r="H34" s="55"/>
      <c r="I34" s="55"/>
      <c r="J34" s="55"/>
      <c r="K34" s="55"/>
      <c r="L34" s="55"/>
      <c r="M34" s="55"/>
      <c r="N34" s="55"/>
      <c r="O34" s="55"/>
      <c r="P34" s="55"/>
      <c r="Q34" s="55"/>
      <c r="R34" s="55"/>
      <c r="S34" s="55"/>
      <c r="T34" s="55"/>
      <c r="W34" s="55"/>
      <c r="Y34" s="55"/>
      <c r="Z34" s="55"/>
      <c r="AA34" s="55"/>
      <c r="AB34" s="55"/>
      <c r="AC34" s="55"/>
      <c r="AI34" s="54"/>
      <c r="AJ34" s="54"/>
      <c r="AK34" s="70"/>
      <c r="AL34" s="70"/>
      <c r="AM34" s="70"/>
      <c r="AN34" s="179"/>
      <c r="AO34" s="70"/>
      <c r="AP34" s="70"/>
      <c r="AQ34" s="70"/>
      <c r="AR34" s="70"/>
      <c r="AS34" s="70"/>
      <c r="AT34" s="70"/>
      <c r="AU34" s="70"/>
      <c r="AV34" s="53"/>
      <c r="AW34" s="53"/>
      <c r="AX34" s="53"/>
      <c r="AY34" s="53"/>
    </row>
    <row r="35" spans="1:71" s="1" customFormat="1" x14ac:dyDescent="0.3">
      <c r="A35" s="28" t="s">
        <v>64</v>
      </c>
      <c r="B35" s="11"/>
      <c r="C35" s="11"/>
      <c r="D35" s="11"/>
      <c r="E35" s="58">
        <f t="shared" ref="E35:AE35" si="2">SUM(E15:E33)</f>
        <v>765.4</v>
      </c>
      <c r="F35" s="58">
        <f t="shared" si="2"/>
        <v>760.59999999999991</v>
      </c>
      <c r="G35" s="58">
        <f t="shared" si="2"/>
        <v>835.30000000000007</v>
      </c>
      <c r="H35" s="58">
        <f t="shared" si="2"/>
        <v>994.3</v>
      </c>
      <c r="I35" s="58">
        <f t="shared" si="2"/>
        <v>417.79999999999995</v>
      </c>
      <c r="J35" s="58">
        <f t="shared" si="2"/>
        <v>217.09999999999997</v>
      </c>
      <c r="K35" s="58">
        <f t="shared" si="2"/>
        <v>261.54999999999995</v>
      </c>
      <c r="L35" s="58">
        <f t="shared" si="2"/>
        <v>289</v>
      </c>
      <c r="M35" s="58">
        <f t="shared" si="2"/>
        <v>309.39999999999998</v>
      </c>
      <c r="N35" s="58">
        <f t="shared" si="2"/>
        <v>293.2</v>
      </c>
      <c r="O35" s="58">
        <f t="shared" si="2"/>
        <v>324.2</v>
      </c>
      <c r="P35" s="58">
        <f t="shared" si="2"/>
        <v>377.3</v>
      </c>
      <c r="Q35" s="58">
        <f t="shared" si="2"/>
        <v>409</v>
      </c>
      <c r="R35" s="58">
        <f t="shared" si="2"/>
        <v>451.09999999999997</v>
      </c>
      <c r="S35" s="58">
        <f t="shared" si="2"/>
        <v>414.59999999999997</v>
      </c>
      <c r="T35" s="58">
        <f t="shared" si="2"/>
        <v>398.59999999999991</v>
      </c>
      <c r="U35" s="59">
        <f t="shared" si="2"/>
        <v>410.1</v>
      </c>
      <c r="V35" s="59">
        <f t="shared" si="2"/>
        <v>398.84999999999997</v>
      </c>
      <c r="W35" s="58">
        <f t="shared" si="2"/>
        <v>353.8</v>
      </c>
      <c r="X35" s="59">
        <f t="shared" si="2"/>
        <v>343.4</v>
      </c>
      <c r="Y35" s="58">
        <f t="shared" si="2"/>
        <v>341.44</v>
      </c>
      <c r="Z35" s="58">
        <f t="shared" si="2"/>
        <v>363.36000000000007</v>
      </c>
      <c r="AA35" s="56">
        <f t="shared" si="2"/>
        <v>397.6</v>
      </c>
      <c r="AB35" s="58">
        <f t="shared" si="2"/>
        <v>426.29999999999995</v>
      </c>
      <c r="AC35" s="58">
        <f t="shared" si="2"/>
        <v>565.55000000000007</v>
      </c>
      <c r="AD35" s="59">
        <f t="shared" si="2"/>
        <v>598.03000000000009</v>
      </c>
      <c r="AE35" s="58">
        <f t="shared" si="2"/>
        <v>643.9</v>
      </c>
      <c r="AF35" s="58">
        <f t="shared" ref="AF35:AL35" si="3">SUM(AF15:AF34)</f>
        <v>548.5</v>
      </c>
      <c r="AG35" s="58">
        <f t="shared" si="3"/>
        <v>570.4849999999999</v>
      </c>
      <c r="AH35" s="58">
        <f t="shared" si="3"/>
        <v>570.5</v>
      </c>
      <c r="AI35" s="58">
        <f t="shared" si="3"/>
        <v>717.19999999999982</v>
      </c>
      <c r="AJ35" s="111">
        <f t="shared" si="3"/>
        <v>852.8</v>
      </c>
      <c r="AK35" s="111">
        <f>SUM(AK15:AK34)</f>
        <v>3398.6</v>
      </c>
      <c r="AL35" s="111">
        <f t="shared" si="3"/>
        <v>649.29999999999995</v>
      </c>
      <c r="AM35" s="111">
        <f t="shared" ref="AM35:AR35" si="4">SUM(AM15:AM34)</f>
        <v>423.38799999999992</v>
      </c>
      <c r="AN35" s="185">
        <f t="shared" si="4"/>
        <v>328.59999999999991</v>
      </c>
      <c r="AO35" s="111">
        <f t="shared" si="4"/>
        <v>500.40000000000003</v>
      </c>
      <c r="AP35" s="111">
        <f t="shared" si="4"/>
        <v>555.30000000000007</v>
      </c>
      <c r="AQ35" s="111">
        <f t="shared" si="4"/>
        <v>542.49999999999989</v>
      </c>
      <c r="AR35" s="111">
        <f t="shared" si="4"/>
        <v>623.29999999999995</v>
      </c>
      <c r="AS35" s="111">
        <f t="shared" ref="AS35:AY35" si="5">SUM(AS15:AS34)</f>
        <v>574.29999999999995</v>
      </c>
      <c r="AT35" s="111">
        <f t="shared" si="5"/>
        <v>617.20000000000005</v>
      </c>
      <c r="AU35" s="111">
        <f t="shared" si="5"/>
        <v>689.7</v>
      </c>
      <c r="AV35" s="111">
        <f t="shared" si="5"/>
        <v>696.9</v>
      </c>
      <c r="AW35" s="111">
        <f t="shared" si="5"/>
        <v>655.1</v>
      </c>
      <c r="AX35" s="111">
        <f t="shared" si="5"/>
        <v>655.1</v>
      </c>
      <c r="AY35" s="111">
        <f t="shared" si="5"/>
        <v>782.19999999999993</v>
      </c>
      <c r="AZ35" s="11" t="s">
        <v>64</v>
      </c>
      <c r="BA35" s="11"/>
      <c r="BB35" s="11"/>
      <c r="BC35" s="11"/>
      <c r="BD35" s="11"/>
      <c r="BE35" s="11"/>
      <c r="BF35" s="11"/>
      <c r="BG35" s="29"/>
      <c r="BH35" s="29"/>
      <c r="BI35" s="11"/>
      <c r="BJ35" s="11"/>
      <c r="BK35" s="11"/>
      <c r="BL35" s="11"/>
      <c r="BM35" s="11"/>
      <c r="BN35" s="10" t="s">
        <v>220</v>
      </c>
      <c r="BO35" s="11"/>
      <c r="BP35" s="11"/>
      <c r="BQ35" s="11"/>
      <c r="BR35" s="11"/>
      <c r="BS35" s="30"/>
    </row>
    <row r="36" spans="1:71" s="6" customFormat="1" x14ac:dyDescent="0.3">
      <c r="A36" s="31" t="s">
        <v>65</v>
      </c>
      <c r="B36" s="7"/>
      <c r="C36" s="7"/>
      <c r="D36" s="7"/>
      <c r="E36" s="60">
        <v>9.1999999999999993</v>
      </c>
      <c r="F36" s="60">
        <v>2.2999999999999998</v>
      </c>
      <c r="G36" s="60">
        <v>0</v>
      </c>
      <c r="H36" s="60">
        <v>0</v>
      </c>
      <c r="I36" s="60">
        <v>0</v>
      </c>
      <c r="J36" s="60">
        <v>0</v>
      </c>
      <c r="K36" s="60">
        <v>0.1</v>
      </c>
      <c r="L36" s="60">
        <v>0</v>
      </c>
      <c r="M36" s="60">
        <v>0</v>
      </c>
      <c r="N36" s="60">
        <v>0</v>
      </c>
      <c r="O36" s="60">
        <v>0</v>
      </c>
      <c r="P36" s="60">
        <v>0</v>
      </c>
      <c r="Q36" s="60">
        <v>3.8</v>
      </c>
      <c r="R36" s="60">
        <v>3.7</v>
      </c>
      <c r="S36" s="60">
        <v>15.9</v>
      </c>
      <c r="T36" s="60">
        <v>15.4</v>
      </c>
      <c r="U36" s="60">
        <v>15.9</v>
      </c>
      <c r="V36" s="60">
        <v>18.2</v>
      </c>
      <c r="W36" s="60">
        <v>61.4</v>
      </c>
      <c r="X36" s="60">
        <f>20.3-5</f>
        <v>15.3</v>
      </c>
      <c r="Y36" s="60">
        <f>12.9+2.2</f>
        <v>15.100000000000001</v>
      </c>
      <c r="Z36" s="60">
        <f>11</f>
        <v>11</v>
      </c>
      <c r="AA36" s="60">
        <f>10</f>
        <v>10</v>
      </c>
      <c r="AB36" s="60">
        <f>9.98</f>
        <v>9.98</v>
      </c>
      <c r="AC36" s="60">
        <f>9.9</f>
        <v>9.9</v>
      </c>
      <c r="AD36" s="60">
        <f>9.7</f>
        <v>9.6999999999999993</v>
      </c>
      <c r="AE36" s="60">
        <f>9.6</f>
        <v>9.6</v>
      </c>
      <c r="AF36" s="60">
        <v>9.5</v>
      </c>
      <c r="AG36" s="60">
        <v>8</v>
      </c>
      <c r="AH36" s="60">
        <v>9.6999999999999993</v>
      </c>
      <c r="AI36" s="60">
        <v>9.5</v>
      </c>
      <c r="AJ36" s="60">
        <v>9.6999999999999993</v>
      </c>
      <c r="AK36" s="60"/>
      <c r="AL36" s="60">
        <v>10</v>
      </c>
      <c r="AM36" s="60"/>
      <c r="AN36" s="173"/>
      <c r="AO36" s="60"/>
      <c r="AP36" s="60"/>
      <c r="AQ36" s="60"/>
      <c r="AR36" s="60"/>
      <c r="AS36" s="60"/>
      <c r="AT36" s="60"/>
      <c r="AU36" s="60"/>
      <c r="AV36" s="60"/>
      <c r="AW36" s="60"/>
      <c r="AX36" s="60"/>
      <c r="AY36" s="60"/>
      <c r="AZ36" s="7" t="s">
        <v>155</v>
      </c>
      <c r="BA36" s="7"/>
      <c r="BB36" s="7"/>
      <c r="BC36" s="7"/>
      <c r="BD36" s="7"/>
      <c r="BE36" s="7"/>
      <c r="BF36" s="7"/>
      <c r="BG36" s="7"/>
      <c r="BH36" s="7"/>
      <c r="BI36" s="7"/>
      <c r="BJ36" s="7"/>
      <c r="BK36" s="7"/>
      <c r="BL36" s="7"/>
      <c r="BM36" s="7"/>
      <c r="BN36" s="7" t="s">
        <v>131</v>
      </c>
      <c r="BO36" s="7" t="s">
        <v>132</v>
      </c>
      <c r="BP36" s="7" t="s">
        <v>121</v>
      </c>
      <c r="BQ36" s="7"/>
      <c r="BR36" s="7"/>
      <c r="BS36" s="38" t="s">
        <v>261</v>
      </c>
    </row>
    <row r="37" spans="1:71" s="8" customFormat="1" x14ac:dyDescent="0.3">
      <c r="A37" s="32" t="s">
        <v>66</v>
      </c>
      <c r="B37" s="9"/>
      <c r="C37" s="9"/>
      <c r="D37" s="9"/>
      <c r="E37" s="61">
        <v>774.6</v>
      </c>
      <c r="F37" s="61">
        <f t="shared" ref="F37:AI37" si="6">SUM(F35+F36)</f>
        <v>762.89999999999986</v>
      </c>
      <c r="G37" s="61">
        <f t="shared" si="6"/>
        <v>835.30000000000007</v>
      </c>
      <c r="H37" s="61">
        <f t="shared" si="6"/>
        <v>994.3</v>
      </c>
      <c r="I37" s="61">
        <f t="shared" si="6"/>
        <v>417.79999999999995</v>
      </c>
      <c r="J37" s="61">
        <f t="shared" si="6"/>
        <v>217.09999999999997</v>
      </c>
      <c r="K37" s="61">
        <f t="shared" si="6"/>
        <v>261.64999999999998</v>
      </c>
      <c r="L37" s="61">
        <f t="shared" si="6"/>
        <v>289</v>
      </c>
      <c r="M37" s="61">
        <f t="shared" si="6"/>
        <v>309.39999999999998</v>
      </c>
      <c r="N37" s="61">
        <f t="shared" si="6"/>
        <v>293.2</v>
      </c>
      <c r="O37" s="61">
        <f t="shared" si="6"/>
        <v>324.2</v>
      </c>
      <c r="P37" s="61">
        <f t="shared" si="6"/>
        <v>377.3</v>
      </c>
      <c r="Q37" s="61">
        <f t="shared" si="6"/>
        <v>412.8</v>
      </c>
      <c r="R37" s="61">
        <f t="shared" si="6"/>
        <v>454.79999999999995</v>
      </c>
      <c r="S37" s="61">
        <f t="shared" si="6"/>
        <v>430.49999999999994</v>
      </c>
      <c r="T37" s="61">
        <f t="shared" si="6"/>
        <v>413.99999999999989</v>
      </c>
      <c r="U37" s="61">
        <f t="shared" si="6"/>
        <v>426</v>
      </c>
      <c r="V37" s="61">
        <f t="shared" si="6"/>
        <v>417.04999999999995</v>
      </c>
      <c r="W37" s="61">
        <f t="shared" si="6"/>
        <v>415.2</v>
      </c>
      <c r="X37" s="61">
        <f t="shared" si="6"/>
        <v>358.7</v>
      </c>
      <c r="Y37" s="61">
        <f t="shared" si="6"/>
        <v>356.54</v>
      </c>
      <c r="Z37" s="61">
        <f t="shared" si="6"/>
        <v>374.36000000000007</v>
      </c>
      <c r="AA37" s="60">
        <f t="shared" si="6"/>
        <v>407.6</v>
      </c>
      <c r="AB37" s="61">
        <f t="shared" si="6"/>
        <v>436.28</v>
      </c>
      <c r="AC37" s="61">
        <f t="shared" si="6"/>
        <v>575.45000000000005</v>
      </c>
      <c r="AD37" s="61">
        <f t="shared" si="6"/>
        <v>607.73000000000013</v>
      </c>
      <c r="AE37" s="61">
        <f t="shared" si="6"/>
        <v>653.5</v>
      </c>
      <c r="AF37" s="61">
        <f t="shared" si="6"/>
        <v>558</v>
      </c>
      <c r="AG37" s="61">
        <f t="shared" si="6"/>
        <v>578.4849999999999</v>
      </c>
      <c r="AH37" s="61">
        <f t="shared" si="6"/>
        <v>580.20000000000005</v>
      </c>
      <c r="AI37" s="61">
        <f t="shared" si="6"/>
        <v>726.69999999999982</v>
      </c>
      <c r="AJ37" s="61">
        <f t="shared" ref="AJ37:AO37" si="7">SUM(AJ35+AJ36)</f>
        <v>862.5</v>
      </c>
      <c r="AK37" s="113">
        <f t="shared" si="7"/>
        <v>3398.6</v>
      </c>
      <c r="AL37" s="61">
        <f t="shared" si="7"/>
        <v>659.3</v>
      </c>
      <c r="AM37" s="113">
        <f t="shared" si="7"/>
        <v>423.38799999999992</v>
      </c>
      <c r="AN37" s="199">
        <f>SUM(AN35+AN36)</f>
        <v>328.59999999999991</v>
      </c>
      <c r="AO37" s="113">
        <f t="shared" si="7"/>
        <v>500.40000000000003</v>
      </c>
      <c r="AP37" s="113">
        <f t="shared" ref="AP37:AW37" si="8">SUM(AP35+AP36)</f>
        <v>555.30000000000007</v>
      </c>
      <c r="AQ37" s="113">
        <f t="shared" si="8"/>
        <v>542.49999999999989</v>
      </c>
      <c r="AR37" s="113">
        <f t="shared" si="8"/>
        <v>623.29999999999995</v>
      </c>
      <c r="AS37" s="113">
        <f t="shared" si="8"/>
        <v>574.29999999999995</v>
      </c>
      <c r="AT37" s="113">
        <f t="shared" si="8"/>
        <v>617.20000000000005</v>
      </c>
      <c r="AU37" s="113">
        <f t="shared" si="8"/>
        <v>689.7</v>
      </c>
      <c r="AV37" s="113">
        <f t="shared" si="8"/>
        <v>696.9</v>
      </c>
      <c r="AW37" s="113">
        <f t="shared" si="8"/>
        <v>655.1</v>
      </c>
      <c r="AX37" s="113">
        <f t="shared" ref="AX37" si="9">SUM(AX35+AX36)</f>
        <v>655.1</v>
      </c>
      <c r="AY37" s="113">
        <f t="shared" ref="AY37" si="10">SUM(AY35+AY36)</f>
        <v>782.19999999999993</v>
      </c>
      <c r="AZ37" s="9" t="s">
        <v>66</v>
      </c>
      <c r="BA37" s="9"/>
      <c r="BB37" s="9"/>
      <c r="BC37" s="9"/>
      <c r="BD37" s="9"/>
      <c r="BE37" s="9"/>
      <c r="BF37" s="9"/>
      <c r="BG37" s="9"/>
      <c r="BH37" s="9"/>
      <c r="BI37" s="9"/>
      <c r="BJ37" s="9"/>
      <c r="BK37" s="9"/>
      <c r="BL37" s="9"/>
      <c r="BM37" s="9"/>
      <c r="BN37" s="9"/>
      <c r="BO37" s="9"/>
      <c r="BP37" s="9"/>
      <c r="BQ37" s="9"/>
      <c r="BR37" s="9"/>
      <c r="BS37" s="33"/>
    </row>
    <row r="38" spans="1:71" x14ac:dyDescent="0.3">
      <c r="A38" s="18" t="s">
        <v>108</v>
      </c>
      <c r="E38" s="54">
        <f>0</f>
        <v>0</v>
      </c>
      <c r="F38" s="54">
        <v>0</v>
      </c>
      <c r="G38" s="54">
        <v>0</v>
      </c>
      <c r="H38" s="54">
        <v>0</v>
      </c>
      <c r="I38" s="54">
        <v>0</v>
      </c>
      <c r="J38" s="54">
        <v>0</v>
      </c>
      <c r="K38" s="54">
        <v>0</v>
      </c>
      <c r="L38" s="54">
        <v>0</v>
      </c>
      <c r="M38" s="54">
        <v>0</v>
      </c>
      <c r="N38" s="54">
        <v>0</v>
      </c>
      <c r="O38" s="54">
        <v>196.9</v>
      </c>
      <c r="P38" s="54">
        <v>187.8</v>
      </c>
      <c r="Q38" s="54">
        <v>547.4</v>
      </c>
      <c r="R38" s="56">
        <v>386.4</v>
      </c>
      <c r="S38" s="54">
        <v>410.1</v>
      </c>
      <c r="T38" s="54">
        <v>0</v>
      </c>
      <c r="U38" s="55">
        <v>221.5</v>
      </c>
      <c r="V38" s="55">
        <v>36.299999999999997</v>
      </c>
      <c r="W38" s="54">
        <v>146.69999999999999</v>
      </c>
      <c r="X38" s="55">
        <v>-2</v>
      </c>
      <c r="Y38" s="54">
        <v>-101</v>
      </c>
      <c r="Z38" s="54">
        <v>-40.200000000000003</v>
      </c>
      <c r="AA38" s="56">
        <v>-146</v>
      </c>
      <c r="AB38" s="54">
        <v>103.98</v>
      </c>
      <c r="AC38" s="54">
        <v>42</v>
      </c>
      <c r="AD38" s="55">
        <v>-47</v>
      </c>
      <c r="AE38" s="54">
        <v>-98</v>
      </c>
      <c r="AF38" s="54">
        <v>-160</v>
      </c>
      <c r="AG38" s="54">
        <v>-20</v>
      </c>
      <c r="AH38" s="54">
        <v>0</v>
      </c>
      <c r="AI38" s="54">
        <v>-58</v>
      </c>
      <c r="AJ38" s="54">
        <v>0</v>
      </c>
      <c r="AK38" s="54">
        <v>0</v>
      </c>
      <c r="AL38" s="54">
        <v>0</v>
      </c>
      <c r="AM38" s="54">
        <v>0</v>
      </c>
      <c r="AN38" s="177">
        <v>0</v>
      </c>
      <c r="AO38" s="54">
        <v>0</v>
      </c>
      <c r="AP38" s="54">
        <v>0</v>
      </c>
      <c r="AQ38" s="54">
        <v>-2.9</v>
      </c>
      <c r="AR38" s="177">
        <v>0</v>
      </c>
      <c r="AS38" s="54">
        <v>0</v>
      </c>
      <c r="AT38" s="54">
        <v>0</v>
      </c>
      <c r="AU38" s="54">
        <v>0</v>
      </c>
      <c r="AV38" s="10">
        <v>0</v>
      </c>
      <c r="AW38" s="10">
        <v>0</v>
      </c>
      <c r="AX38" s="10">
        <v>0</v>
      </c>
      <c r="AY38" s="10">
        <v>1</v>
      </c>
      <c r="AZ38" s="10" t="s">
        <v>234</v>
      </c>
      <c r="BH38" s="10" t="s">
        <v>222</v>
      </c>
      <c r="BN38" s="10" t="s">
        <v>228</v>
      </c>
      <c r="BO38" s="10" t="s">
        <v>294</v>
      </c>
      <c r="BP38" s="10" t="s">
        <v>183</v>
      </c>
    </row>
    <row r="39" spans="1:71" x14ac:dyDescent="0.3">
      <c r="AI39" s="54"/>
      <c r="AJ39" s="54"/>
      <c r="AK39" s="54"/>
      <c r="AL39" s="54"/>
      <c r="AM39" s="54"/>
      <c r="AN39" s="177"/>
      <c r="AO39" s="54"/>
      <c r="AP39" s="54"/>
      <c r="AQ39" s="54"/>
      <c r="AS39" s="74"/>
    </row>
    <row r="40" spans="1:71" s="1" customFormat="1" x14ac:dyDescent="0.3">
      <c r="A40" s="79" t="s">
        <v>67</v>
      </c>
      <c r="B40" s="80"/>
      <c r="C40" s="80"/>
      <c r="D40" s="80"/>
      <c r="E40" s="81">
        <f t="shared" ref="E40:AE40" si="11">E35+E38</f>
        <v>765.4</v>
      </c>
      <c r="F40" s="81">
        <f t="shared" si="11"/>
        <v>760.59999999999991</v>
      </c>
      <c r="G40" s="81">
        <f t="shared" si="11"/>
        <v>835.30000000000007</v>
      </c>
      <c r="H40" s="81">
        <f t="shared" si="11"/>
        <v>994.3</v>
      </c>
      <c r="I40" s="81">
        <f t="shared" si="11"/>
        <v>417.79999999999995</v>
      </c>
      <c r="J40" s="81">
        <f t="shared" si="11"/>
        <v>217.09999999999997</v>
      </c>
      <c r="K40" s="81">
        <f t="shared" si="11"/>
        <v>261.54999999999995</v>
      </c>
      <c r="L40" s="81">
        <f t="shared" si="11"/>
        <v>289</v>
      </c>
      <c r="M40" s="81">
        <f t="shared" si="11"/>
        <v>309.39999999999998</v>
      </c>
      <c r="N40" s="81">
        <f t="shared" si="11"/>
        <v>293.2</v>
      </c>
      <c r="O40" s="81">
        <f t="shared" si="11"/>
        <v>521.1</v>
      </c>
      <c r="P40" s="81">
        <f t="shared" si="11"/>
        <v>565.1</v>
      </c>
      <c r="Q40" s="81">
        <f t="shared" si="11"/>
        <v>956.4</v>
      </c>
      <c r="R40" s="81">
        <f t="shared" si="11"/>
        <v>837.5</v>
      </c>
      <c r="S40" s="81">
        <f t="shared" si="11"/>
        <v>824.7</v>
      </c>
      <c r="T40" s="81">
        <f t="shared" si="11"/>
        <v>398.59999999999991</v>
      </c>
      <c r="U40" s="81">
        <f t="shared" si="11"/>
        <v>631.6</v>
      </c>
      <c r="V40" s="81">
        <f t="shared" si="11"/>
        <v>435.15</v>
      </c>
      <c r="W40" s="81">
        <f t="shared" si="11"/>
        <v>500.5</v>
      </c>
      <c r="X40" s="81">
        <f t="shared" si="11"/>
        <v>341.4</v>
      </c>
      <c r="Y40" s="81">
        <f t="shared" si="11"/>
        <v>240.44</v>
      </c>
      <c r="Z40" s="81">
        <f t="shared" si="11"/>
        <v>323.16000000000008</v>
      </c>
      <c r="AA40" s="82">
        <f>AA35+AA38</f>
        <v>251.60000000000002</v>
      </c>
      <c r="AB40" s="81">
        <f t="shared" si="11"/>
        <v>530.28</v>
      </c>
      <c r="AC40" s="81">
        <f t="shared" si="11"/>
        <v>607.55000000000007</v>
      </c>
      <c r="AD40" s="81">
        <f t="shared" si="11"/>
        <v>551.03000000000009</v>
      </c>
      <c r="AE40" s="81">
        <f t="shared" si="11"/>
        <v>545.9</v>
      </c>
      <c r="AF40" s="81">
        <f t="shared" ref="AF40:AL40" si="12">AF35+AF38</f>
        <v>388.5</v>
      </c>
      <c r="AG40" s="81">
        <f t="shared" si="12"/>
        <v>550.4849999999999</v>
      </c>
      <c r="AH40" s="81">
        <f t="shared" si="12"/>
        <v>570.5</v>
      </c>
      <c r="AI40" s="81">
        <f t="shared" si="12"/>
        <v>659.19999999999982</v>
      </c>
      <c r="AJ40" s="90">
        <f t="shared" si="12"/>
        <v>852.8</v>
      </c>
      <c r="AK40" s="90">
        <f>AK35+AK38</f>
        <v>3398.6</v>
      </c>
      <c r="AL40" s="81">
        <f t="shared" si="12"/>
        <v>649.29999999999995</v>
      </c>
      <c r="AM40" s="90">
        <f t="shared" ref="AM40:AR40" si="13">AM35+AM38</f>
        <v>423.38799999999992</v>
      </c>
      <c r="AN40" s="180">
        <f t="shared" si="13"/>
        <v>328.59999999999991</v>
      </c>
      <c r="AO40" s="90">
        <f t="shared" si="13"/>
        <v>500.40000000000003</v>
      </c>
      <c r="AP40" s="90">
        <f t="shared" si="13"/>
        <v>555.30000000000007</v>
      </c>
      <c r="AQ40" s="90">
        <f t="shared" si="13"/>
        <v>539.59999999999991</v>
      </c>
      <c r="AR40" s="90">
        <f t="shared" si="13"/>
        <v>623.29999999999995</v>
      </c>
      <c r="AS40" s="90">
        <f t="shared" ref="AS40:AX40" si="14">AS35+AS38</f>
        <v>574.29999999999995</v>
      </c>
      <c r="AT40" s="90">
        <f t="shared" si="14"/>
        <v>617.20000000000005</v>
      </c>
      <c r="AU40" s="90">
        <f t="shared" si="14"/>
        <v>689.7</v>
      </c>
      <c r="AV40" s="90">
        <f t="shared" si="14"/>
        <v>696.9</v>
      </c>
      <c r="AW40" s="90">
        <f t="shared" si="14"/>
        <v>655.1</v>
      </c>
      <c r="AX40" s="90">
        <f t="shared" si="14"/>
        <v>655.1</v>
      </c>
      <c r="AY40" s="90">
        <f t="shared" ref="AY40" si="15">AY35+AY38</f>
        <v>783.19999999999993</v>
      </c>
      <c r="AZ40" s="80" t="s">
        <v>67</v>
      </c>
      <c r="BA40" s="80"/>
      <c r="BB40" s="80"/>
      <c r="BC40" s="80"/>
      <c r="BD40" s="80"/>
      <c r="BE40" s="11"/>
      <c r="BF40" s="11"/>
      <c r="BG40" s="29"/>
      <c r="BH40" s="5" t="s">
        <v>223</v>
      </c>
      <c r="BI40" s="11"/>
      <c r="BJ40" s="11"/>
      <c r="BK40" s="11"/>
      <c r="BL40" s="11"/>
      <c r="BM40" s="11"/>
      <c r="BN40" s="11"/>
      <c r="BO40" s="11"/>
      <c r="BP40" s="11"/>
      <c r="BQ40" s="11"/>
      <c r="BR40" s="11"/>
      <c r="BS40" s="30"/>
    </row>
    <row r="41" spans="1:71" x14ac:dyDescent="0.3">
      <c r="AI41" s="54"/>
      <c r="AJ41" s="54"/>
      <c r="AK41" s="54"/>
      <c r="AL41" s="54"/>
      <c r="AM41" s="54"/>
      <c r="AN41" s="177"/>
      <c r="AO41" s="54"/>
      <c r="AP41" s="54"/>
      <c r="AQ41" s="54"/>
      <c r="AR41" s="265"/>
      <c r="AS41" s="54"/>
    </row>
    <row r="42" spans="1:71" x14ac:dyDescent="0.3">
      <c r="A42" s="22" t="s">
        <v>256</v>
      </c>
      <c r="AI42" s="54"/>
      <c r="AJ42" s="54"/>
      <c r="AK42" s="54"/>
      <c r="AL42" s="54"/>
      <c r="AM42" s="54"/>
      <c r="AN42" s="177"/>
      <c r="AO42" s="54"/>
      <c r="AP42" s="54"/>
      <c r="AQ42" s="204"/>
      <c r="AR42" s="54"/>
      <c r="AS42" s="269"/>
      <c r="AZ42" s="23" t="s">
        <v>257</v>
      </c>
      <c r="BH42" s="10" t="s">
        <v>249</v>
      </c>
      <c r="BI42" s="10" t="s">
        <v>364</v>
      </c>
      <c r="BJ42" s="10" t="s">
        <v>50</v>
      </c>
      <c r="BK42" s="10" t="s">
        <v>377</v>
      </c>
      <c r="BL42" s="10" t="s">
        <v>243</v>
      </c>
      <c r="BM42" s="10" t="s">
        <v>200</v>
      </c>
      <c r="BN42" s="10" t="s">
        <v>230</v>
      </c>
    </row>
    <row r="43" spans="1:71" x14ac:dyDescent="0.3">
      <c r="B43" s="10" t="s">
        <v>68</v>
      </c>
      <c r="E43" s="54">
        <v>67.3</v>
      </c>
      <c r="F43" s="54">
        <v>99.1</v>
      </c>
      <c r="G43" s="54">
        <v>113.4</v>
      </c>
      <c r="H43" s="54">
        <v>105.1</v>
      </c>
      <c r="I43" s="54">
        <v>58.9</v>
      </c>
      <c r="J43" s="54">
        <v>53.8</v>
      </c>
      <c r="K43" s="54">
        <v>64.7</v>
      </c>
      <c r="L43" s="54">
        <v>61.3</v>
      </c>
      <c r="M43" s="54">
        <v>57.5</v>
      </c>
      <c r="N43" s="54">
        <v>55.4</v>
      </c>
      <c r="O43" s="54">
        <v>51.4</v>
      </c>
      <c r="P43" s="54">
        <v>54.3</v>
      </c>
      <c r="Q43" s="54">
        <v>64.8</v>
      </c>
      <c r="R43" s="54">
        <v>79.5</v>
      </c>
      <c r="S43" s="55">
        <v>109.3</v>
      </c>
      <c r="T43" s="54">
        <v>139.80000000000001</v>
      </c>
      <c r="U43" s="55">
        <v>176.9</v>
      </c>
      <c r="V43" s="55">
        <v>191.1</v>
      </c>
      <c r="W43" s="54">
        <v>174.3</v>
      </c>
      <c r="X43" s="55">
        <v>172.5</v>
      </c>
      <c r="Y43" s="54">
        <v>190</v>
      </c>
      <c r="Z43" s="54">
        <v>198.7</v>
      </c>
      <c r="AA43" s="56">
        <v>228.76</v>
      </c>
      <c r="AB43" s="54">
        <v>251.5</v>
      </c>
      <c r="AC43" s="54">
        <v>181.4</v>
      </c>
      <c r="AD43" s="55">
        <v>174.2</v>
      </c>
      <c r="AE43" s="54">
        <v>172</v>
      </c>
      <c r="AF43" s="54">
        <v>161.30000000000001</v>
      </c>
      <c r="AG43" s="54">
        <v>178.4</v>
      </c>
      <c r="AH43" s="55">
        <v>183.6</v>
      </c>
      <c r="AI43" s="54">
        <v>208.4</v>
      </c>
      <c r="AJ43" s="54">
        <v>267.10000000000002</v>
      </c>
      <c r="AK43" s="54">
        <v>109.2</v>
      </c>
      <c r="AL43" s="54">
        <v>304.2</v>
      </c>
      <c r="AM43" s="54">
        <v>293.10000000000002</v>
      </c>
      <c r="AN43" s="177">
        <v>320.89999999999998</v>
      </c>
      <c r="AO43" s="54">
        <v>303.2</v>
      </c>
      <c r="AP43" s="54">
        <v>289.7</v>
      </c>
      <c r="AQ43" s="10">
        <v>272.60000000000002</v>
      </c>
      <c r="AR43" s="267">
        <v>310</v>
      </c>
      <c r="AS43" s="54">
        <v>307</v>
      </c>
      <c r="AT43" s="54">
        <v>337.5</v>
      </c>
      <c r="AU43" s="54">
        <v>344</v>
      </c>
      <c r="AV43" s="10">
        <v>396</v>
      </c>
      <c r="AW43" s="10">
        <v>400</v>
      </c>
      <c r="AX43" s="10">
        <v>400</v>
      </c>
      <c r="AY43" s="10">
        <v>602.70000000000005</v>
      </c>
      <c r="AZ43" s="10" t="s">
        <v>254</v>
      </c>
      <c r="BH43" s="10"/>
      <c r="BO43" s="10" t="s">
        <v>295</v>
      </c>
      <c r="BP43" s="10" t="s">
        <v>184</v>
      </c>
      <c r="BQ43" s="10" t="s">
        <v>343</v>
      </c>
      <c r="BR43" s="10" t="s">
        <v>343</v>
      </c>
      <c r="BS43" s="19" t="s">
        <v>343</v>
      </c>
    </row>
    <row r="44" spans="1:71" x14ac:dyDescent="0.3">
      <c r="B44" s="10" t="s">
        <v>69</v>
      </c>
      <c r="E44" s="54">
        <v>0</v>
      </c>
      <c r="F44" s="54">
        <v>0</v>
      </c>
      <c r="G44" s="54">
        <v>0</v>
      </c>
      <c r="H44" s="54">
        <v>0</v>
      </c>
      <c r="I44" s="54">
        <v>0</v>
      </c>
      <c r="J44" s="54">
        <v>0</v>
      </c>
      <c r="K44" s="54">
        <v>0</v>
      </c>
      <c r="L44" s="54">
        <v>0</v>
      </c>
      <c r="M44" s="54">
        <v>0</v>
      </c>
      <c r="N44" s="54">
        <v>0</v>
      </c>
      <c r="O44" s="54">
        <v>0</v>
      </c>
      <c r="P44" s="54">
        <v>0</v>
      </c>
      <c r="Q44" s="54">
        <v>0</v>
      </c>
      <c r="R44" s="54">
        <v>0</v>
      </c>
      <c r="S44" s="55">
        <v>4.7</v>
      </c>
      <c r="T44" s="54">
        <v>5</v>
      </c>
      <c r="U44" s="55">
        <v>6.7</v>
      </c>
      <c r="V44" s="55">
        <v>8.6</v>
      </c>
      <c r="W44" s="54">
        <v>0</v>
      </c>
      <c r="X44" s="55">
        <v>0</v>
      </c>
      <c r="Y44" s="54">
        <v>0</v>
      </c>
      <c r="AH44" s="55"/>
      <c r="AI44" s="54"/>
      <c r="AJ44" s="54"/>
      <c r="AK44" s="54"/>
      <c r="AL44" s="54"/>
      <c r="AM44" s="54"/>
      <c r="AN44" s="177"/>
      <c r="AO44" s="54"/>
      <c r="AP44" s="54"/>
      <c r="AQ44" s="87"/>
      <c r="AR44" s="87"/>
      <c r="AS44" s="54"/>
      <c r="AT44" s="54"/>
      <c r="AU44" s="54"/>
      <c r="AZ44" s="10" t="s">
        <v>69</v>
      </c>
      <c r="BH44" s="10"/>
    </row>
    <row r="45" spans="1:71" x14ac:dyDescent="0.3">
      <c r="B45" s="10" t="s">
        <v>70</v>
      </c>
      <c r="E45" s="54">
        <v>31.9</v>
      </c>
      <c r="F45" s="54">
        <v>40</v>
      </c>
      <c r="G45" s="54">
        <v>60.2</v>
      </c>
      <c r="H45" s="54">
        <v>69.599999999999994</v>
      </c>
      <c r="I45" s="54">
        <v>28.8</v>
      </c>
      <c r="J45" s="54">
        <v>27.9</v>
      </c>
      <c r="K45" s="54">
        <v>33.5</v>
      </c>
      <c r="L45" s="54">
        <v>31.7</v>
      </c>
      <c r="M45" s="54">
        <v>40.700000000000003</v>
      </c>
      <c r="N45" s="54">
        <v>34.5</v>
      </c>
      <c r="O45" s="54">
        <v>32.799999999999997</v>
      </c>
      <c r="P45" s="54">
        <v>30.3</v>
      </c>
      <c r="Q45" s="54">
        <v>51.3</v>
      </c>
      <c r="R45" s="54">
        <v>60.2</v>
      </c>
      <c r="S45" s="55">
        <v>96.7</v>
      </c>
      <c r="T45" s="54">
        <v>112.8</v>
      </c>
      <c r="U45" s="55">
        <v>123.9</v>
      </c>
      <c r="V45" s="55">
        <v>131.5</v>
      </c>
      <c r="W45" s="54">
        <v>108.3</v>
      </c>
      <c r="X45" s="55">
        <v>115.4</v>
      </c>
      <c r="Y45" s="54">
        <v>133.9</v>
      </c>
      <c r="Z45" s="54">
        <v>162.80000000000001</v>
      </c>
      <c r="AA45" s="56">
        <v>158.97</v>
      </c>
      <c r="AB45" s="54">
        <v>171.6</v>
      </c>
      <c r="AC45" s="54">
        <v>100.9</v>
      </c>
      <c r="AD45" s="55">
        <v>96.8</v>
      </c>
      <c r="AE45" s="54">
        <v>90.5</v>
      </c>
      <c r="AF45" s="54">
        <v>73.400000000000006</v>
      </c>
      <c r="AG45" s="54">
        <v>55.9</v>
      </c>
      <c r="AH45" s="55">
        <v>55.8</v>
      </c>
      <c r="AI45" s="54">
        <v>63.2</v>
      </c>
      <c r="AJ45" s="10">
        <f>88</f>
        <v>88</v>
      </c>
      <c r="AK45" s="10">
        <v>212.9</v>
      </c>
      <c r="AL45" s="10">
        <v>94.3</v>
      </c>
      <c r="AM45" s="54">
        <v>105.9</v>
      </c>
      <c r="AN45" s="177">
        <v>112.7</v>
      </c>
      <c r="AO45" s="54">
        <v>114.3</v>
      </c>
      <c r="AP45" s="54">
        <v>180.5</v>
      </c>
      <c r="AQ45" s="54">
        <v>194.2</v>
      </c>
      <c r="AR45" s="54">
        <v>229</v>
      </c>
      <c r="AS45" s="54">
        <v>257.5</v>
      </c>
      <c r="AT45" s="54">
        <v>305</v>
      </c>
      <c r="AU45" s="54">
        <v>320</v>
      </c>
      <c r="AV45" s="10">
        <v>395</v>
      </c>
      <c r="AW45" s="10">
        <v>396</v>
      </c>
      <c r="AX45" s="10">
        <v>396</v>
      </c>
      <c r="AY45" s="10">
        <v>582.5</v>
      </c>
      <c r="AZ45" s="10" t="s">
        <v>383</v>
      </c>
      <c r="BE45" s="97"/>
      <c r="BH45" s="10"/>
      <c r="BO45" s="10" t="s">
        <v>296</v>
      </c>
      <c r="BP45" s="10" t="s">
        <v>185</v>
      </c>
      <c r="BQ45" s="10" t="s">
        <v>343</v>
      </c>
      <c r="BR45" s="10" t="s">
        <v>343</v>
      </c>
      <c r="BS45" s="19" t="s">
        <v>343</v>
      </c>
    </row>
    <row r="46" spans="1:71" x14ac:dyDescent="0.3">
      <c r="B46" s="15" t="s">
        <v>71</v>
      </c>
      <c r="E46" s="54">
        <v>63.4</v>
      </c>
      <c r="F46" s="54">
        <v>79.3</v>
      </c>
      <c r="G46" s="54">
        <v>104.4</v>
      </c>
      <c r="H46" s="54">
        <v>91.3</v>
      </c>
      <c r="I46" s="54">
        <v>47.7</v>
      </c>
      <c r="J46" s="54">
        <v>39</v>
      </c>
      <c r="K46" s="54">
        <v>37.200000000000003</v>
      </c>
      <c r="L46" s="54">
        <v>41</v>
      </c>
      <c r="M46" s="54">
        <v>37.9</v>
      </c>
      <c r="N46" s="54">
        <v>30.2</v>
      </c>
      <c r="O46" s="54">
        <v>34.4</v>
      </c>
      <c r="P46" s="54">
        <v>32.6</v>
      </c>
      <c r="Q46" s="54">
        <v>35.5</v>
      </c>
      <c r="R46" s="54">
        <v>49.3</v>
      </c>
      <c r="S46" s="55">
        <v>43.1</v>
      </c>
      <c r="T46" s="54">
        <v>48.2</v>
      </c>
      <c r="U46" s="55">
        <v>65.2</v>
      </c>
      <c r="V46" s="55">
        <v>87.1</v>
      </c>
      <c r="W46" s="54">
        <f>87.4-16.2</f>
        <v>71.2</v>
      </c>
      <c r="X46" s="55">
        <v>80.099999999999994</v>
      </c>
      <c r="Y46" s="54">
        <f>77.7</f>
        <v>77.7</v>
      </c>
      <c r="Z46" s="54">
        <f>23.6+41.6+14.7+(13.5*(80.1/246))</f>
        <v>84.295731707317074</v>
      </c>
      <c r="AA46" s="62">
        <f>74.4+1.9+(13*(76.3/269))</f>
        <v>79.987360594795547</v>
      </c>
      <c r="AB46" s="63">
        <f>85.4+2+(13.2*(87.4/301))</f>
        <v>91.232823920265787</v>
      </c>
      <c r="AC46" s="54">
        <v>63.1</v>
      </c>
      <c r="AD46" s="55">
        <v>58.3</v>
      </c>
      <c r="AE46" s="54">
        <v>57.8</v>
      </c>
      <c r="AF46" s="54">
        <v>65.2</v>
      </c>
      <c r="AG46" s="54">
        <v>68.2</v>
      </c>
      <c r="AH46" s="55">
        <v>103</v>
      </c>
      <c r="AI46" s="54">
        <v>107.4</v>
      </c>
      <c r="AJ46" s="70">
        <v>138.1</v>
      </c>
      <c r="AK46" s="70">
        <v>319.2</v>
      </c>
      <c r="AL46" s="179">
        <v>219</v>
      </c>
      <c r="AM46" s="70">
        <v>207.3</v>
      </c>
      <c r="AN46" s="179">
        <v>214.7</v>
      </c>
      <c r="AO46" s="70">
        <v>204.6</v>
      </c>
      <c r="AP46" s="70">
        <v>177.9</v>
      </c>
      <c r="AQ46" s="203">
        <v>168.2</v>
      </c>
      <c r="AR46" s="203">
        <v>201</v>
      </c>
      <c r="AS46" s="70">
        <v>199.1</v>
      </c>
      <c r="AT46" s="70">
        <v>220.7</v>
      </c>
      <c r="AU46" s="70">
        <v>226</v>
      </c>
      <c r="AV46" s="53">
        <v>285</v>
      </c>
      <c r="AW46" s="53">
        <v>290</v>
      </c>
      <c r="AX46" s="53">
        <v>290</v>
      </c>
      <c r="AY46" s="53">
        <v>392</v>
      </c>
      <c r="AZ46" s="15" t="s">
        <v>71</v>
      </c>
      <c r="BG46" s="35"/>
      <c r="BH46" s="10" t="s">
        <v>224</v>
      </c>
      <c r="BJ46" s="10" t="s">
        <v>51</v>
      </c>
      <c r="BK46" s="10" t="s">
        <v>379</v>
      </c>
      <c r="BL46" s="10" t="s">
        <v>201</v>
      </c>
      <c r="BM46" s="10" t="s">
        <v>201</v>
      </c>
      <c r="BO46" s="10" t="s">
        <v>297</v>
      </c>
      <c r="BP46" s="10" t="s">
        <v>186</v>
      </c>
      <c r="BQ46" s="10" t="s">
        <v>343</v>
      </c>
      <c r="BR46" s="10" t="s">
        <v>343</v>
      </c>
      <c r="BS46" s="19" t="s">
        <v>343</v>
      </c>
    </row>
    <row r="47" spans="1:71" x14ac:dyDescent="0.3">
      <c r="B47" s="10" t="s">
        <v>52</v>
      </c>
      <c r="E47" s="54">
        <v>10.5</v>
      </c>
      <c r="F47" s="54">
        <v>10.199999999999999</v>
      </c>
      <c r="G47" s="54">
        <v>16.8</v>
      </c>
      <c r="H47" s="54">
        <v>26.5</v>
      </c>
      <c r="I47" s="54">
        <v>16.5</v>
      </c>
      <c r="J47" s="54">
        <v>12.7</v>
      </c>
      <c r="K47" s="54">
        <v>12.7</v>
      </c>
      <c r="L47" s="54">
        <v>23.8</v>
      </c>
      <c r="M47" s="54">
        <v>25.9</v>
      </c>
      <c r="N47" s="54">
        <v>28.4</v>
      </c>
      <c r="O47" s="54">
        <v>28.8</v>
      </c>
      <c r="P47" s="54">
        <v>32.299999999999997</v>
      </c>
      <c r="Q47" s="54">
        <v>35.9</v>
      </c>
      <c r="R47" s="54">
        <v>35.200000000000003</v>
      </c>
      <c r="S47" s="55">
        <v>0</v>
      </c>
      <c r="T47" s="54">
        <v>0</v>
      </c>
      <c r="U47" s="55">
        <v>0</v>
      </c>
      <c r="V47" s="55">
        <v>0</v>
      </c>
      <c r="X47" s="55">
        <v>0</v>
      </c>
      <c r="Z47" s="54">
        <v>0</v>
      </c>
      <c r="AA47" s="56">
        <v>0</v>
      </c>
      <c r="AB47" s="54">
        <v>0</v>
      </c>
      <c r="AC47" s="54">
        <v>0</v>
      </c>
      <c r="AD47" s="55">
        <v>0</v>
      </c>
      <c r="AE47" s="54">
        <v>0</v>
      </c>
      <c r="AF47" s="54">
        <v>0</v>
      </c>
      <c r="AG47" s="54">
        <v>0</v>
      </c>
      <c r="AH47" s="55">
        <v>0</v>
      </c>
      <c r="AI47" s="54">
        <v>0</v>
      </c>
      <c r="AJ47" s="54">
        <v>0</v>
      </c>
      <c r="AK47" s="54"/>
      <c r="AL47" s="177"/>
      <c r="AM47" s="54"/>
      <c r="AN47" s="177"/>
      <c r="AO47" s="54"/>
      <c r="AP47" s="54"/>
      <c r="AQ47" s="10">
        <v>0</v>
      </c>
      <c r="AR47" s="74">
        <v>0</v>
      </c>
      <c r="AS47" s="54">
        <v>0</v>
      </c>
      <c r="AT47" s="54"/>
      <c r="AU47" s="54"/>
      <c r="AZ47" s="10" t="s">
        <v>413</v>
      </c>
      <c r="BH47" s="10"/>
    </row>
    <row r="48" spans="1:71" x14ac:dyDescent="0.3">
      <c r="B48" s="10" t="s">
        <v>342</v>
      </c>
      <c r="E48" s="54">
        <v>0</v>
      </c>
      <c r="F48" s="54">
        <v>0</v>
      </c>
      <c r="G48" s="54">
        <v>0</v>
      </c>
      <c r="H48" s="54">
        <v>0</v>
      </c>
      <c r="I48" s="54">
        <v>0</v>
      </c>
      <c r="J48" s="54">
        <v>1.2</v>
      </c>
      <c r="K48" s="54">
        <v>2</v>
      </c>
      <c r="L48" s="54">
        <v>2</v>
      </c>
      <c r="M48" s="54">
        <v>1.7</v>
      </c>
      <c r="N48" s="54">
        <v>1.9</v>
      </c>
      <c r="O48" s="54">
        <v>1.7</v>
      </c>
      <c r="P48" s="54">
        <v>1.8</v>
      </c>
      <c r="Q48" s="54">
        <v>1.8</v>
      </c>
      <c r="R48" s="54">
        <v>2.2999999999999998</v>
      </c>
      <c r="S48" s="55">
        <v>2.7</v>
      </c>
      <c r="T48" s="54">
        <v>3.4</v>
      </c>
      <c r="U48" s="55">
        <v>4.7</v>
      </c>
      <c r="V48" s="55">
        <v>0</v>
      </c>
      <c r="W48" s="54">
        <v>8.1</v>
      </c>
      <c r="X48" s="55">
        <v>26.4</v>
      </c>
      <c r="Y48" s="54">
        <v>28.9</v>
      </c>
      <c r="Z48" s="54">
        <v>38</v>
      </c>
      <c r="AA48" s="56">
        <v>42.87</v>
      </c>
      <c r="AB48" s="54">
        <v>43.3</v>
      </c>
      <c r="AC48" s="54">
        <f>(((SUM(AC43:AC46))+(SUM(AC49:AC53)))/(896.5-81.4))*81.4</f>
        <v>42.47260458839407</v>
      </c>
      <c r="AD48" s="55">
        <v>77</v>
      </c>
      <c r="AE48" s="54">
        <v>92.3</v>
      </c>
      <c r="AF48" s="64">
        <f>(98.2+16.8)*((AF43+AF45+AF46+AF47+AF49))/(AF43+AF45+AF46+AF47+AF49+AF104+AF105+AF106+AF107+AF108+AF82)</f>
        <v>53.728526808953674</v>
      </c>
      <c r="AG48" s="64">
        <f>(98.5+13.3)*((AG43+AG45+AG46+AG47+AG49))/(AG43+AG45+AG46+AG47+AG49+AG104+AG105+AG106+AG107+AG108+AG82)</f>
        <v>53.784621578099838</v>
      </c>
      <c r="AH48" s="64">
        <f>(99+11)*((AH43+AH45+AH46+AH47+AH49))/(AH43+AH45+AH46+AH47+AH49+AH104+AH105+AH106+AH107+AH108+AH82)</f>
        <v>41.821487946799664</v>
      </c>
      <c r="AI48" s="64">
        <f>(104.1+10.8)*((AI43+AI45+AI46+AI47+AI49))/(AI43+AI45+AI46+AI47+AI49+AI104+AI105+AI106+AI107+AI108+AI82)</f>
        <v>44.19146585389084</v>
      </c>
      <c r="AJ48" s="64">
        <f>(127.6+18.2)*((AJ43+AJ45+AJ46+AJ47+AJ49))/(AJ43+AJ45+AJ46+AJ47+AJ49+AJ104+AJ105+AJ106+AJ107+AJ108+AJ82)</f>
        <v>62.980977542932635</v>
      </c>
      <c r="AK48" s="64">
        <f>(80+21.9)*((AK43+AK45+AK46+AK47))/(AK43+AK45+AK46+AK47+AK49+AK104+AK105+AK106+AK107+AK108+AK82)</f>
        <v>30.984054810108578</v>
      </c>
      <c r="AL48" s="178">
        <f>(140+45)*((AL43+AL44+AL45+AL46+AL47))/(AL43+AL45+AL46+AL47+AL49+AL104+AL105+AL106+AL107+AL108+AL82)</f>
        <v>80.347095231396821</v>
      </c>
      <c r="AM48" s="64">
        <f>(170+32)*((AM43+AM44+AM45+AM46+AM47))/(AM43+AM45+AM46+AM47+AM49+AM104+AM105+AM106+AM107+AM108+AM82)</f>
        <v>95.183492655630673</v>
      </c>
      <c r="AN48" s="178">
        <f>(165+25)*((AN43+AN44+AN45+AN46+AN47))/(AN43+AN45+AN46+AN47+AN49+AN104+AN105+AN106+AN107+AN108+AN82)</f>
        <v>86.977121875441327</v>
      </c>
      <c r="AO48" s="64">
        <f>(160.5+23.6)*((AO43+AO44+AO45+AO46+AO47))/(AO43+AO45+AO46+AO47+AO49+AO104+AO105+AO106+AO107+AO108+AO82)</f>
        <v>84.968180132057284</v>
      </c>
      <c r="AP48" s="64">
        <f>(162+23.5)*((AP43+AP44+AP45+AP46+AP47))/(AP43+AP45+AP46+AP47+AP49+AP104+AP105+AP106+AP107+AP108+AP82)</f>
        <v>84.491215124042455</v>
      </c>
      <c r="AQ48" s="64">
        <f>(160.8+21)*((AQ43+AQ44+AQ45+AQ46+AQ47))/(AQ43+AQ45+AQ46+AQ47+AQ49+AQ104+AQ105+AQ106+AQ107+AQ108+AQ82)</f>
        <v>85.091029704429857</v>
      </c>
      <c r="AR48" s="64">
        <f>(155+21)*((AR43+AR44+AR45+AR46+AR47))/(AR43+AR45+AR46+AR47+AR49+AR104+AR105+AR106+AR107+AR108+AR82)</f>
        <v>84.352331606217618</v>
      </c>
      <c r="AS48" s="64">
        <f>(153.5+19)*((AS43+AS44+AS45+AS46+AS47))/(AS43+AS45+AS46+AS47+AS49+AS104+AS105+AS106+AS107+AS108+AS82)</f>
        <v>86.618662458078518</v>
      </c>
      <c r="AT48" s="64">
        <f>(162.5+15)*((AT43+AT44+AT45+AT46+AT47))/(AT43+AT45+AT46+AT47+AT49+AT104+AT105+AT106+AT107+AT108+AT82)</f>
        <v>89.121684504420656</v>
      </c>
      <c r="AU48" s="64">
        <f>(162.5+14)*((AU43+AU44+AU45+AU46+AU47))/(AU43+AU45+AU46+AU47+AU49+AU104+AU105+AU106+AU107+AU108+AU82)</f>
        <v>89.075701729515174</v>
      </c>
      <c r="AV48" s="64">
        <f>(165+14.5)*((AV43+AV44+AV45+AV46+AV47))/(AV43+AV45+AV46+AV47+AV49+AV104+AV105+AV106+AV107+AV108+AV82)</f>
        <v>90.783548766157466</v>
      </c>
      <c r="AW48" s="64">
        <f>(165+14.5)*((AW43+AW44+AW45+AW46+AW47))/(AW43+AW45+AW46+AW47+AW49+AW104+AW105+AW106+AW107+AW108+AW82)</f>
        <v>91.219934487599446</v>
      </c>
      <c r="AX48" s="64">
        <f t="shared" ref="AX48:AY48" si="16">(165+14.5)*((AX43+AX44+AX45+AX46+AX47))/(AX43+AX45+AX46+AX47+AX49+AX104+AX105+AX106+AX107+AX108+AX82)</f>
        <v>91.219934487599446</v>
      </c>
      <c r="AY48" s="64">
        <f>(224.5+59.4)*((AY43+AY44+AY45+AY46+AY47))/(AY43+AY45+AY46+AY47+AY49+AY104+AY105+AY106+AY107+AY108+AY82)</f>
        <v>132.64421601445625</v>
      </c>
      <c r="AZ48" s="10" t="s">
        <v>382</v>
      </c>
      <c r="BH48" s="10"/>
      <c r="BN48" s="10" t="s">
        <v>231</v>
      </c>
      <c r="BO48" s="10" t="s">
        <v>298</v>
      </c>
      <c r="BP48" s="10" t="s">
        <v>187</v>
      </c>
      <c r="BQ48" s="10" t="s">
        <v>343</v>
      </c>
      <c r="BR48" s="10" t="s">
        <v>343</v>
      </c>
      <c r="BS48" s="19" t="s">
        <v>343</v>
      </c>
    </row>
    <row r="49" spans="1:71" x14ac:dyDescent="0.3">
      <c r="B49" s="10" t="s">
        <v>173</v>
      </c>
      <c r="S49" s="55"/>
      <c r="AC49" s="54">
        <v>55.1</v>
      </c>
      <c r="AD49" s="55">
        <v>60.1</v>
      </c>
      <c r="AE49" s="54">
        <v>59.6</v>
      </c>
      <c r="AF49" s="54">
        <v>59.1</v>
      </c>
      <c r="AG49" s="54">
        <v>56</v>
      </c>
      <c r="AH49" s="55">
        <v>23.5</v>
      </c>
      <c r="AI49" s="56">
        <v>24.8</v>
      </c>
      <c r="AJ49" s="56">
        <v>30</v>
      </c>
      <c r="AK49" s="54">
        <v>0</v>
      </c>
      <c r="AL49" s="177">
        <v>0</v>
      </c>
      <c r="AM49" s="54"/>
      <c r="AN49" s="177"/>
      <c r="AO49" s="54"/>
      <c r="AP49" s="54"/>
      <c r="AQ49" s="54"/>
      <c r="AS49" s="54"/>
      <c r="AT49" s="54"/>
      <c r="AU49" s="54"/>
      <c r="AZ49" s="10" t="s">
        <v>136</v>
      </c>
      <c r="BO49" s="10" t="s">
        <v>266</v>
      </c>
      <c r="BP49" s="10" t="s">
        <v>106</v>
      </c>
      <c r="BQ49" s="10" t="s">
        <v>343</v>
      </c>
      <c r="BR49" s="10" t="s">
        <v>343</v>
      </c>
      <c r="BS49" s="19" t="s">
        <v>343</v>
      </c>
    </row>
    <row r="50" spans="1:71" x14ac:dyDescent="0.3">
      <c r="B50" s="10" t="s">
        <v>327</v>
      </c>
      <c r="S50" s="55"/>
      <c r="AC50" s="54">
        <v>24.8</v>
      </c>
      <c r="AD50" s="55">
        <v>24.1</v>
      </c>
      <c r="AE50" s="54">
        <v>7</v>
      </c>
      <c r="AH50" s="55"/>
      <c r="AI50" s="54"/>
      <c r="AJ50" s="54"/>
      <c r="AK50" s="54"/>
      <c r="AL50" s="177"/>
      <c r="AM50" s="54"/>
      <c r="AN50" s="177"/>
      <c r="AO50" s="54"/>
      <c r="AP50" s="54"/>
      <c r="AQ50" s="54"/>
      <c r="AR50" s="54"/>
      <c r="AS50" s="54"/>
      <c r="AT50" s="54"/>
      <c r="AU50" s="54"/>
      <c r="AZ50" s="10" t="s">
        <v>327</v>
      </c>
      <c r="BO50" s="10" t="s">
        <v>268</v>
      </c>
      <c r="BP50" s="10" t="s">
        <v>133</v>
      </c>
      <c r="BQ50" s="10" t="s">
        <v>343</v>
      </c>
      <c r="BR50" s="10" t="s">
        <v>343</v>
      </c>
      <c r="BS50" s="19" t="s">
        <v>343</v>
      </c>
    </row>
    <row r="51" spans="1:71" x14ac:dyDescent="0.3">
      <c r="B51" s="10" t="s">
        <v>168</v>
      </c>
      <c r="S51" s="55"/>
      <c r="AB51" s="54">
        <v>3.8</v>
      </c>
      <c r="AD51" s="55">
        <v>2.4</v>
      </c>
      <c r="AH51" s="55"/>
      <c r="AI51" s="54"/>
      <c r="AJ51" s="54"/>
      <c r="AK51" s="54"/>
      <c r="AL51" s="177"/>
      <c r="AM51" s="54"/>
      <c r="AN51" s="177"/>
      <c r="AO51" s="54"/>
      <c r="AP51" s="54"/>
      <c r="AQ51" s="54"/>
      <c r="AR51" s="265"/>
      <c r="AS51" s="54"/>
      <c r="AT51" s="54"/>
      <c r="AU51" s="54"/>
      <c r="AZ51" s="10" t="s">
        <v>168</v>
      </c>
      <c r="BO51" s="10" t="s">
        <v>41</v>
      </c>
      <c r="BP51" s="10" t="s">
        <v>354</v>
      </c>
    </row>
    <row r="52" spans="1:71" x14ac:dyDescent="0.3">
      <c r="S52" s="55"/>
      <c r="AH52" s="55"/>
      <c r="AI52" s="64">
        <f>13.8+11.7+17.9+1.4+8.1</f>
        <v>52.9</v>
      </c>
      <c r="AJ52" s="54">
        <v>47.7</v>
      </c>
      <c r="AK52" s="54">
        <v>0</v>
      </c>
      <c r="AL52" s="176">
        <v>54.6</v>
      </c>
      <c r="AM52" s="54"/>
      <c r="AN52" s="177"/>
      <c r="AO52" s="54"/>
      <c r="AP52" s="54"/>
      <c r="AQ52" s="54"/>
      <c r="AR52" s="265"/>
      <c r="AS52" s="54"/>
      <c r="AT52" s="54"/>
      <c r="AU52" s="54"/>
      <c r="AZ52" s="10" t="s">
        <v>154</v>
      </c>
    </row>
    <row r="53" spans="1:71" x14ac:dyDescent="0.3">
      <c r="B53" s="10" t="s">
        <v>318</v>
      </c>
      <c r="S53" s="55"/>
      <c r="T53" s="54">
        <v>-0.25</v>
      </c>
      <c r="U53" s="55">
        <v>0</v>
      </c>
      <c r="V53" s="55">
        <v>-15.9</v>
      </c>
      <c r="W53" s="54">
        <v>0</v>
      </c>
      <c r="X53" s="55">
        <v>-0.5</v>
      </c>
      <c r="Y53" s="54">
        <v>-0.35</v>
      </c>
      <c r="Z53" s="55">
        <v>-1.4</v>
      </c>
      <c r="AA53" s="56">
        <v>0</v>
      </c>
      <c r="AB53" s="54">
        <v>0</v>
      </c>
      <c r="AC53" s="54">
        <v>0</v>
      </c>
      <c r="AD53" s="55">
        <v>0</v>
      </c>
      <c r="AE53" s="54">
        <v>0</v>
      </c>
      <c r="AF53" s="54">
        <v>0</v>
      </c>
      <c r="AG53" s="54">
        <v>0</v>
      </c>
      <c r="AH53" s="55">
        <v>0</v>
      </c>
      <c r="AI53" s="54">
        <v>-0.7</v>
      </c>
      <c r="AJ53" s="54">
        <v>-13.2</v>
      </c>
      <c r="AK53" s="55"/>
      <c r="AL53" s="177"/>
      <c r="AM53" s="54">
        <f>-30+0.3</f>
        <v>-29.7</v>
      </c>
      <c r="AN53" s="177">
        <v>-9.9</v>
      </c>
      <c r="AO53" s="54">
        <f>-81.6</f>
        <v>-81.599999999999994</v>
      </c>
      <c r="AP53" s="54">
        <f>-2.4-10.4</f>
        <v>-12.8</v>
      </c>
      <c r="AQ53" s="54">
        <f>-0.7-13-9.7</f>
        <v>-23.4</v>
      </c>
      <c r="AR53" s="265">
        <v>-3.8</v>
      </c>
      <c r="AS53" s="54">
        <v>-55.6</v>
      </c>
      <c r="AT53" s="311">
        <v>0</v>
      </c>
      <c r="AU53" s="311">
        <v>0</v>
      </c>
      <c r="AV53" s="64">
        <f>(-70.7)*((AV43+AV44+AV44+AV45+AV46))/(AV43+AV45+AV46+AV47+AV49+AV104+AV105+AV106+AV107+AV108+AV82)</f>
        <v>-35.757085781433609</v>
      </c>
      <c r="AW53" s="178">
        <f>(-2.2)*((AW43+AW44+AW44+AW45+AW46))/(AW43+AW45+AW46+AW47+AW49+AW104+AW105+AW106+AW107+AW108+AW82)</f>
        <v>-1.1180159101544223</v>
      </c>
      <c r="AX53" s="335">
        <v>0</v>
      </c>
      <c r="AY53" s="335">
        <v>0</v>
      </c>
      <c r="AZ53" s="10" t="s">
        <v>318</v>
      </c>
      <c r="BK53" s="10" t="s">
        <v>317</v>
      </c>
    </row>
    <row r="54" spans="1:71" x14ac:dyDescent="0.3">
      <c r="S54" s="55"/>
      <c r="AI54" s="54"/>
      <c r="AJ54" s="54"/>
      <c r="AK54" s="54"/>
      <c r="AL54" s="177"/>
      <c r="AM54" s="54"/>
      <c r="AN54" s="177"/>
      <c r="AO54" s="54"/>
      <c r="AP54" s="54"/>
      <c r="AQ54" s="74"/>
      <c r="AR54" s="266"/>
      <c r="AS54" s="54"/>
      <c r="AT54" s="54"/>
      <c r="AU54" s="54"/>
      <c r="AX54" s="5"/>
      <c r="AY54" s="5"/>
    </row>
    <row r="55" spans="1:71" s="1" customFormat="1" x14ac:dyDescent="0.3">
      <c r="A55" s="79" t="s">
        <v>258</v>
      </c>
      <c r="B55" s="80"/>
      <c r="C55" s="80"/>
      <c r="D55" s="80"/>
      <c r="E55" s="81">
        <f t="shared" ref="E55:X55" si="17">SUM(E43:E48)</f>
        <v>173.1</v>
      </c>
      <c r="F55" s="81">
        <f t="shared" si="17"/>
        <v>228.59999999999997</v>
      </c>
      <c r="G55" s="81">
        <f t="shared" si="17"/>
        <v>294.8</v>
      </c>
      <c r="H55" s="81">
        <f t="shared" si="17"/>
        <v>292.5</v>
      </c>
      <c r="I55" s="81">
        <f t="shared" si="17"/>
        <v>151.9</v>
      </c>
      <c r="J55" s="81">
        <f t="shared" si="17"/>
        <v>134.59999999999997</v>
      </c>
      <c r="K55" s="81">
        <f t="shared" si="17"/>
        <v>150.1</v>
      </c>
      <c r="L55" s="81">
        <f t="shared" si="17"/>
        <v>159.80000000000001</v>
      </c>
      <c r="M55" s="81">
        <f t="shared" si="17"/>
        <v>163.69999999999999</v>
      </c>
      <c r="N55" s="81">
        <f t="shared" si="17"/>
        <v>150.4</v>
      </c>
      <c r="O55" s="81">
        <f t="shared" si="17"/>
        <v>149.1</v>
      </c>
      <c r="P55" s="81">
        <f t="shared" si="17"/>
        <v>151.30000000000001</v>
      </c>
      <c r="Q55" s="81">
        <f t="shared" si="17"/>
        <v>189.3</v>
      </c>
      <c r="R55" s="81">
        <f t="shared" si="17"/>
        <v>226.5</v>
      </c>
      <c r="S55" s="81">
        <f t="shared" si="17"/>
        <v>256.5</v>
      </c>
      <c r="T55" s="81">
        <f t="shared" si="17"/>
        <v>309.2</v>
      </c>
      <c r="U55" s="81">
        <f t="shared" si="17"/>
        <v>377.4</v>
      </c>
      <c r="V55" s="81">
        <f t="shared" si="17"/>
        <v>418.29999999999995</v>
      </c>
      <c r="W55" s="81">
        <f t="shared" si="17"/>
        <v>361.90000000000003</v>
      </c>
      <c r="X55" s="81">
        <f t="shared" si="17"/>
        <v>394.4</v>
      </c>
      <c r="Y55" s="81">
        <f t="shared" ref="Y55:AL55" si="18">SUM(Y43:Y53)</f>
        <v>430.14999999999992</v>
      </c>
      <c r="Z55" s="81">
        <f t="shared" si="18"/>
        <v>482.39573170731711</v>
      </c>
      <c r="AA55" s="82">
        <f t="shared" si="18"/>
        <v>510.58736059479554</v>
      </c>
      <c r="AB55" s="81">
        <f t="shared" si="18"/>
        <v>561.43282392026572</v>
      </c>
      <c r="AC55" s="81">
        <f t="shared" si="18"/>
        <v>467.77260458839413</v>
      </c>
      <c r="AD55" s="81">
        <f t="shared" si="18"/>
        <v>492.90000000000003</v>
      </c>
      <c r="AE55" s="81">
        <f t="shared" si="18"/>
        <v>479.20000000000005</v>
      </c>
      <c r="AF55" s="90">
        <f t="shared" si="18"/>
        <v>412.72852680895375</v>
      </c>
      <c r="AG55" s="90">
        <f t="shared" si="18"/>
        <v>412.28462157809986</v>
      </c>
      <c r="AH55" s="90">
        <f t="shared" si="18"/>
        <v>407.72148794679964</v>
      </c>
      <c r="AI55" s="90">
        <f t="shared" si="18"/>
        <v>500.19146585389086</v>
      </c>
      <c r="AJ55" s="90">
        <f>SUM(AJ43:AJ53)</f>
        <v>620.68097754293262</v>
      </c>
      <c r="AK55" s="90">
        <f>SUM(AK43:AK53)</f>
        <v>672.2840548101085</v>
      </c>
      <c r="AL55" s="180">
        <f t="shared" si="18"/>
        <v>752.44709523139682</v>
      </c>
      <c r="AM55" s="90">
        <f t="shared" ref="AM55:AT55" si="19">SUM(AM43:AM53)</f>
        <v>671.78349265563054</v>
      </c>
      <c r="AN55" s="180">
        <f t="shared" si="19"/>
        <v>725.37712187544128</v>
      </c>
      <c r="AO55" s="90">
        <f t="shared" si="19"/>
        <v>625.46818013205723</v>
      </c>
      <c r="AP55" s="90">
        <f t="shared" si="19"/>
        <v>719.79121512404254</v>
      </c>
      <c r="AQ55" s="90">
        <f t="shared" si="19"/>
        <v>696.69102970442987</v>
      </c>
      <c r="AR55" s="90">
        <f t="shared" si="19"/>
        <v>820.55233160621765</v>
      </c>
      <c r="AS55" s="90">
        <f t="shared" si="19"/>
        <v>794.61866245807857</v>
      </c>
      <c r="AT55" s="90">
        <f t="shared" si="19"/>
        <v>952.32168450442066</v>
      </c>
      <c r="AU55" s="90">
        <f>SUM(AU43:AU53)</f>
        <v>979.07570172951523</v>
      </c>
      <c r="AV55" s="293">
        <f>SUM(AV43:AV53)</f>
        <v>1131.0264629847238</v>
      </c>
      <c r="AW55" s="293">
        <f>SUM(AW43:AW53)</f>
        <v>1176.1019185774451</v>
      </c>
      <c r="AX55" s="334">
        <f>SUM(AX43:AX53)</f>
        <v>1177.2199344875994</v>
      </c>
      <c r="AY55" s="334">
        <f>SUM(AY43:AY53)</f>
        <v>1709.8442160144564</v>
      </c>
      <c r="AZ55" s="80" t="s">
        <v>258</v>
      </c>
      <c r="BA55" s="80"/>
      <c r="BB55" s="80"/>
      <c r="BC55" s="80"/>
      <c r="BD55" s="80"/>
      <c r="BE55" s="29"/>
      <c r="BF55" s="11"/>
      <c r="BG55" s="29"/>
      <c r="BH55" s="29"/>
      <c r="BI55" s="11"/>
      <c r="BJ55" s="11"/>
      <c r="BK55" s="11"/>
      <c r="BL55" s="11"/>
      <c r="BM55" s="11"/>
      <c r="BN55" s="11"/>
      <c r="BO55" s="11"/>
      <c r="BP55" s="11"/>
      <c r="BQ55" s="11"/>
      <c r="BR55" s="11"/>
      <c r="BS55" s="30"/>
    </row>
    <row r="56" spans="1:71" x14ac:dyDescent="0.3">
      <c r="S56" s="55"/>
      <c r="AH56" s="87"/>
      <c r="AL56" s="53"/>
      <c r="AM56" s="70"/>
      <c r="AN56" s="179"/>
      <c r="AO56" s="70"/>
      <c r="AP56" s="310"/>
      <c r="AQ56" s="247"/>
      <c r="AR56" s="247"/>
      <c r="AS56" s="247"/>
      <c r="AT56" s="247"/>
      <c r="AU56" s="247"/>
      <c r="AV56" s="247"/>
      <c r="AW56" s="247"/>
      <c r="AX56" s="247"/>
      <c r="AY56" s="247"/>
      <c r="BD56" s="53"/>
      <c r="BI56" s="5"/>
      <c r="BJ56" s="5"/>
      <c r="BK56" s="5"/>
      <c r="BL56" s="5"/>
      <c r="BM56" s="5"/>
      <c r="BO56" s="5"/>
      <c r="BP56" s="5"/>
    </row>
    <row r="57" spans="1:71" x14ac:dyDescent="0.3">
      <c r="B57" s="96" t="s">
        <v>54</v>
      </c>
      <c r="C57" s="97"/>
      <c r="D57" s="97"/>
      <c r="E57" s="98"/>
      <c r="F57" s="98"/>
      <c r="G57" s="98"/>
      <c r="H57" s="98"/>
      <c r="I57" s="98"/>
      <c r="J57" s="98"/>
      <c r="K57" s="98"/>
      <c r="L57" s="98"/>
      <c r="M57" s="98"/>
      <c r="N57" s="98"/>
      <c r="O57" s="98"/>
      <c r="P57" s="98"/>
      <c r="Q57" s="98"/>
      <c r="R57" s="98"/>
      <c r="S57" s="99">
        <v>193.9</v>
      </c>
      <c r="T57" s="98">
        <v>185.4</v>
      </c>
      <c r="U57" s="99">
        <v>206.8</v>
      </c>
      <c r="V57" s="99">
        <v>214.8</v>
      </c>
      <c r="W57" s="98">
        <v>111.8</v>
      </c>
      <c r="X57" s="99">
        <v>120.8</v>
      </c>
      <c r="Y57" s="98">
        <v>125</v>
      </c>
      <c r="Z57" s="98">
        <v>133</v>
      </c>
      <c r="AA57" s="100">
        <v>135</v>
      </c>
      <c r="AB57" s="98">
        <v>152.69999999999999</v>
      </c>
      <c r="AC57" s="98">
        <v>230</v>
      </c>
      <c r="AD57" s="99">
        <v>223.5</v>
      </c>
      <c r="AE57" s="98">
        <v>227.2</v>
      </c>
      <c r="AF57" s="98">
        <v>228</v>
      </c>
      <c r="AG57" s="98">
        <v>238</v>
      </c>
      <c r="AH57" s="98">
        <v>200</v>
      </c>
      <c r="AI57" s="98">
        <v>222.7</v>
      </c>
      <c r="AJ57" s="115">
        <f>246.3+200</f>
        <v>446.3</v>
      </c>
      <c r="AK57" s="115">
        <f>4875+2.5</f>
        <v>4877.5</v>
      </c>
      <c r="AL57" s="171">
        <v>210</v>
      </c>
      <c r="AM57" s="98">
        <v>174.3</v>
      </c>
      <c r="AN57" s="171">
        <v>65</v>
      </c>
      <c r="AO57" s="98">
        <v>128.9</v>
      </c>
      <c r="AP57" s="98">
        <v>174</v>
      </c>
      <c r="AQ57" s="98">
        <v>193</v>
      </c>
      <c r="AR57" s="98">
        <v>215</v>
      </c>
      <c r="AS57" s="98">
        <v>225</v>
      </c>
      <c r="AT57" s="98">
        <v>248</v>
      </c>
      <c r="AU57" s="98">
        <v>257</v>
      </c>
      <c r="AV57" s="186">
        <v>305</v>
      </c>
      <c r="AW57" s="186">
        <v>310</v>
      </c>
      <c r="AX57" s="186">
        <v>310</v>
      </c>
      <c r="AY57" s="186">
        <v>0</v>
      </c>
      <c r="AZ57" s="97" t="s">
        <v>429</v>
      </c>
      <c r="BA57" s="97"/>
      <c r="BB57" s="97"/>
      <c r="BC57" s="97"/>
      <c r="BD57" s="97" t="s">
        <v>171</v>
      </c>
      <c r="BI57" s="26"/>
      <c r="BJ57" s="26"/>
      <c r="BK57" s="26"/>
      <c r="BL57" s="5"/>
      <c r="BM57" s="5"/>
      <c r="BO57" s="5" t="s">
        <v>2</v>
      </c>
      <c r="BP57" s="5" t="s">
        <v>160</v>
      </c>
      <c r="BQ57" s="10" t="s">
        <v>343</v>
      </c>
      <c r="BR57" s="10" t="s">
        <v>343</v>
      </c>
      <c r="BS57" s="19" t="s">
        <v>343</v>
      </c>
    </row>
    <row r="58" spans="1:71" x14ac:dyDescent="0.3">
      <c r="B58" s="96"/>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c r="AJ58" s="115"/>
      <c r="AK58" s="115"/>
      <c r="AL58" s="171"/>
      <c r="AM58" s="98"/>
      <c r="AN58" s="171"/>
      <c r="AO58" s="98"/>
      <c r="AP58" s="98"/>
      <c r="AQ58" s="98"/>
      <c r="AR58" s="98"/>
      <c r="AS58" s="98"/>
      <c r="AT58" s="98"/>
      <c r="AU58" s="98"/>
      <c r="AV58" s="186">
        <v>0</v>
      </c>
      <c r="AW58" s="186">
        <v>0</v>
      </c>
      <c r="AX58" s="186">
        <v>21</v>
      </c>
      <c r="AY58" s="186"/>
      <c r="AZ58" s="97" t="s">
        <v>430</v>
      </c>
      <c r="BA58" s="97"/>
      <c r="BB58" s="97"/>
      <c r="BC58" s="97"/>
      <c r="BD58" s="97"/>
      <c r="BI58" s="26"/>
      <c r="BJ58" s="26"/>
      <c r="BK58" s="26"/>
      <c r="BL58" s="5"/>
      <c r="BM58" s="5"/>
      <c r="BO58" s="5"/>
      <c r="BP58" s="5"/>
    </row>
    <row r="59" spans="1:71" x14ac:dyDescent="0.3">
      <c r="B59" s="96" t="s">
        <v>55</v>
      </c>
      <c r="C59" s="97"/>
      <c r="D59" s="97"/>
      <c r="E59" s="98"/>
      <c r="F59" s="98"/>
      <c r="G59" s="98"/>
      <c r="H59" s="98"/>
      <c r="I59" s="98"/>
      <c r="J59" s="98"/>
      <c r="K59" s="98"/>
      <c r="L59" s="98"/>
      <c r="M59" s="98"/>
      <c r="N59" s="98"/>
      <c r="O59" s="98"/>
      <c r="P59" s="98"/>
      <c r="Q59" s="98"/>
      <c r="R59" s="98"/>
      <c r="S59" s="99">
        <v>4</v>
      </c>
      <c r="T59" s="98">
        <v>4.5999999999999996</v>
      </c>
      <c r="U59" s="99">
        <v>15.5</v>
      </c>
      <c r="V59" s="99">
        <v>17.2</v>
      </c>
      <c r="W59" s="98">
        <v>16.2</v>
      </c>
      <c r="X59" s="99">
        <v>19.8</v>
      </c>
      <c r="Y59" s="98">
        <v>19.8</v>
      </c>
      <c r="Z59" s="98">
        <v>23.8</v>
      </c>
      <c r="AA59" s="100">
        <v>23.92</v>
      </c>
      <c r="AB59" s="98">
        <v>25.6</v>
      </c>
      <c r="AC59" s="98">
        <v>18.899999999999999</v>
      </c>
      <c r="AD59" s="99">
        <v>19.3</v>
      </c>
      <c r="AE59" s="98">
        <v>19.399999999999999</v>
      </c>
      <c r="AF59" s="98">
        <v>19.899999999999999</v>
      </c>
      <c r="AG59" s="98">
        <v>17</v>
      </c>
      <c r="AH59" s="98">
        <v>19.5</v>
      </c>
      <c r="AI59" s="98">
        <v>19.8</v>
      </c>
      <c r="AJ59" s="115">
        <v>22</v>
      </c>
      <c r="AK59" s="115">
        <v>22.4</v>
      </c>
      <c r="AL59" s="198">
        <v>32</v>
      </c>
      <c r="AM59" s="99">
        <v>30.4</v>
      </c>
      <c r="AN59" s="171">
        <v>29.9</v>
      </c>
      <c r="AO59" s="98">
        <v>28.3</v>
      </c>
      <c r="AP59" s="98">
        <v>28.2</v>
      </c>
      <c r="AQ59" s="99">
        <v>27</v>
      </c>
      <c r="AR59" s="99">
        <v>27</v>
      </c>
      <c r="AS59" s="99">
        <v>27</v>
      </c>
      <c r="AT59" s="318">
        <v>27</v>
      </c>
      <c r="AU59" s="318">
        <v>30</v>
      </c>
      <c r="AV59" s="186">
        <v>40</v>
      </c>
      <c r="AW59" s="186">
        <v>40</v>
      </c>
      <c r="AX59" s="186">
        <v>40</v>
      </c>
      <c r="AY59" s="186">
        <v>0</v>
      </c>
      <c r="AZ59" s="97" t="s">
        <v>55</v>
      </c>
      <c r="BA59" s="97"/>
      <c r="BB59" s="97"/>
      <c r="BC59" s="97"/>
      <c r="BD59" s="97" t="s">
        <v>171</v>
      </c>
      <c r="BI59" s="5"/>
      <c r="BJ59" s="5"/>
      <c r="BK59" s="5"/>
      <c r="BL59" s="5"/>
      <c r="BM59" s="5"/>
      <c r="BO59" s="5" t="s">
        <v>188</v>
      </c>
      <c r="BP59" s="5" t="s">
        <v>190</v>
      </c>
      <c r="BQ59" s="10" t="s">
        <v>343</v>
      </c>
      <c r="BR59" s="10" t="s">
        <v>343</v>
      </c>
      <c r="BS59" s="19" t="s">
        <v>343</v>
      </c>
    </row>
    <row r="60" spans="1:71" x14ac:dyDescent="0.3">
      <c r="B60" s="96" t="s">
        <v>56</v>
      </c>
      <c r="C60" s="97"/>
      <c r="D60" s="97"/>
      <c r="E60" s="98"/>
      <c r="F60" s="98"/>
      <c r="G60" s="98"/>
      <c r="H60" s="98"/>
      <c r="I60" s="98"/>
      <c r="J60" s="98"/>
      <c r="K60" s="98"/>
      <c r="L60" s="98"/>
      <c r="M60" s="98"/>
      <c r="N60" s="98"/>
      <c r="O60" s="98"/>
      <c r="P60" s="98"/>
      <c r="Q60" s="98"/>
      <c r="R60" s="98"/>
      <c r="S60" s="99">
        <v>16.2</v>
      </c>
      <c r="T60" s="98">
        <v>15.5</v>
      </c>
      <c r="U60" s="99">
        <v>18.3</v>
      </c>
      <c r="V60" s="99">
        <v>24</v>
      </c>
      <c r="W60" s="98">
        <v>26</v>
      </c>
      <c r="X60" s="99">
        <v>29</v>
      </c>
      <c r="Y60" s="98">
        <v>30.3</v>
      </c>
      <c r="Z60" s="98">
        <v>33</v>
      </c>
      <c r="AA60" s="100">
        <v>33.5</v>
      </c>
      <c r="AB60" s="98">
        <f>37.9+17.9</f>
        <v>55.8</v>
      </c>
      <c r="AC60" s="98">
        <v>45</v>
      </c>
      <c r="AD60" s="99">
        <v>44.7</v>
      </c>
      <c r="AE60" s="98">
        <f>44+2/3</f>
        <v>44.666666666666664</v>
      </c>
      <c r="AF60" s="98">
        <v>44.2</v>
      </c>
      <c r="AG60" s="98">
        <v>35.6</v>
      </c>
      <c r="AH60" s="98">
        <v>49.5</v>
      </c>
      <c r="AI60" s="98">
        <v>44.1</v>
      </c>
      <c r="AJ60" s="115">
        <v>50</v>
      </c>
      <c r="AK60" s="115">
        <v>3084.5</v>
      </c>
      <c r="AL60" s="172">
        <v>50</v>
      </c>
      <c r="AM60" s="115">
        <v>50</v>
      </c>
      <c r="AN60" s="172">
        <v>50</v>
      </c>
      <c r="AO60" s="115">
        <v>47.1</v>
      </c>
      <c r="AP60" s="115">
        <v>50</v>
      </c>
      <c r="AQ60" s="115">
        <v>50</v>
      </c>
      <c r="AR60" s="115">
        <v>50</v>
      </c>
      <c r="AS60" s="115">
        <v>50</v>
      </c>
      <c r="AT60" s="319">
        <v>55</v>
      </c>
      <c r="AU60" s="319">
        <v>55</v>
      </c>
      <c r="AV60" s="315">
        <v>62.5</v>
      </c>
      <c r="AW60" s="315">
        <v>62.5</v>
      </c>
      <c r="AX60" s="315">
        <v>62.5</v>
      </c>
      <c r="AY60" s="315">
        <v>0</v>
      </c>
      <c r="AZ60" s="97" t="s">
        <v>414</v>
      </c>
      <c r="BA60" s="97"/>
      <c r="BB60" s="97"/>
      <c r="BC60" s="97"/>
      <c r="BD60" s="97" t="s">
        <v>172</v>
      </c>
      <c r="BI60" s="26"/>
      <c r="BJ60" s="26"/>
      <c r="BK60" s="26"/>
      <c r="BL60" s="5"/>
      <c r="BM60" s="5" t="s">
        <v>202</v>
      </c>
      <c r="BO60" s="5" t="s">
        <v>0</v>
      </c>
      <c r="BP60" s="5" t="s">
        <v>161</v>
      </c>
      <c r="BQ60" s="10" t="s">
        <v>343</v>
      </c>
      <c r="BR60" s="10" t="s">
        <v>343</v>
      </c>
      <c r="BS60" s="19" t="s">
        <v>343</v>
      </c>
    </row>
    <row r="61" spans="1:71" x14ac:dyDescent="0.3">
      <c r="B61" s="97" t="s">
        <v>137</v>
      </c>
      <c r="C61" s="97"/>
      <c r="D61" s="97"/>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v>0</v>
      </c>
      <c r="AK61" s="115">
        <f>398+2786</f>
        <v>3184</v>
      </c>
      <c r="AL61" s="201">
        <v>0</v>
      </c>
      <c r="AM61" s="168">
        <v>0</v>
      </c>
      <c r="AN61" s="172">
        <v>0</v>
      </c>
      <c r="AO61" s="115">
        <v>0</v>
      </c>
      <c r="AP61" s="115">
        <v>0</v>
      </c>
      <c r="AQ61" s="115">
        <v>0</v>
      </c>
      <c r="AR61" s="115">
        <v>0</v>
      </c>
      <c r="AS61" s="115">
        <v>0</v>
      </c>
      <c r="AT61" s="115">
        <v>0</v>
      </c>
      <c r="AU61" s="115">
        <v>0</v>
      </c>
      <c r="AV61" s="315">
        <v>0</v>
      </c>
      <c r="AW61" s="315">
        <v>0</v>
      </c>
      <c r="AX61" s="315">
        <v>0</v>
      </c>
      <c r="AY61" s="315">
        <v>0</v>
      </c>
      <c r="AZ61" s="97" t="s">
        <v>137</v>
      </c>
      <c r="BA61" s="97"/>
      <c r="BB61" s="97"/>
      <c r="BC61" s="97"/>
      <c r="BD61" s="97" t="s">
        <v>171</v>
      </c>
      <c r="BE61" s="53"/>
      <c r="BF61" s="53"/>
      <c r="BG61" s="53"/>
      <c r="BI61" s="26"/>
      <c r="BJ61" s="26"/>
      <c r="BK61" s="26"/>
      <c r="BL61" s="5"/>
      <c r="BM61" s="5"/>
      <c r="BO61" s="5"/>
      <c r="BP61" s="5"/>
    </row>
    <row r="62" spans="1:71" x14ac:dyDescent="0.3">
      <c r="B62" s="97" t="s">
        <v>120</v>
      </c>
      <c r="C62" s="97"/>
      <c r="D62" s="97"/>
      <c r="E62" s="98"/>
      <c r="F62" s="98"/>
      <c r="G62" s="98"/>
      <c r="H62" s="98"/>
      <c r="I62" s="98"/>
      <c r="J62" s="98"/>
      <c r="K62" s="98"/>
      <c r="L62" s="98"/>
      <c r="M62" s="98"/>
      <c r="N62" s="98"/>
      <c r="O62" s="98"/>
      <c r="P62" s="98"/>
      <c r="Q62" s="98"/>
      <c r="R62" s="98"/>
      <c r="S62" s="99"/>
      <c r="T62" s="98"/>
      <c r="U62" s="99"/>
      <c r="V62" s="99"/>
      <c r="W62" s="98"/>
      <c r="X62" s="99"/>
      <c r="Y62" s="98"/>
      <c r="Z62" s="98"/>
      <c r="AA62" s="100"/>
      <c r="AB62" s="98"/>
      <c r="AC62" s="98"/>
      <c r="AD62" s="99"/>
      <c r="AE62" s="98"/>
      <c r="AF62" s="98"/>
      <c r="AG62" s="98"/>
      <c r="AH62" s="98"/>
      <c r="AI62" s="98">
        <v>0</v>
      </c>
      <c r="AJ62" s="115">
        <v>7510</v>
      </c>
      <c r="AK62" s="115">
        <v>10</v>
      </c>
      <c r="AL62" s="172">
        <v>20</v>
      </c>
      <c r="AM62" s="168">
        <v>10</v>
      </c>
      <c r="AN62" s="172">
        <v>6</v>
      </c>
      <c r="AO62" s="115">
        <v>5.7</v>
      </c>
      <c r="AP62" s="115">
        <v>6</v>
      </c>
      <c r="AQ62" s="168">
        <v>4</v>
      </c>
      <c r="AR62" s="168">
        <v>6</v>
      </c>
      <c r="AS62" s="168">
        <v>3.9</v>
      </c>
      <c r="AT62" s="168">
        <v>5</v>
      </c>
      <c r="AU62" s="168">
        <v>5</v>
      </c>
      <c r="AV62" s="315">
        <v>5</v>
      </c>
      <c r="AW62" s="315">
        <v>0</v>
      </c>
      <c r="AX62" s="315">
        <v>0</v>
      </c>
      <c r="AY62" s="315">
        <v>0</v>
      </c>
      <c r="AZ62" s="97" t="s">
        <v>120</v>
      </c>
      <c r="BA62" s="97"/>
      <c r="BB62" s="97"/>
      <c r="BC62" s="97"/>
      <c r="BD62" s="97" t="s">
        <v>171</v>
      </c>
      <c r="BI62" s="26"/>
      <c r="BJ62" s="26"/>
      <c r="BK62" s="26"/>
      <c r="BL62" s="5"/>
      <c r="BM62" s="5"/>
      <c r="BO62" s="5"/>
      <c r="BP62" s="5"/>
    </row>
    <row r="63" spans="1:71" x14ac:dyDescent="0.3">
      <c r="B63" s="97" t="s">
        <v>117</v>
      </c>
      <c r="C63" s="97"/>
      <c r="D63" s="97"/>
      <c r="E63" s="98"/>
      <c r="F63" s="98"/>
      <c r="G63" s="98"/>
      <c r="H63" s="98"/>
      <c r="I63" s="98"/>
      <c r="J63" s="98"/>
      <c r="K63" s="98"/>
      <c r="L63" s="98"/>
      <c r="M63" s="98"/>
      <c r="N63" s="98"/>
      <c r="O63" s="98"/>
      <c r="P63" s="98"/>
      <c r="Q63" s="98"/>
      <c r="R63" s="98"/>
      <c r="S63" s="99"/>
      <c r="T63" s="98"/>
      <c r="U63" s="99"/>
      <c r="V63" s="99"/>
      <c r="W63" s="98"/>
      <c r="X63" s="99"/>
      <c r="Y63" s="98"/>
      <c r="Z63" s="98"/>
      <c r="AA63" s="100"/>
      <c r="AB63" s="98"/>
      <c r="AC63" s="98"/>
      <c r="AD63" s="99"/>
      <c r="AE63" s="98"/>
      <c r="AF63" s="98"/>
      <c r="AG63" s="98"/>
      <c r="AH63" s="98"/>
      <c r="AI63" s="98"/>
      <c r="AJ63" s="115">
        <v>0</v>
      </c>
      <c r="AK63" s="168">
        <f>298.5+1990+298.5+398+48.6</f>
        <v>3033.6</v>
      </c>
      <c r="AL63" s="172">
        <v>0</v>
      </c>
      <c r="AM63" s="115">
        <v>0</v>
      </c>
      <c r="AN63" s="172">
        <v>0</v>
      </c>
      <c r="AO63" s="115">
        <v>0</v>
      </c>
      <c r="AP63" s="115">
        <v>0</v>
      </c>
      <c r="AQ63" s="115">
        <v>0</v>
      </c>
      <c r="AR63" s="115">
        <v>0</v>
      </c>
      <c r="AS63" s="115">
        <v>0</v>
      </c>
      <c r="AT63" s="115">
        <v>0</v>
      </c>
      <c r="AU63" s="115">
        <v>0</v>
      </c>
      <c r="AV63" s="315">
        <v>0</v>
      </c>
      <c r="AW63" s="315">
        <v>0</v>
      </c>
      <c r="AX63" s="315">
        <v>0</v>
      </c>
      <c r="AY63" s="315">
        <v>0</v>
      </c>
      <c r="AZ63" s="97" t="s">
        <v>214</v>
      </c>
      <c r="BA63" s="97"/>
      <c r="BB63" s="97"/>
      <c r="BC63" s="97"/>
      <c r="BD63" s="97"/>
      <c r="BI63" s="26"/>
      <c r="BJ63" s="26"/>
      <c r="BK63" s="26"/>
      <c r="BL63" s="5"/>
      <c r="BM63" s="5"/>
      <c r="BO63" s="5"/>
      <c r="BP63" s="5"/>
    </row>
    <row r="64" spans="1:71" x14ac:dyDescent="0.3">
      <c r="B64" s="97"/>
      <c r="C64" s="97"/>
      <c r="D64" s="97"/>
      <c r="E64" s="98"/>
      <c r="F64" s="98"/>
      <c r="G64" s="98"/>
      <c r="H64" s="98"/>
      <c r="I64" s="98"/>
      <c r="J64" s="98"/>
      <c r="K64" s="98"/>
      <c r="L64" s="98"/>
      <c r="M64" s="98"/>
      <c r="N64" s="98"/>
      <c r="O64" s="98"/>
      <c r="P64" s="98"/>
      <c r="Q64" s="98"/>
      <c r="R64" s="98"/>
      <c r="S64" s="99"/>
      <c r="T64" s="98"/>
      <c r="U64" s="99"/>
      <c r="V64" s="99"/>
      <c r="W64" s="98"/>
      <c r="X64" s="99"/>
      <c r="Y64" s="98"/>
      <c r="Z64" s="98"/>
      <c r="AA64" s="100"/>
      <c r="AB64" s="98"/>
      <c r="AC64" s="98"/>
      <c r="AD64" s="99"/>
      <c r="AE64" s="98"/>
      <c r="AF64" s="98"/>
      <c r="AG64" s="98"/>
      <c r="AH64" s="98"/>
      <c r="AI64" s="98"/>
      <c r="AJ64" s="115"/>
      <c r="AK64" s="168"/>
      <c r="AL64" s="172"/>
      <c r="AM64" s="115"/>
      <c r="AN64" s="172"/>
      <c r="AO64" s="115"/>
      <c r="AP64" s="115">
        <v>0</v>
      </c>
      <c r="AQ64" s="115">
        <v>0</v>
      </c>
      <c r="AR64" s="115">
        <v>0</v>
      </c>
      <c r="AS64" s="115">
        <v>0</v>
      </c>
      <c r="AT64" s="115">
        <v>0</v>
      </c>
      <c r="AU64" s="115">
        <v>0</v>
      </c>
      <c r="AV64" s="315">
        <v>0</v>
      </c>
      <c r="AW64" s="315">
        <v>0</v>
      </c>
      <c r="AX64" s="315">
        <v>0</v>
      </c>
      <c r="AY64" s="315">
        <v>0</v>
      </c>
      <c r="AZ64" s="186" t="s">
        <v>392</v>
      </c>
      <c r="BA64" s="97"/>
      <c r="BB64" s="97"/>
      <c r="BC64" s="97"/>
      <c r="BD64" s="97"/>
      <c r="BI64" s="26"/>
      <c r="BJ64" s="26"/>
      <c r="BK64" s="26"/>
      <c r="BL64" s="5"/>
      <c r="BM64" s="5"/>
      <c r="BO64" s="5"/>
      <c r="BP64" s="5"/>
    </row>
    <row r="65" spans="1:71" x14ac:dyDescent="0.3">
      <c r="B65" s="97"/>
      <c r="C65" s="97"/>
      <c r="D65" s="286" t="str">
        <f>AZ65</f>
        <v>21st Century Clean Transportation Plan Investments</v>
      </c>
      <c r="E65" s="98"/>
      <c r="F65" s="98"/>
      <c r="G65" s="98"/>
      <c r="H65" s="98"/>
      <c r="I65" s="98"/>
      <c r="J65" s="98"/>
      <c r="K65" s="98"/>
      <c r="L65" s="98"/>
      <c r="M65" s="98"/>
      <c r="N65" s="98"/>
      <c r="O65" s="98"/>
      <c r="P65" s="98"/>
      <c r="Q65" s="98"/>
      <c r="R65" s="98"/>
      <c r="S65" s="99"/>
      <c r="T65" s="98"/>
      <c r="U65" s="99"/>
      <c r="V65" s="99"/>
      <c r="W65" s="98"/>
      <c r="X65" s="99"/>
      <c r="Y65" s="98"/>
      <c r="Z65" s="98"/>
      <c r="AA65" s="100"/>
      <c r="AB65" s="98"/>
      <c r="AC65" s="98"/>
      <c r="AD65" s="99"/>
      <c r="AE65" s="98"/>
      <c r="AF65" s="98"/>
      <c r="AG65" s="98"/>
      <c r="AH65" s="98"/>
      <c r="AI65" s="98"/>
      <c r="AJ65" s="115"/>
      <c r="AK65" s="168"/>
      <c r="AL65" s="172"/>
      <c r="AM65" s="115"/>
      <c r="AN65" s="172"/>
      <c r="AO65" s="115"/>
      <c r="AP65" s="115"/>
      <c r="AQ65" s="115">
        <v>0</v>
      </c>
      <c r="AR65" s="115">
        <v>0</v>
      </c>
      <c r="AS65" s="115">
        <v>1335</v>
      </c>
      <c r="AT65" s="115">
        <v>0</v>
      </c>
      <c r="AU65" s="115">
        <v>0</v>
      </c>
      <c r="AV65" s="315">
        <v>0</v>
      </c>
      <c r="AW65" s="315">
        <v>0</v>
      </c>
      <c r="AX65" s="315">
        <v>0</v>
      </c>
      <c r="AY65" s="315">
        <v>0</v>
      </c>
      <c r="AZ65" s="186" t="s">
        <v>419</v>
      </c>
      <c r="BA65" s="97"/>
      <c r="BB65" s="97"/>
      <c r="BC65" s="97"/>
      <c r="BD65" s="97"/>
      <c r="BE65" s="5"/>
      <c r="BF65" s="5"/>
      <c r="BI65" s="26"/>
      <c r="BJ65" s="26"/>
      <c r="BK65" s="26"/>
      <c r="BL65" s="5"/>
      <c r="BM65" s="5"/>
      <c r="BO65" s="5"/>
      <c r="BP65" s="5"/>
    </row>
    <row r="66" spans="1:71" x14ac:dyDescent="0.3">
      <c r="B66" s="97"/>
      <c r="C66" s="97"/>
      <c r="D66" s="286"/>
      <c r="E66" s="98"/>
      <c r="F66" s="98"/>
      <c r="G66" s="98"/>
      <c r="H66" s="98"/>
      <c r="I66" s="98"/>
      <c r="J66" s="98"/>
      <c r="K66" s="98"/>
      <c r="L66" s="98"/>
      <c r="M66" s="98"/>
      <c r="N66" s="98"/>
      <c r="O66" s="98"/>
      <c r="P66" s="98"/>
      <c r="Q66" s="98"/>
      <c r="R66" s="98"/>
      <c r="S66" s="99"/>
      <c r="T66" s="98"/>
      <c r="U66" s="99"/>
      <c r="V66" s="99"/>
      <c r="W66" s="98"/>
      <c r="X66" s="99"/>
      <c r="Y66" s="98"/>
      <c r="Z66" s="98"/>
      <c r="AA66" s="100"/>
      <c r="AB66" s="98"/>
      <c r="AC66" s="98"/>
      <c r="AD66" s="99"/>
      <c r="AE66" s="98"/>
      <c r="AF66" s="98"/>
      <c r="AG66" s="98"/>
      <c r="AH66" s="98"/>
      <c r="AI66" s="98"/>
      <c r="AJ66" s="115"/>
      <c r="AK66" s="168"/>
      <c r="AL66" s="172"/>
      <c r="AM66" s="115"/>
      <c r="AN66" s="172"/>
      <c r="AO66" s="115"/>
      <c r="AP66" s="115"/>
      <c r="AQ66" s="115"/>
      <c r="AR66" s="115"/>
      <c r="AS66" s="115"/>
      <c r="AT66" s="115"/>
      <c r="AU66" s="115"/>
      <c r="AV66" s="315">
        <v>0</v>
      </c>
      <c r="AW66" s="315">
        <v>0</v>
      </c>
      <c r="AX66" s="315">
        <v>0</v>
      </c>
      <c r="AY66" s="315">
        <v>0</v>
      </c>
      <c r="AZ66" s="186" t="s">
        <v>431</v>
      </c>
      <c r="BA66" s="97"/>
      <c r="BB66" s="97"/>
      <c r="BC66" s="97"/>
      <c r="BD66" s="97"/>
      <c r="BE66" s="5"/>
      <c r="BF66" s="5"/>
      <c r="BI66" s="26"/>
      <c r="BJ66" s="26"/>
      <c r="BK66" s="26"/>
      <c r="BL66" s="5"/>
      <c r="BM66" s="5"/>
      <c r="BO66" s="5"/>
      <c r="BP66" s="5"/>
    </row>
    <row r="67" spans="1:71" x14ac:dyDescent="0.3">
      <c r="B67" s="97"/>
      <c r="C67" s="97"/>
      <c r="D67" s="286"/>
      <c r="E67" s="98"/>
      <c r="F67" s="98"/>
      <c r="G67" s="98"/>
      <c r="H67" s="98"/>
      <c r="I67" s="98"/>
      <c r="J67" s="98"/>
      <c r="K67" s="98"/>
      <c r="L67" s="98"/>
      <c r="M67" s="98"/>
      <c r="N67" s="98"/>
      <c r="O67" s="98"/>
      <c r="P67" s="98"/>
      <c r="Q67" s="98"/>
      <c r="R67" s="98"/>
      <c r="S67" s="99"/>
      <c r="T67" s="98"/>
      <c r="U67" s="99"/>
      <c r="V67" s="99"/>
      <c r="W67" s="98"/>
      <c r="X67" s="99"/>
      <c r="Y67" s="98"/>
      <c r="Z67" s="98"/>
      <c r="AA67" s="100"/>
      <c r="AB67" s="98"/>
      <c r="AC67" s="98"/>
      <c r="AD67" s="99"/>
      <c r="AE67" s="98"/>
      <c r="AF67" s="98"/>
      <c r="AG67" s="98"/>
      <c r="AH67" s="98"/>
      <c r="AI67" s="98"/>
      <c r="AJ67" s="115"/>
      <c r="AK67" s="168"/>
      <c r="AL67" s="172"/>
      <c r="AM67" s="115"/>
      <c r="AN67" s="172"/>
      <c r="AO67" s="115"/>
      <c r="AP67" s="115"/>
      <c r="AQ67" s="115"/>
      <c r="AR67" s="115"/>
      <c r="AS67" s="115"/>
      <c r="AT67" s="115"/>
      <c r="AU67" s="115"/>
      <c r="AV67" s="315"/>
      <c r="AW67" s="315"/>
      <c r="AX67" s="315">
        <v>0</v>
      </c>
      <c r="AY67" s="315">
        <v>0</v>
      </c>
      <c r="AZ67" s="186" t="s">
        <v>432</v>
      </c>
      <c r="BA67" s="97"/>
      <c r="BB67" s="97"/>
      <c r="BC67" s="97"/>
      <c r="BD67" s="97"/>
      <c r="BE67" s="5"/>
      <c r="BF67" s="5"/>
      <c r="BI67" s="26"/>
      <c r="BJ67" s="26"/>
      <c r="BK67" s="26"/>
      <c r="BL67" s="5"/>
      <c r="BM67" s="5"/>
      <c r="BO67" s="5"/>
      <c r="BP67" s="5"/>
    </row>
    <row r="68" spans="1:71" s="6" customFormat="1" x14ac:dyDescent="0.3">
      <c r="A68" s="31" t="s">
        <v>72</v>
      </c>
      <c r="B68" s="7"/>
      <c r="C68" s="7"/>
      <c r="D68" s="7"/>
      <c r="E68" s="60">
        <v>364.7</v>
      </c>
      <c r="F68" s="60">
        <v>402.2</v>
      </c>
      <c r="G68" s="60">
        <v>484.6</v>
      </c>
      <c r="H68" s="60">
        <v>416.8</v>
      </c>
      <c r="I68" s="60">
        <v>-6.5</v>
      </c>
      <c r="J68" s="60">
        <v>294.5</v>
      </c>
      <c r="K68" s="60">
        <v>280.2</v>
      </c>
      <c r="L68" s="60">
        <v>281.89999999999998</v>
      </c>
      <c r="M68" s="60">
        <v>252.7</v>
      </c>
      <c r="N68" s="60">
        <v>72</v>
      </c>
      <c r="O68" s="60">
        <v>153.19999999999999</v>
      </c>
      <c r="P68" s="60">
        <v>149.5</v>
      </c>
      <c r="Q68" s="60">
        <v>176.8</v>
      </c>
      <c r="R68" s="60">
        <v>234.4</v>
      </c>
      <c r="S68" s="60">
        <v>254.8</v>
      </c>
      <c r="T68" s="60">
        <v>270</v>
      </c>
      <c r="U68" s="60">
        <v>309</v>
      </c>
      <c r="V68" s="60">
        <v>324.7</v>
      </c>
      <c r="W68" s="60">
        <v>190</v>
      </c>
      <c r="X68" s="60"/>
      <c r="Y68" s="60"/>
      <c r="Z68" s="60"/>
      <c r="AA68" s="60">
        <v>0</v>
      </c>
      <c r="AB68" s="60">
        <v>124.5</v>
      </c>
      <c r="AC68" s="60">
        <f>40.95+8.23</f>
        <v>49.180000000000007</v>
      </c>
      <c r="AD68" s="60">
        <f>5.27+40.65</f>
        <v>45.92</v>
      </c>
      <c r="AE68" s="60">
        <v>34.4</v>
      </c>
      <c r="AF68" s="60">
        <f>2.3+33.9+6.5+5.5+5</f>
        <v>53.199999999999996</v>
      </c>
      <c r="AG68" s="60">
        <f>25.4+3.9+4+5</f>
        <v>38.299999999999997</v>
      </c>
      <c r="AH68" s="60">
        <f>2.3+4+5</f>
        <v>11.3</v>
      </c>
      <c r="AI68" s="60">
        <f>5.9</f>
        <v>5.9</v>
      </c>
      <c r="AJ68" s="60">
        <v>6</v>
      </c>
      <c r="AK68" s="60">
        <v>0</v>
      </c>
      <c r="AL68" s="173">
        <v>6</v>
      </c>
      <c r="AM68" s="60">
        <v>0</v>
      </c>
      <c r="AN68" s="173">
        <v>0</v>
      </c>
      <c r="AO68" s="60">
        <v>0</v>
      </c>
      <c r="AP68" s="60">
        <v>0</v>
      </c>
      <c r="AQ68" s="60">
        <v>0</v>
      </c>
      <c r="AR68" s="60">
        <v>0</v>
      </c>
      <c r="AS68" s="60">
        <v>0</v>
      </c>
      <c r="AT68" s="60">
        <v>0</v>
      </c>
      <c r="AU68" s="60">
        <v>0</v>
      </c>
      <c r="AV68" s="60">
        <v>0</v>
      </c>
      <c r="AW68" s="60">
        <v>0</v>
      </c>
      <c r="AX68" s="7">
        <v>0</v>
      </c>
      <c r="AY68" s="7">
        <v>0</v>
      </c>
      <c r="AZ68" s="7" t="s">
        <v>211</v>
      </c>
      <c r="BA68" s="7"/>
      <c r="BB68" s="7"/>
      <c r="BC68" s="7"/>
      <c r="BD68" s="37"/>
      <c r="BE68" s="7"/>
      <c r="BF68" s="7"/>
      <c r="BG68" s="7"/>
      <c r="BH68" s="7"/>
      <c r="BI68" s="7"/>
      <c r="BJ68" s="7"/>
      <c r="BK68" s="7"/>
      <c r="BL68" s="7"/>
      <c r="BM68" s="7"/>
      <c r="BN68" s="7"/>
      <c r="BO68" s="7" t="s">
        <v>336</v>
      </c>
      <c r="BP68" s="7" t="s">
        <v>162</v>
      </c>
      <c r="BQ68" s="10" t="s">
        <v>210</v>
      </c>
      <c r="BR68" s="10" t="s">
        <v>343</v>
      </c>
      <c r="BS68" s="19" t="s">
        <v>343</v>
      </c>
    </row>
    <row r="69" spans="1:71" s="6" customFormat="1" x14ac:dyDescent="0.3">
      <c r="A69" s="31" t="s">
        <v>7</v>
      </c>
      <c r="B69" s="7"/>
      <c r="C69" s="7"/>
      <c r="D69" s="7"/>
      <c r="E69" s="60"/>
      <c r="F69" s="60"/>
      <c r="G69" s="60"/>
      <c r="H69" s="60"/>
      <c r="I69" s="60"/>
      <c r="J69" s="60"/>
      <c r="K69" s="60"/>
      <c r="L69" s="60"/>
      <c r="M69" s="60"/>
      <c r="N69" s="60"/>
      <c r="O69" s="60"/>
      <c r="P69" s="60"/>
      <c r="Q69" s="60"/>
      <c r="R69" s="60"/>
      <c r="S69" s="60"/>
      <c r="T69" s="60"/>
      <c r="U69" s="60"/>
      <c r="V69" s="60"/>
      <c r="W69" s="60"/>
      <c r="X69" s="60"/>
      <c r="Y69" s="60"/>
      <c r="Z69" s="60"/>
      <c r="AA69" s="60"/>
      <c r="AB69" s="60">
        <v>0</v>
      </c>
      <c r="AC69" s="60">
        <v>0</v>
      </c>
      <c r="AD69" s="60"/>
      <c r="AE69" s="60"/>
      <c r="AF69" s="60"/>
      <c r="AG69" s="60">
        <v>3.3</v>
      </c>
      <c r="AH69" s="60"/>
      <c r="AI69" s="60"/>
      <c r="AJ69" s="60"/>
      <c r="AK69" s="60"/>
      <c r="AL69" s="173"/>
      <c r="AM69" s="60"/>
      <c r="AN69" s="173"/>
      <c r="AO69" s="60"/>
      <c r="AP69" s="60"/>
      <c r="AQ69" s="7"/>
      <c r="AR69" s="7"/>
      <c r="AS69" s="7"/>
      <c r="AT69" s="7"/>
      <c r="AU69" s="7"/>
      <c r="AV69" s="7"/>
      <c r="AW69" s="7"/>
      <c r="AX69" s="7"/>
      <c r="AY69" s="7"/>
      <c r="AZ69" s="7" t="s">
        <v>7</v>
      </c>
      <c r="BA69" s="7"/>
      <c r="BB69" s="7"/>
      <c r="BC69" s="7"/>
      <c r="BD69" s="37"/>
      <c r="BE69" s="7"/>
      <c r="BF69" s="7"/>
      <c r="BG69" s="7"/>
      <c r="BH69" s="7"/>
      <c r="BI69" s="7"/>
      <c r="BJ69" s="7"/>
      <c r="BK69" s="7"/>
      <c r="BL69" s="7"/>
      <c r="BM69" s="7"/>
      <c r="BN69" s="7"/>
      <c r="BO69" s="7"/>
      <c r="BP69" s="7"/>
      <c r="BQ69" s="7"/>
      <c r="BR69" s="7"/>
      <c r="BS69" s="38"/>
    </row>
    <row r="70" spans="1:71" s="1" customFormat="1" x14ac:dyDescent="0.3">
      <c r="A70" s="34" t="s">
        <v>288</v>
      </c>
      <c r="B70" s="11"/>
      <c r="C70" s="11"/>
      <c r="D70" s="11"/>
      <c r="E70" s="111">
        <f t="shared" ref="E70:AV70" si="20">SUM(E55:E69)</f>
        <v>537.79999999999995</v>
      </c>
      <c r="F70" s="111">
        <f t="shared" si="20"/>
        <v>630.79999999999995</v>
      </c>
      <c r="G70" s="111">
        <f t="shared" si="20"/>
        <v>779.40000000000009</v>
      </c>
      <c r="H70" s="111">
        <f t="shared" si="20"/>
        <v>709.3</v>
      </c>
      <c r="I70" s="111">
        <f t="shared" si="20"/>
        <v>145.4</v>
      </c>
      <c r="J70" s="111">
        <f t="shared" si="20"/>
        <v>429.09999999999997</v>
      </c>
      <c r="K70" s="111">
        <f t="shared" si="20"/>
        <v>430.29999999999995</v>
      </c>
      <c r="L70" s="111">
        <f t="shared" si="20"/>
        <v>441.7</v>
      </c>
      <c r="M70" s="111">
        <f t="shared" si="20"/>
        <v>416.4</v>
      </c>
      <c r="N70" s="111">
        <f t="shared" si="20"/>
        <v>222.4</v>
      </c>
      <c r="O70" s="111">
        <f t="shared" si="20"/>
        <v>302.29999999999995</v>
      </c>
      <c r="P70" s="111">
        <f t="shared" si="20"/>
        <v>300.8</v>
      </c>
      <c r="Q70" s="111">
        <f t="shared" si="20"/>
        <v>366.1</v>
      </c>
      <c r="R70" s="111">
        <f t="shared" si="20"/>
        <v>460.9</v>
      </c>
      <c r="S70" s="111">
        <f t="shared" si="20"/>
        <v>725.4</v>
      </c>
      <c r="T70" s="111">
        <f t="shared" si="20"/>
        <v>784.7</v>
      </c>
      <c r="U70" s="111">
        <f t="shared" si="20"/>
        <v>927</v>
      </c>
      <c r="V70" s="111">
        <f t="shared" si="20"/>
        <v>999</v>
      </c>
      <c r="W70" s="111">
        <f t="shared" si="20"/>
        <v>705.90000000000009</v>
      </c>
      <c r="X70" s="111">
        <f t="shared" si="20"/>
        <v>563.99999999999989</v>
      </c>
      <c r="Y70" s="111">
        <f t="shared" si="20"/>
        <v>605.24999999999977</v>
      </c>
      <c r="Z70" s="111">
        <f t="shared" si="20"/>
        <v>672.19573170731701</v>
      </c>
      <c r="AA70" s="111">
        <f t="shared" si="20"/>
        <v>703.0073605947955</v>
      </c>
      <c r="AB70" s="111">
        <f t="shared" si="20"/>
        <v>920.03282392026574</v>
      </c>
      <c r="AC70" s="111">
        <f t="shared" si="20"/>
        <v>810.85260458839412</v>
      </c>
      <c r="AD70" s="111">
        <f t="shared" si="20"/>
        <v>826.32</v>
      </c>
      <c r="AE70" s="111">
        <f t="shared" si="20"/>
        <v>804.86666666666667</v>
      </c>
      <c r="AF70" s="111">
        <f t="shared" si="20"/>
        <v>758.02852680895387</v>
      </c>
      <c r="AG70" s="111">
        <f t="shared" si="20"/>
        <v>744.48462157809979</v>
      </c>
      <c r="AH70" s="111">
        <f t="shared" si="20"/>
        <v>688.02148794679965</v>
      </c>
      <c r="AI70" s="111">
        <f t="shared" si="20"/>
        <v>792.6914658538908</v>
      </c>
      <c r="AJ70" s="111">
        <f t="shared" si="20"/>
        <v>8654.980977542933</v>
      </c>
      <c r="AK70" s="111">
        <f t="shared" si="20"/>
        <v>14884.284054810109</v>
      </c>
      <c r="AL70" s="111">
        <f t="shared" si="20"/>
        <v>1070.4470952313968</v>
      </c>
      <c r="AM70" s="111">
        <f t="shared" si="20"/>
        <v>936.48349265563058</v>
      </c>
      <c r="AN70" s="111">
        <f t="shared" si="20"/>
        <v>876.27712187544125</v>
      </c>
      <c r="AO70" s="111">
        <f t="shared" si="20"/>
        <v>835.46818013205723</v>
      </c>
      <c r="AP70" s="111">
        <f t="shared" si="20"/>
        <v>977.99121512404258</v>
      </c>
      <c r="AQ70" s="111">
        <f t="shared" si="20"/>
        <v>970.69102970442987</v>
      </c>
      <c r="AR70" s="111">
        <f t="shared" si="20"/>
        <v>1118.5523316062176</v>
      </c>
      <c r="AS70" s="111">
        <f t="shared" si="20"/>
        <v>2435.5186624580788</v>
      </c>
      <c r="AT70" s="111">
        <f t="shared" si="20"/>
        <v>1287.3216845044208</v>
      </c>
      <c r="AU70" s="111">
        <f t="shared" si="20"/>
        <v>1326.0757017295152</v>
      </c>
      <c r="AV70" s="111">
        <f t="shared" si="20"/>
        <v>1543.5264629847238</v>
      </c>
      <c r="AW70" s="111">
        <f t="shared" ref="AW70" si="21">SUM(AW55:AW69)</f>
        <v>1588.6019185774451</v>
      </c>
      <c r="AX70" s="111">
        <f>SUM(AX55:AX69)</f>
        <v>1610.7199344875994</v>
      </c>
      <c r="AY70" s="111">
        <f>SUM(AY55:AY69)</f>
        <v>1709.8442160144564</v>
      </c>
      <c r="AZ70" s="11" t="s">
        <v>288</v>
      </c>
      <c r="BA70" s="11"/>
      <c r="BB70" s="11"/>
      <c r="BC70" s="11"/>
      <c r="BD70" s="11"/>
      <c r="BE70" s="11"/>
      <c r="BF70" s="11"/>
      <c r="BG70" s="29"/>
      <c r="BH70" s="29"/>
      <c r="BI70" s="11"/>
      <c r="BJ70" s="11"/>
      <c r="BK70" s="11"/>
      <c r="BL70" s="11"/>
      <c r="BM70" s="11"/>
      <c r="BN70" s="11"/>
      <c r="BO70" s="11"/>
      <c r="BP70" s="11"/>
      <c r="BQ70" s="11"/>
      <c r="BR70" s="11"/>
      <c r="BS70" s="30"/>
    </row>
    <row r="71" spans="1:71" s="1" customFormat="1" x14ac:dyDescent="0.3">
      <c r="A71" s="34"/>
      <c r="B71" s="11"/>
      <c r="C71" s="11"/>
      <c r="D71" s="11"/>
      <c r="E71" s="254">
        <f t="shared" ref="E71:AW71" si="22">SUM(E57:E67)</f>
        <v>0</v>
      </c>
      <c r="F71" s="254">
        <f t="shared" si="22"/>
        <v>0</v>
      </c>
      <c r="G71" s="254">
        <f t="shared" si="22"/>
        <v>0</v>
      </c>
      <c r="H71" s="254">
        <f t="shared" si="22"/>
        <v>0</v>
      </c>
      <c r="I71" s="254">
        <f t="shared" si="22"/>
        <v>0</v>
      </c>
      <c r="J71" s="254">
        <f t="shared" si="22"/>
        <v>0</v>
      </c>
      <c r="K71" s="254">
        <f t="shared" si="22"/>
        <v>0</v>
      </c>
      <c r="L71" s="254">
        <f t="shared" si="22"/>
        <v>0</v>
      </c>
      <c r="M71" s="254">
        <f t="shared" si="22"/>
        <v>0</v>
      </c>
      <c r="N71" s="254">
        <f t="shared" si="22"/>
        <v>0</v>
      </c>
      <c r="O71" s="254">
        <f t="shared" si="22"/>
        <v>0</v>
      </c>
      <c r="P71" s="254">
        <f t="shared" si="22"/>
        <v>0</v>
      </c>
      <c r="Q71" s="254">
        <f t="shared" si="22"/>
        <v>0</v>
      </c>
      <c r="R71" s="254">
        <f t="shared" si="22"/>
        <v>0</v>
      </c>
      <c r="S71" s="254">
        <f t="shared" si="22"/>
        <v>214.1</v>
      </c>
      <c r="T71" s="254">
        <f t="shared" si="22"/>
        <v>205.5</v>
      </c>
      <c r="U71" s="254">
        <f t="shared" si="22"/>
        <v>240.60000000000002</v>
      </c>
      <c r="V71" s="254">
        <f t="shared" si="22"/>
        <v>256</v>
      </c>
      <c r="W71" s="254">
        <f t="shared" si="22"/>
        <v>154</v>
      </c>
      <c r="X71" s="254">
        <f t="shared" si="22"/>
        <v>169.6</v>
      </c>
      <c r="Y71" s="254">
        <f t="shared" si="22"/>
        <v>175.10000000000002</v>
      </c>
      <c r="Z71" s="254">
        <f t="shared" si="22"/>
        <v>189.8</v>
      </c>
      <c r="AA71" s="254">
        <f t="shared" si="22"/>
        <v>192.42000000000002</v>
      </c>
      <c r="AB71" s="254">
        <f t="shared" si="22"/>
        <v>234.09999999999997</v>
      </c>
      <c r="AC71" s="254">
        <f t="shared" si="22"/>
        <v>293.89999999999998</v>
      </c>
      <c r="AD71" s="254">
        <f t="shared" si="22"/>
        <v>287.5</v>
      </c>
      <c r="AE71" s="254">
        <f t="shared" si="22"/>
        <v>291.26666666666665</v>
      </c>
      <c r="AF71" s="254">
        <f t="shared" si="22"/>
        <v>292.10000000000002</v>
      </c>
      <c r="AG71" s="254">
        <f t="shared" si="22"/>
        <v>290.60000000000002</v>
      </c>
      <c r="AH71" s="254">
        <f t="shared" si="22"/>
        <v>269</v>
      </c>
      <c r="AI71" s="254">
        <f t="shared" si="22"/>
        <v>286.60000000000002</v>
      </c>
      <c r="AJ71" s="254">
        <f t="shared" si="22"/>
        <v>8028.3</v>
      </c>
      <c r="AK71" s="254">
        <f t="shared" si="22"/>
        <v>14212</v>
      </c>
      <c r="AL71" s="254">
        <f t="shared" si="22"/>
        <v>312</v>
      </c>
      <c r="AM71" s="254">
        <f t="shared" si="22"/>
        <v>264.70000000000005</v>
      </c>
      <c r="AN71" s="254">
        <f t="shared" si="22"/>
        <v>150.9</v>
      </c>
      <c r="AO71" s="254">
        <f t="shared" si="22"/>
        <v>210</v>
      </c>
      <c r="AP71" s="254">
        <f t="shared" si="22"/>
        <v>258.2</v>
      </c>
      <c r="AQ71" s="254">
        <f t="shared" si="22"/>
        <v>274</v>
      </c>
      <c r="AR71" s="254">
        <f t="shared" si="22"/>
        <v>298</v>
      </c>
      <c r="AS71" s="254">
        <f t="shared" si="22"/>
        <v>1640.9</v>
      </c>
      <c r="AT71" s="254">
        <f t="shared" si="22"/>
        <v>335</v>
      </c>
      <c r="AU71" s="254">
        <f t="shared" si="22"/>
        <v>347</v>
      </c>
      <c r="AV71" s="254">
        <f t="shared" si="22"/>
        <v>412.5</v>
      </c>
      <c r="AW71" s="254">
        <f t="shared" si="22"/>
        <v>412.5</v>
      </c>
      <c r="AX71" s="254">
        <f>SUM(AX57:AX67)</f>
        <v>433.5</v>
      </c>
      <c r="AY71" s="254">
        <f>SUM(AY57:AY67)</f>
        <v>0</v>
      </c>
      <c r="AZ71" s="330" t="s">
        <v>446</v>
      </c>
      <c r="BA71" s="11"/>
      <c r="BB71" s="11"/>
      <c r="BC71" s="11"/>
      <c r="BD71" s="11"/>
      <c r="BE71" s="11"/>
      <c r="BF71" s="11"/>
      <c r="BG71" s="29"/>
      <c r="BH71" s="29"/>
      <c r="BI71" s="11"/>
      <c r="BJ71" s="11"/>
      <c r="BK71" s="11"/>
      <c r="BL71" s="11"/>
      <c r="BM71" s="11"/>
      <c r="BN71" s="11"/>
      <c r="BO71" s="11"/>
      <c r="BP71" s="11"/>
      <c r="BQ71" s="11"/>
      <c r="BR71" s="11"/>
      <c r="BS71" s="30"/>
    </row>
    <row r="72" spans="1:71" s="1" customFormat="1" x14ac:dyDescent="0.3">
      <c r="A72" s="11"/>
      <c r="B72" s="11"/>
      <c r="C72" s="11"/>
      <c r="D72" s="11"/>
      <c r="E72" s="11"/>
      <c r="F72" s="11"/>
      <c r="G72" s="11"/>
      <c r="H72" s="11"/>
      <c r="I72" s="11"/>
      <c r="J72" s="11"/>
      <c r="K72" s="11"/>
      <c r="L72" s="11"/>
      <c r="M72" s="11"/>
      <c r="N72" s="11"/>
      <c r="O72" s="11"/>
      <c r="P72" s="11"/>
      <c r="Q72" s="11"/>
      <c r="R72" s="11"/>
      <c r="S72" s="29"/>
      <c r="T72" s="11"/>
      <c r="U72" s="29"/>
      <c r="V72" s="29"/>
      <c r="W72" s="11"/>
      <c r="X72" s="29"/>
      <c r="Y72" s="11"/>
      <c r="Z72" s="11"/>
      <c r="AA72" s="5"/>
      <c r="AB72" s="11"/>
      <c r="AC72" s="11"/>
      <c r="AD72" s="29"/>
      <c r="AE72" s="11"/>
      <c r="AF72" s="11"/>
      <c r="AG72" s="11"/>
      <c r="AH72" s="11"/>
      <c r="AI72" s="11"/>
      <c r="AJ72" s="11"/>
      <c r="AK72" s="136"/>
      <c r="AL72" s="11"/>
      <c r="AM72" s="58"/>
      <c r="AN72" s="174"/>
      <c r="AO72" s="58"/>
      <c r="AP72" s="111"/>
      <c r="AQ72" s="185"/>
      <c r="AR72" s="271"/>
      <c r="AS72" s="111"/>
      <c r="AT72" s="136"/>
      <c r="AU72" s="136"/>
      <c r="AV72" s="136"/>
      <c r="AW72" s="136"/>
      <c r="AX72" s="136"/>
      <c r="AY72" s="136"/>
      <c r="AZ72" s="330"/>
      <c r="BA72" s="11"/>
      <c r="BB72" s="11"/>
      <c r="BC72" s="11"/>
      <c r="BD72" s="11"/>
      <c r="BE72" s="11"/>
      <c r="BF72" s="11"/>
      <c r="BG72" s="29"/>
      <c r="BH72" s="29"/>
      <c r="BI72" s="11"/>
      <c r="BJ72" s="11"/>
      <c r="BK72" s="11"/>
      <c r="BL72" s="11"/>
      <c r="BM72" s="11"/>
      <c r="BN72" s="11"/>
      <c r="BO72" s="11"/>
      <c r="BP72" s="11"/>
      <c r="BQ72" s="11"/>
      <c r="BR72" s="11"/>
      <c r="BS72" s="30"/>
    </row>
    <row r="73" spans="1:71" s="1" customFormat="1" x14ac:dyDescent="0.3">
      <c r="A73" s="102" t="s">
        <v>150</v>
      </c>
      <c r="B73" s="103"/>
      <c r="C73" s="103"/>
      <c r="D73" s="103"/>
      <c r="E73" s="117"/>
      <c r="F73" s="117"/>
      <c r="G73" s="117"/>
      <c r="H73" s="117"/>
      <c r="I73" s="117"/>
      <c r="J73" s="117"/>
      <c r="K73" s="117"/>
      <c r="L73" s="117"/>
      <c r="M73" s="117"/>
      <c r="N73" s="117"/>
      <c r="O73" s="117"/>
      <c r="P73" s="117"/>
      <c r="Q73" s="117"/>
      <c r="R73" s="117"/>
      <c r="S73" s="118"/>
      <c r="T73" s="117"/>
      <c r="U73" s="118"/>
      <c r="V73" s="118"/>
      <c r="W73" s="117"/>
      <c r="X73" s="118"/>
      <c r="Y73" s="117"/>
      <c r="Z73" s="117"/>
      <c r="AA73" s="120"/>
      <c r="AB73" s="117"/>
      <c r="AC73" s="117"/>
      <c r="AD73" s="118"/>
      <c r="AE73" s="117"/>
      <c r="AF73" s="117"/>
      <c r="AG73" s="117"/>
      <c r="AH73" s="117"/>
      <c r="AI73" s="103"/>
      <c r="AJ73" s="103"/>
      <c r="AK73" s="103"/>
      <c r="AL73" s="103"/>
      <c r="AM73" s="104"/>
      <c r="AN73" s="236"/>
      <c r="AO73" s="104"/>
      <c r="AP73" s="104"/>
      <c r="AQ73" s="104"/>
      <c r="AR73" s="104"/>
      <c r="AS73" s="104"/>
      <c r="AT73" s="103"/>
      <c r="AU73" s="103"/>
      <c r="AV73" s="103"/>
      <c r="AW73" s="103"/>
      <c r="AX73" s="103"/>
      <c r="AY73" s="103"/>
      <c r="AZ73" s="102" t="s">
        <v>150</v>
      </c>
      <c r="BA73" s="103"/>
      <c r="BB73" s="103"/>
      <c r="BC73" s="103"/>
      <c r="BD73" s="11"/>
      <c r="BE73" s="11"/>
      <c r="BF73" s="11"/>
      <c r="BG73" s="29"/>
      <c r="BH73" s="29"/>
      <c r="BI73" s="11"/>
      <c r="BJ73" s="11"/>
      <c r="BK73" s="11"/>
      <c r="BL73" s="11"/>
      <c r="BM73" s="11"/>
      <c r="BN73" s="11"/>
      <c r="BO73" s="11"/>
      <c r="BP73" s="11"/>
      <c r="BQ73" s="11"/>
      <c r="BR73" s="11"/>
      <c r="BS73" s="30"/>
    </row>
    <row r="74" spans="1:71" s="1" customFormat="1" x14ac:dyDescent="0.3">
      <c r="A74" s="194"/>
      <c r="B74" s="186" t="s">
        <v>148</v>
      </c>
      <c r="C74" s="195"/>
      <c r="D74" s="195"/>
      <c r="E74" s="104"/>
      <c r="F74" s="104"/>
      <c r="G74" s="104"/>
      <c r="H74" s="104"/>
      <c r="I74" s="104"/>
      <c r="J74" s="104"/>
      <c r="K74" s="104"/>
      <c r="L74" s="104"/>
      <c r="M74" s="104"/>
      <c r="N74" s="104"/>
      <c r="O74" s="104"/>
      <c r="P74" s="104"/>
      <c r="Q74" s="104"/>
      <c r="R74" s="104"/>
      <c r="S74" s="105"/>
      <c r="T74" s="104"/>
      <c r="U74" s="105"/>
      <c r="V74" s="105"/>
      <c r="W74" s="104"/>
      <c r="X74" s="105"/>
      <c r="Y74" s="104"/>
      <c r="Z74" s="104"/>
      <c r="AA74" s="100"/>
      <c r="AB74" s="104"/>
      <c r="AC74" s="104"/>
      <c r="AD74" s="105"/>
      <c r="AE74" s="104"/>
      <c r="AF74" s="104"/>
      <c r="AG74" s="104"/>
      <c r="AH74" s="104"/>
      <c r="AI74" s="98">
        <v>4.5</v>
      </c>
      <c r="AJ74" s="98">
        <v>0</v>
      </c>
      <c r="AK74" s="98">
        <v>0</v>
      </c>
      <c r="AL74" s="171">
        <v>0</v>
      </c>
      <c r="AM74" s="98">
        <v>169.7</v>
      </c>
      <c r="AN74" s="171">
        <v>0</v>
      </c>
      <c r="AO74" s="98">
        <v>0</v>
      </c>
      <c r="AP74" s="98">
        <v>20</v>
      </c>
      <c r="AQ74" s="270">
        <v>17</v>
      </c>
      <c r="AR74" s="98">
        <v>17</v>
      </c>
      <c r="AS74" s="98">
        <v>-0.1</v>
      </c>
      <c r="AT74" s="186">
        <v>30.9</v>
      </c>
      <c r="AU74" s="186">
        <v>12.3</v>
      </c>
      <c r="AV74" s="186">
        <f>29+5</f>
        <v>34</v>
      </c>
      <c r="AW74" s="186">
        <v>29</v>
      </c>
      <c r="AX74" s="186">
        <v>29</v>
      </c>
      <c r="AY74" s="186">
        <v>168.2</v>
      </c>
      <c r="AZ74" s="97" t="s">
        <v>444</v>
      </c>
      <c r="BA74" s="103"/>
      <c r="BB74" s="103"/>
      <c r="BC74" s="103"/>
      <c r="BD74" s="11"/>
      <c r="BE74" s="11"/>
      <c r="BF74" s="11"/>
      <c r="BG74" s="29"/>
      <c r="BH74" s="29"/>
      <c r="BI74" s="11"/>
      <c r="BJ74" s="11"/>
      <c r="BK74" s="11"/>
      <c r="BL74" s="11"/>
      <c r="BM74" s="11"/>
      <c r="BN74" s="11"/>
      <c r="BO74" s="11"/>
      <c r="BP74" s="11"/>
      <c r="BQ74" s="11"/>
      <c r="BR74" s="11"/>
      <c r="BS74" s="30"/>
    </row>
    <row r="75" spans="1:71" s="1" customFormat="1" x14ac:dyDescent="0.3">
      <c r="A75" s="194"/>
      <c r="B75" s="186"/>
      <c r="C75" s="195"/>
      <c r="D75" s="195"/>
      <c r="E75" s="104"/>
      <c r="F75" s="104"/>
      <c r="G75" s="104"/>
      <c r="H75" s="104"/>
      <c r="I75" s="104"/>
      <c r="J75" s="104"/>
      <c r="K75" s="104"/>
      <c r="L75" s="104"/>
      <c r="M75" s="104"/>
      <c r="N75" s="104"/>
      <c r="O75" s="104"/>
      <c r="P75" s="104"/>
      <c r="Q75" s="104"/>
      <c r="R75" s="104"/>
      <c r="S75" s="105"/>
      <c r="T75" s="104"/>
      <c r="U75" s="105"/>
      <c r="V75" s="105"/>
      <c r="W75" s="104"/>
      <c r="X75" s="105"/>
      <c r="Y75" s="104"/>
      <c r="Z75" s="104"/>
      <c r="AA75" s="100"/>
      <c r="AB75" s="104"/>
      <c r="AC75" s="104"/>
      <c r="AD75" s="105"/>
      <c r="AE75" s="104"/>
      <c r="AF75" s="104"/>
      <c r="AG75" s="104"/>
      <c r="AH75" s="104"/>
      <c r="AI75" s="98"/>
      <c r="AJ75" s="98"/>
      <c r="AK75" s="98"/>
      <c r="AL75" s="171"/>
      <c r="AM75" s="98"/>
      <c r="AN75" s="171"/>
      <c r="AO75" s="98"/>
      <c r="AP75" s="98"/>
      <c r="AQ75" s="329"/>
      <c r="AR75" s="272"/>
      <c r="AS75" s="98"/>
      <c r="AT75" s="186"/>
      <c r="AU75" s="186"/>
      <c r="AV75" s="186">
        <v>0</v>
      </c>
      <c r="AW75" s="186">
        <f>-392-1908</f>
        <v>-2300</v>
      </c>
      <c r="AX75" s="186">
        <v>0</v>
      </c>
      <c r="AY75" s="186"/>
      <c r="AZ75" s="97" t="s">
        <v>459</v>
      </c>
      <c r="BA75" s="103"/>
      <c r="BB75" s="103"/>
      <c r="BC75" s="103"/>
      <c r="BD75" s="11"/>
      <c r="BE75" s="11"/>
      <c r="BF75" s="11"/>
      <c r="BG75" s="29"/>
      <c r="BH75" s="29"/>
      <c r="BI75" s="11"/>
      <c r="BJ75" s="11"/>
      <c r="BK75" s="11"/>
      <c r="BL75" s="11"/>
      <c r="BM75" s="11"/>
      <c r="BN75" s="11"/>
      <c r="BO75" s="11"/>
      <c r="BP75" s="11"/>
      <c r="BQ75" s="11"/>
      <c r="BR75" s="11"/>
      <c r="BS75" s="30"/>
    </row>
    <row r="76" spans="1:71" s="1" customFormat="1" x14ac:dyDescent="0.3">
      <c r="A76" s="194"/>
      <c r="B76" s="186" t="s">
        <v>149</v>
      </c>
      <c r="C76" s="195"/>
      <c r="D76" s="195"/>
      <c r="E76" s="104"/>
      <c r="F76" s="104"/>
      <c r="G76" s="104"/>
      <c r="H76" s="104"/>
      <c r="I76" s="104"/>
      <c r="J76" s="104"/>
      <c r="K76" s="104"/>
      <c r="L76" s="104"/>
      <c r="M76" s="104"/>
      <c r="N76" s="104"/>
      <c r="O76" s="104"/>
      <c r="P76" s="104"/>
      <c r="Q76" s="104"/>
      <c r="R76" s="104"/>
      <c r="S76" s="105"/>
      <c r="T76" s="104"/>
      <c r="U76" s="105"/>
      <c r="V76" s="105"/>
      <c r="W76" s="104"/>
      <c r="X76" s="105"/>
      <c r="Y76" s="104"/>
      <c r="Z76" s="104"/>
      <c r="AA76" s="100"/>
      <c r="AB76" s="104"/>
      <c r="AC76" s="104"/>
      <c r="AD76" s="105"/>
      <c r="AE76" s="104"/>
      <c r="AF76" s="104"/>
      <c r="AG76" s="104"/>
      <c r="AH76" s="104"/>
      <c r="AI76" s="98">
        <v>0</v>
      </c>
      <c r="AJ76" s="98">
        <v>0</v>
      </c>
      <c r="AK76" s="99">
        <v>3960</v>
      </c>
      <c r="AL76" s="171">
        <v>0</v>
      </c>
      <c r="AM76" s="98">
        <v>0</v>
      </c>
      <c r="AN76" s="171">
        <v>0</v>
      </c>
      <c r="AO76" s="98">
        <v>0</v>
      </c>
      <c r="AP76" s="98">
        <v>0</v>
      </c>
      <c r="AQ76" s="171">
        <v>0</v>
      </c>
      <c r="AR76" s="272">
        <v>0</v>
      </c>
      <c r="AS76" s="98">
        <v>0</v>
      </c>
      <c r="AT76" s="99">
        <v>0</v>
      </c>
      <c r="AU76" s="186">
        <v>0</v>
      </c>
      <c r="AV76" s="186">
        <v>0</v>
      </c>
      <c r="AW76" s="186">
        <v>0</v>
      </c>
      <c r="AX76" s="186">
        <v>0</v>
      </c>
      <c r="AY76" s="186"/>
      <c r="AZ76" s="97" t="s">
        <v>246</v>
      </c>
      <c r="BA76" s="103"/>
      <c r="BB76" s="103"/>
      <c r="BC76" s="103"/>
      <c r="BD76" s="11"/>
      <c r="BE76" s="11"/>
      <c r="BF76" s="11"/>
      <c r="BG76" s="29"/>
      <c r="BH76" s="29"/>
      <c r="BI76" s="11"/>
      <c r="BJ76" s="11"/>
      <c r="BK76" s="11"/>
      <c r="BL76" s="11"/>
      <c r="BM76" s="11"/>
      <c r="BN76" s="11"/>
      <c r="BO76" s="11"/>
      <c r="BP76" s="11"/>
      <c r="BQ76" s="11"/>
      <c r="BR76" s="11"/>
      <c r="BS76" s="30"/>
    </row>
    <row r="77" spans="1:71" s="1" customFormat="1" x14ac:dyDescent="0.3">
      <c r="A77" s="194"/>
      <c r="B77" s="186"/>
      <c r="C77" s="195"/>
      <c r="D77" s="195"/>
      <c r="E77" s="104"/>
      <c r="F77" s="104"/>
      <c r="G77" s="104"/>
      <c r="H77" s="104"/>
      <c r="I77" s="104"/>
      <c r="J77" s="104"/>
      <c r="K77" s="104"/>
      <c r="L77" s="104"/>
      <c r="M77" s="104"/>
      <c r="N77" s="104"/>
      <c r="O77" s="104"/>
      <c r="P77" s="104"/>
      <c r="Q77" s="104"/>
      <c r="R77" s="104"/>
      <c r="S77" s="105"/>
      <c r="T77" s="104"/>
      <c r="U77" s="105"/>
      <c r="V77" s="105"/>
      <c r="W77" s="104"/>
      <c r="X77" s="105"/>
      <c r="Y77" s="104"/>
      <c r="Z77" s="104"/>
      <c r="AA77" s="100"/>
      <c r="AB77" s="104"/>
      <c r="AC77" s="104"/>
      <c r="AD77" s="105"/>
      <c r="AE77" s="104"/>
      <c r="AF77" s="104"/>
      <c r="AG77" s="104"/>
      <c r="AH77" s="104"/>
      <c r="AI77" s="98"/>
      <c r="AJ77" s="98"/>
      <c r="AK77" s="99"/>
      <c r="AL77" s="171">
        <v>0</v>
      </c>
      <c r="AM77" s="98">
        <v>0</v>
      </c>
      <c r="AN77" s="198"/>
      <c r="AO77" s="98">
        <v>0</v>
      </c>
      <c r="AP77" s="98">
        <v>0</v>
      </c>
      <c r="AQ77" s="98">
        <v>0</v>
      </c>
      <c r="AR77" s="98">
        <v>0</v>
      </c>
      <c r="AS77" s="98">
        <v>0</v>
      </c>
      <c r="AT77" s="98">
        <v>0</v>
      </c>
      <c r="AU77" s="97">
        <v>0</v>
      </c>
      <c r="AV77" s="97">
        <v>0</v>
      </c>
      <c r="AW77" s="97">
        <v>0</v>
      </c>
      <c r="AX77" s="97">
        <v>0</v>
      </c>
      <c r="AY77" s="97"/>
      <c r="AZ77" s="97" t="s">
        <v>384</v>
      </c>
      <c r="BA77" s="103"/>
      <c r="BB77" s="103"/>
      <c r="BC77" s="103"/>
      <c r="BD77" s="11"/>
      <c r="BE77" s="11"/>
      <c r="BF77" s="11"/>
      <c r="BG77" s="29"/>
      <c r="BH77" s="29"/>
      <c r="BI77" s="11"/>
      <c r="BJ77" s="11"/>
      <c r="BK77" s="11"/>
      <c r="BL77" s="11"/>
      <c r="BM77" s="11"/>
      <c r="BN77" s="11"/>
      <c r="BO77" s="11"/>
      <c r="BP77" s="11"/>
      <c r="BQ77" s="11"/>
      <c r="BR77" s="11"/>
      <c r="BS77" s="30"/>
    </row>
    <row r="78" spans="1:71" s="1" customFormat="1" x14ac:dyDescent="0.3">
      <c r="A78" s="194"/>
      <c r="B78" s="186"/>
      <c r="C78" s="195"/>
      <c r="D78" s="195"/>
      <c r="E78" s="104"/>
      <c r="F78" s="104"/>
      <c r="G78" s="104"/>
      <c r="H78" s="104"/>
      <c r="I78" s="104"/>
      <c r="J78" s="104"/>
      <c r="K78" s="104"/>
      <c r="L78" s="104"/>
      <c r="M78" s="104"/>
      <c r="N78" s="104"/>
      <c r="O78" s="104"/>
      <c r="P78" s="104"/>
      <c r="Q78" s="104"/>
      <c r="R78" s="104"/>
      <c r="S78" s="105"/>
      <c r="T78" s="104"/>
      <c r="U78" s="105"/>
      <c r="V78" s="105"/>
      <c r="W78" s="104"/>
      <c r="X78" s="105"/>
      <c r="Y78" s="104"/>
      <c r="Z78" s="104"/>
      <c r="AA78" s="100"/>
      <c r="AB78" s="104"/>
      <c r="AC78" s="104"/>
      <c r="AD78" s="105"/>
      <c r="AE78" s="104"/>
      <c r="AF78" s="104"/>
      <c r="AG78" s="104"/>
      <c r="AH78" s="104"/>
      <c r="AI78" s="98"/>
      <c r="AJ78" s="98"/>
      <c r="AK78" s="99"/>
      <c r="AL78" s="171"/>
      <c r="AM78" s="98"/>
      <c r="AN78" s="198"/>
      <c r="AO78" s="98"/>
      <c r="AP78" s="98"/>
      <c r="AQ78" s="270"/>
      <c r="AR78" s="270"/>
      <c r="AS78" s="98"/>
      <c r="AT78" s="98"/>
      <c r="AU78" s="97"/>
      <c r="AV78" s="97"/>
      <c r="AW78" s="97">
        <v>2</v>
      </c>
      <c r="AX78" s="97">
        <v>2</v>
      </c>
      <c r="AY78" s="97">
        <v>1.9</v>
      </c>
      <c r="AZ78" s="97" t="s">
        <v>468</v>
      </c>
      <c r="BA78" s="103"/>
      <c r="BB78" s="103"/>
      <c r="BC78" s="103"/>
      <c r="BD78" s="11"/>
      <c r="BE78" s="11"/>
      <c r="BF78" s="11"/>
      <c r="BG78" s="29"/>
      <c r="BH78" s="29"/>
      <c r="BI78" s="11"/>
      <c r="BJ78" s="11"/>
      <c r="BK78" s="11"/>
      <c r="BL78" s="11"/>
      <c r="BM78" s="11"/>
      <c r="BN78" s="11"/>
      <c r="BO78" s="11"/>
      <c r="BP78" s="11"/>
      <c r="BQ78" s="11"/>
      <c r="BR78" s="11"/>
      <c r="BS78" s="30"/>
    </row>
    <row r="79" spans="1:71" s="1" customFormat="1" x14ac:dyDescent="0.3">
      <c r="A79" s="194"/>
      <c r="B79" s="186"/>
      <c r="C79" s="195"/>
      <c r="D79" s="195"/>
      <c r="E79" s="104"/>
      <c r="F79" s="104"/>
      <c r="G79" s="104"/>
      <c r="H79" s="104"/>
      <c r="I79" s="104"/>
      <c r="J79" s="104"/>
      <c r="K79" s="104"/>
      <c r="L79" s="104"/>
      <c r="M79" s="104"/>
      <c r="N79" s="104"/>
      <c r="O79" s="104"/>
      <c r="P79" s="104"/>
      <c r="Q79" s="104"/>
      <c r="R79" s="104"/>
      <c r="S79" s="105"/>
      <c r="T79" s="104"/>
      <c r="U79" s="105"/>
      <c r="V79" s="105"/>
      <c r="W79" s="104"/>
      <c r="X79" s="105"/>
      <c r="Y79" s="104"/>
      <c r="Z79" s="104"/>
      <c r="AA79" s="100"/>
      <c r="AB79" s="104"/>
      <c r="AC79" s="104"/>
      <c r="AD79" s="105"/>
      <c r="AE79" s="104"/>
      <c r="AF79" s="104"/>
      <c r="AG79" s="104"/>
      <c r="AH79" s="104"/>
      <c r="AI79" s="98"/>
      <c r="AJ79" s="98"/>
      <c r="AK79" s="99"/>
      <c r="AL79" s="171"/>
      <c r="AM79" s="98"/>
      <c r="AN79" s="198"/>
      <c r="AO79" s="98">
        <v>0</v>
      </c>
      <c r="AP79" s="98">
        <v>0</v>
      </c>
      <c r="AQ79" s="270">
        <v>0</v>
      </c>
      <c r="AR79" s="270">
        <v>0</v>
      </c>
      <c r="AS79" s="98">
        <v>0</v>
      </c>
      <c r="AT79" s="98">
        <v>0</v>
      </c>
      <c r="AU79" s="97">
        <v>0</v>
      </c>
      <c r="AV79" s="97">
        <v>0</v>
      </c>
      <c r="AW79" s="97">
        <v>5</v>
      </c>
      <c r="AX79" s="97">
        <v>5</v>
      </c>
      <c r="AY79" s="97">
        <v>9.8000000000000007</v>
      </c>
      <c r="AZ79" s="97" t="s">
        <v>385</v>
      </c>
      <c r="BA79" s="103"/>
      <c r="BB79" s="103"/>
      <c r="BC79" s="103"/>
      <c r="BD79" s="11"/>
      <c r="BE79" s="11"/>
      <c r="BF79" s="11"/>
      <c r="BG79" s="29"/>
      <c r="BH79" s="29"/>
      <c r="BI79" s="11"/>
      <c r="BJ79" s="11"/>
      <c r="BK79" s="11"/>
      <c r="BL79" s="11"/>
      <c r="BM79" s="11"/>
      <c r="BN79" s="11"/>
      <c r="BO79" s="11"/>
      <c r="BP79" s="11"/>
      <c r="BQ79" s="11"/>
      <c r="BR79" s="11"/>
      <c r="BS79" s="30"/>
    </row>
    <row r="80" spans="1:71" s="1" customFormat="1" x14ac:dyDescent="0.3">
      <c r="A80" s="195" t="s">
        <v>151</v>
      </c>
      <c r="B80" s="186"/>
      <c r="C80" s="195"/>
      <c r="D80" s="195"/>
      <c r="E80" s="104"/>
      <c r="F80" s="104"/>
      <c r="G80" s="104"/>
      <c r="H80" s="104"/>
      <c r="I80" s="104"/>
      <c r="J80" s="104"/>
      <c r="K80" s="104"/>
      <c r="L80" s="104"/>
      <c r="M80" s="104"/>
      <c r="N80" s="104"/>
      <c r="O80" s="104"/>
      <c r="P80" s="104"/>
      <c r="Q80" s="104"/>
      <c r="R80" s="104"/>
      <c r="S80" s="105"/>
      <c r="T80" s="104"/>
      <c r="U80" s="105"/>
      <c r="V80" s="105"/>
      <c r="W80" s="104"/>
      <c r="X80" s="105"/>
      <c r="Y80" s="104"/>
      <c r="Z80" s="104"/>
      <c r="AA80" s="100"/>
      <c r="AB80" s="104"/>
      <c r="AC80" s="104"/>
      <c r="AD80" s="105"/>
      <c r="AE80" s="104"/>
      <c r="AF80" s="104"/>
      <c r="AG80" s="104"/>
      <c r="AH80" s="104"/>
      <c r="AI80" s="104">
        <f t="shared" ref="AI80:AN80" si="23">SUM(AI74:AI77)</f>
        <v>4.5</v>
      </c>
      <c r="AJ80" s="104">
        <f t="shared" si="23"/>
        <v>0</v>
      </c>
      <c r="AK80" s="104">
        <f t="shared" si="23"/>
        <v>3960</v>
      </c>
      <c r="AL80" s="104">
        <f t="shared" si="23"/>
        <v>0</v>
      </c>
      <c r="AM80" s="104">
        <f t="shared" si="23"/>
        <v>169.7</v>
      </c>
      <c r="AN80" s="236">
        <f t="shared" si="23"/>
        <v>0</v>
      </c>
      <c r="AO80" s="104">
        <f t="shared" ref="AO80:AX80" si="24">SUM(AO74:AO79)</f>
        <v>0</v>
      </c>
      <c r="AP80" s="104">
        <f t="shared" si="24"/>
        <v>20</v>
      </c>
      <c r="AQ80" s="104">
        <f t="shared" si="24"/>
        <v>17</v>
      </c>
      <c r="AR80" s="104">
        <f t="shared" si="24"/>
        <v>17</v>
      </c>
      <c r="AS80" s="104">
        <f t="shared" si="24"/>
        <v>-0.1</v>
      </c>
      <c r="AT80" s="104">
        <f t="shared" si="24"/>
        <v>30.9</v>
      </c>
      <c r="AU80" s="104">
        <f t="shared" si="24"/>
        <v>12.3</v>
      </c>
      <c r="AV80" s="104">
        <f t="shared" si="24"/>
        <v>34</v>
      </c>
      <c r="AW80" s="104">
        <f>SUM(AW74:AW79)</f>
        <v>-2264</v>
      </c>
      <c r="AX80" s="104">
        <f>SUM(AX74:AX79)</f>
        <v>36</v>
      </c>
      <c r="AY80" s="104">
        <f>SUM(AY74:AY79)</f>
        <v>179.9</v>
      </c>
      <c r="AZ80" s="103" t="s">
        <v>151</v>
      </c>
      <c r="BA80" s="103"/>
      <c r="BB80" s="103"/>
      <c r="BC80" s="103"/>
      <c r="BD80" s="11"/>
      <c r="BE80" s="11"/>
      <c r="BF80" s="11"/>
      <c r="BG80" s="29"/>
      <c r="BH80" s="29"/>
      <c r="BI80" s="11"/>
      <c r="BJ80" s="11"/>
      <c r="BK80" s="11"/>
      <c r="BL80" s="11"/>
      <c r="BM80" s="11"/>
      <c r="BN80" s="11"/>
      <c r="BO80" s="11"/>
      <c r="BP80" s="11"/>
      <c r="BQ80" s="11"/>
      <c r="BR80" s="11"/>
      <c r="BS80" s="30"/>
    </row>
    <row r="81" spans="1:71" s="1" customFormat="1" x14ac:dyDescent="0.3">
      <c r="A81" s="196"/>
      <c r="B81" s="29"/>
      <c r="C81" s="29"/>
      <c r="D81" s="29"/>
      <c r="E81" s="58"/>
      <c r="F81" s="58"/>
      <c r="G81" s="58"/>
      <c r="H81" s="58"/>
      <c r="I81" s="58"/>
      <c r="J81" s="58"/>
      <c r="K81" s="58"/>
      <c r="L81" s="58"/>
      <c r="M81" s="58"/>
      <c r="N81" s="58"/>
      <c r="O81" s="58"/>
      <c r="P81" s="58"/>
      <c r="Q81" s="58"/>
      <c r="R81" s="58"/>
      <c r="S81" s="59"/>
      <c r="T81" s="58"/>
      <c r="U81" s="59"/>
      <c r="V81" s="59"/>
      <c r="W81" s="58"/>
      <c r="X81" s="59"/>
      <c r="Y81" s="58"/>
      <c r="Z81" s="58"/>
      <c r="AA81" s="56"/>
      <c r="AB81" s="58"/>
      <c r="AC81" s="58"/>
      <c r="AD81" s="59"/>
      <c r="AE81" s="58"/>
      <c r="AF81" s="58"/>
      <c r="AG81" s="58"/>
      <c r="AH81" s="58"/>
      <c r="AI81" s="11"/>
      <c r="AJ81" s="11"/>
      <c r="AK81" s="11"/>
      <c r="AL81" s="11"/>
      <c r="AM81" s="58"/>
      <c r="AN81" s="174"/>
      <c r="AO81" s="58"/>
      <c r="AP81" s="58"/>
      <c r="AQ81" s="58"/>
      <c r="AR81" s="273"/>
      <c r="AS81" s="273"/>
      <c r="AT81" s="11"/>
      <c r="AU81" s="11"/>
      <c r="AV81" s="11"/>
      <c r="AW81" s="11"/>
      <c r="AX81" s="29"/>
      <c r="AY81" s="29"/>
      <c r="AZ81" s="11"/>
      <c r="BA81" s="11"/>
      <c r="BB81" s="11"/>
      <c r="BC81" s="11"/>
      <c r="BD81" s="11"/>
      <c r="BE81" s="11"/>
      <c r="BF81" s="11"/>
      <c r="BG81" s="29"/>
      <c r="BH81" s="29"/>
      <c r="BI81" s="11"/>
      <c r="BJ81" s="11"/>
      <c r="BK81" s="11"/>
      <c r="BL81" s="11"/>
      <c r="BM81" s="11"/>
      <c r="BN81" s="11"/>
      <c r="BO81" s="11"/>
      <c r="BP81" s="11"/>
      <c r="BQ81" s="11"/>
      <c r="BR81" s="11"/>
      <c r="BS81" s="30"/>
    </row>
    <row r="82" spans="1:71" s="1" customFormat="1" x14ac:dyDescent="0.3">
      <c r="A82" s="197" t="s">
        <v>159</v>
      </c>
      <c r="B82" s="29"/>
      <c r="C82" s="29"/>
      <c r="D82" s="29"/>
      <c r="E82" s="77">
        <v>0</v>
      </c>
      <c r="F82" s="77">
        <v>0</v>
      </c>
      <c r="G82" s="77">
        <v>0</v>
      </c>
      <c r="H82" s="77">
        <v>0</v>
      </c>
      <c r="I82" s="77">
        <v>0</v>
      </c>
      <c r="J82" s="77">
        <v>0</v>
      </c>
      <c r="K82" s="77">
        <v>0</v>
      </c>
      <c r="L82" s="77">
        <v>0</v>
      </c>
      <c r="M82" s="77">
        <v>0</v>
      </c>
      <c r="N82" s="77">
        <v>0</v>
      </c>
      <c r="O82" s="77">
        <v>0</v>
      </c>
      <c r="P82" s="77">
        <v>0</v>
      </c>
      <c r="Q82" s="77">
        <v>0</v>
      </c>
      <c r="R82" s="77">
        <v>0</v>
      </c>
      <c r="S82" s="77">
        <v>0</v>
      </c>
      <c r="T82" s="77">
        <v>0</v>
      </c>
      <c r="U82" s="77">
        <v>9.6</v>
      </c>
      <c r="V82" s="77">
        <v>8.8000000000000007</v>
      </c>
      <c r="W82" s="77">
        <v>14.3</v>
      </c>
      <c r="X82" s="77">
        <v>14.8</v>
      </c>
      <c r="Y82" s="77">
        <v>18.899999999999999</v>
      </c>
      <c r="Z82" s="77">
        <v>24.98</v>
      </c>
      <c r="AA82" s="77">
        <v>24.29</v>
      </c>
      <c r="AB82" s="77">
        <v>26.6</v>
      </c>
      <c r="AC82" s="77">
        <f>28.9+46.7</f>
        <v>75.599999999999994</v>
      </c>
      <c r="AD82" s="77">
        <f>38.1+53.9</f>
        <v>92</v>
      </c>
      <c r="AE82" s="77">
        <f>80.4+63.8</f>
        <v>144.19999999999999</v>
      </c>
      <c r="AF82" s="77">
        <v>166.8</v>
      </c>
      <c r="AG82" s="77">
        <v>153.5</v>
      </c>
      <c r="AH82" s="77">
        <v>189.5</v>
      </c>
      <c r="AI82" s="121">
        <v>206.2</v>
      </c>
      <c r="AJ82" s="123">
        <v>164.6</v>
      </c>
      <c r="AK82" s="59">
        <v>43</v>
      </c>
      <c r="AL82" s="175">
        <v>174</v>
      </c>
      <c r="AM82" s="59">
        <v>95.8</v>
      </c>
      <c r="AN82" s="175">
        <v>101.3</v>
      </c>
      <c r="AO82" s="59">
        <v>95.8</v>
      </c>
      <c r="AP82" s="59">
        <v>92.9</v>
      </c>
      <c r="AQ82" s="59">
        <v>94.8</v>
      </c>
      <c r="AR82" s="121">
        <v>101</v>
      </c>
      <c r="AS82" s="121">
        <v>101</v>
      </c>
      <c r="AT82" s="29">
        <v>115</v>
      </c>
      <c r="AU82" s="29">
        <v>120</v>
      </c>
      <c r="AV82" s="29">
        <v>150</v>
      </c>
      <c r="AW82" s="29">
        <v>150</v>
      </c>
      <c r="AX82" s="29">
        <v>150</v>
      </c>
      <c r="AY82" s="29">
        <v>186</v>
      </c>
      <c r="AZ82" s="94" t="s">
        <v>182</v>
      </c>
      <c r="BA82" s="93"/>
      <c r="BB82" s="93"/>
      <c r="BC82" s="93"/>
      <c r="BD82" s="93"/>
      <c r="BE82" s="29"/>
      <c r="BF82" s="11"/>
      <c r="BG82" s="29"/>
      <c r="BH82" s="29"/>
      <c r="BI82" s="11"/>
      <c r="BJ82" s="11"/>
      <c r="BK82" s="11"/>
      <c r="BL82" s="11"/>
      <c r="BM82" s="11"/>
      <c r="BN82" s="11"/>
      <c r="BO82" s="11"/>
      <c r="BP82" s="11"/>
      <c r="BQ82" s="11"/>
      <c r="BR82" s="11"/>
      <c r="BS82" s="30"/>
    </row>
    <row r="83" spans="1:71" s="1" customFormat="1" x14ac:dyDescent="0.3">
      <c r="A83" s="197"/>
      <c r="B83" s="5" t="s">
        <v>181</v>
      </c>
      <c r="C83" s="29"/>
      <c r="D83" s="29"/>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122">
        <v>13.1</v>
      </c>
      <c r="AJ83" s="55">
        <v>8.3000000000000007</v>
      </c>
      <c r="AK83" s="55">
        <v>0</v>
      </c>
      <c r="AL83" s="176">
        <v>6.4</v>
      </c>
      <c r="AM83" s="55">
        <v>0</v>
      </c>
      <c r="AN83" s="176">
        <v>0</v>
      </c>
      <c r="AO83" s="55">
        <v>0</v>
      </c>
      <c r="AP83" s="55">
        <v>0</v>
      </c>
      <c r="AQ83" s="75">
        <v>0</v>
      </c>
      <c r="AR83" s="274">
        <v>0</v>
      </c>
      <c r="AS83" s="274">
        <v>0</v>
      </c>
      <c r="AT83" s="5">
        <v>0</v>
      </c>
      <c r="AU83" s="5"/>
      <c r="AV83" s="5"/>
      <c r="AW83" s="5"/>
      <c r="AX83" s="5"/>
      <c r="AY83" s="5"/>
      <c r="AZ83" s="89" t="s">
        <v>181</v>
      </c>
      <c r="BA83" s="93"/>
      <c r="BB83" s="93"/>
      <c r="BC83" s="93"/>
      <c r="BD83" s="93"/>
      <c r="BE83" s="29"/>
      <c r="BF83" s="11"/>
      <c r="BG83" s="29"/>
      <c r="BH83" s="29"/>
      <c r="BI83" s="11"/>
      <c r="BJ83" s="11"/>
      <c r="BK83" s="11"/>
      <c r="BL83" s="11"/>
      <c r="BM83" s="11"/>
      <c r="BN83" s="11"/>
      <c r="BO83" s="11"/>
      <c r="BP83" s="11"/>
      <c r="BQ83" s="11"/>
      <c r="BR83" s="11"/>
      <c r="BS83" s="30"/>
    </row>
    <row r="84" spans="1:71" s="1" customFormat="1" x14ac:dyDescent="0.3">
      <c r="A84" s="197"/>
      <c r="B84" s="5"/>
      <c r="C84" s="29"/>
      <c r="D84" s="29"/>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59"/>
      <c r="AF84" s="71">
        <f>(98.2+16.8)*(AF82)/(AF43+AF46+AF45+AF104+AF105+AF106+AF107+AF108+AF82+AF49)</f>
        <v>24.963560645497136</v>
      </c>
      <c r="AG84" s="71">
        <f>(98.5+13.3)*(AG82)/(AG43+AG46+AG45+AG104+AG105+AG106+AG107+AG108+AG82+AG49)</f>
        <v>23.029119699409556</v>
      </c>
      <c r="AH84" s="71">
        <f>((99.3+11)*(AH82)/(AH43+AH46+AH45+AH104+AH105+AH106+AH107+AH108+AH82+AH49))</f>
        <v>21.718464256026596</v>
      </c>
      <c r="AI84" s="71">
        <f>(104.1+10.8)*(AI82)/(AI43+AI46+AI45+AI104+AI105+AI106+AI107+AI108+AI82+AI49)</f>
        <v>22.566320601962094</v>
      </c>
      <c r="AJ84" s="71">
        <f>(127.6+18.2)*(AJ82)/(AJ43+AJ46+AJ45+AJ104+AJ105+AJ106+AJ107+AJ108+AJ82+AJ49)</f>
        <v>19.81396961690885</v>
      </c>
      <c r="AK84" s="71">
        <f>(80+21.9)*(AK82)/(AK43+AK46+AK45+AK104+AK105+AK106+AK107+AK108+AK82)</f>
        <v>2.0775212175809585</v>
      </c>
      <c r="AL84" s="71">
        <f>(140+45)*(AL82)/(AL43+AL46+AL45+AL104+AL105+AL106+AL107+AL108+AL82)</f>
        <v>22.640315093543396</v>
      </c>
      <c r="AM84" s="71">
        <f>(170+32)*(AM82)/(AM43+AM46+AM48+AM45+AM104+AM105+AM106+AM107+AM108+AM82)</f>
        <v>14.003785487596437</v>
      </c>
      <c r="AN84" s="237">
        <f>(165+25)*(AN82)/(AN43+AN46+AN48+AN45+AN104+AN105+AN106+AN107+AN108+AN82)</f>
        <v>12.80421296991698</v>
      </c>
      <c r="AO84" s="71">
        <f>(160.5+23.6)*(AO82)/(AO43+AO46+AO48+AO45+AO104+AO105+AO106+AO107+AO108+AO82)</f>
        <v>12.308724727472518</v>
      </c>
      <c r="AP84" s="71">
        <f>(162+23.5)*(AP82)/(AP43+AP46+AP48+AP45+AP104+AP105+AP106+AP107+AP108+AP82)</f>
        <v>11.432300936278118</v>
      </c>
      <c r="AQ84" s="71">
        <f>(160.8+21)*(AQ82)/(AQ43+AQ46+AQ48+AQ45+AQ104+AQ105+AQ106+AQ107+AQ108+AQ82)</f>
        <v>11.953632423093335</v>
      </c>
      <c r="AR84" s="71">
        <f>(155+21)*(AR82)/(AR43+AR46+AR48+AR45+AR104+AR105+AR106+AR107+AR108+AR82)</f>
        <v>10.91655635882293</v>
      </c>
      <c r="AS84" s="71">
        <f>(153.5+19)*(AS82)/(AS43+AS46+AS48+AS45+AS104+AS105+AS106+AS107+AS108+AS82)</f>
        <v>10.839480936129807</v>
      </c>
      <c r="AT84" s="71">
        <f>(152.5+18.9)*(AT82)/(AT43+AT46+AT48+AT45+AT104+AT105+AT106+AT107+AT108+AT82)</f>
        <v>10.900162382005552</v>
      </c>
      <c r="AU84" s="71">
        <f>(162.5)*(AU82)/(AU43+AU46+AU48+AU45+AU104+AU105+AU106+AU107+AU108+AU82)</f>
        <v>10.525885653037186</v>
      </c>
      <c r="AV84" s="71">
        <f>(165)*(AV82)/(AV43+AV46+AV48+AV45+AV104+AV105+AV106+AV107+AV108+AV82)</f>
        <v>11.157275188632365</v>
      </c>
      <c r="AW84" s="71">
        <f>(165)*(AW82)/(AW43+AW46+AW48+AW45+AW104+AW105+AW106+AW107+AW108+AW82)</f>
        <v>11.10752112793188</v>
      </c>
      <c r="AX84" s="71">
        <f t="shared" ref="AX84:AY84" si="25">(165)*(AX82)/(AX43+AX46+AX48+AX45+AX104+AX105+AX106+AX107+AX108+AX82)</f>
        <v>11.10752112793188</v>
      </c>
      <c r="AY84" s="71">
        <f>(224.5)*(AY82)/(AY43+AY46+AY48+AY45+AY104+AY105+AY106+AY107+AY108+AY82)</f>
        <v>11.902195859058756</v>
      </c>
      <c r="AZ84" s="89" t="s">
        <v>267</v>
      </c>
      <c r="BA84" s="93"/>
      <c r="BB84" s="93"/>
      <c r="BD84" s="189"/>
      <c r="BE84" s="189"/>
      <c r="BF84" s="11"/>
      <c r="BG84" s="29"/>
      <c r="BH84" s="29"/>
      <c r="BI84" s="11"/>
      <c r="BJ84" s="11"/>
      <c r="BK84" s="11"/>
      <c r="BL84" s="11"/>
      <c r="BM84" s="11"/>
      <c r="BN84" s="11"/>
      <c r="BO84" s="11"/>
      <c r="BP84" s="11"/>
      <c r="BQ84" s="11"/>
      <c r="BR84" s="11"/>
      <c r="BS84" s="30"/>
    </row>
    <row r="85" spans="1:71" s="1" customFormat="1" x14ac:dyDescent="0.3">
      <c r="A85" s="83" t="s">
        <v>158</v>
      </c>
      <c r="B85" s="84"/>
      <c r="C85" s="80"/>
      <c r="D85" s="80"/>
      <c r="E85" s="84">
        <f t="shared" ref="E85:T85" si="26">E82+E83</f>
        <v>0</v>
      </c>
      <c r="F85" s="84">
        <f t="shared" si="26"/>
        <v>0</v>
      </c>
      <c r="G85" s="84">
        <f t="shared" si="26"/>
        <v>0</v>
      </c>
      <c r="H85" s="84">
        <f t="shared" si="26"/>
        <v>0</v>
      </c>
      <c r="I85" s="84">
        <f t="shared" si="26"/>
        <v>0</v>
      </c>
      <c r="J85" s="84">
        <f t="shared" si="26"/>
        <v>0</v>
      </c>
      <c r="K85" s="84">
        <f t="shared" si="26"/>
        <v>0</v>
      </c>
      <c r="L85" s="84">
        <f t="shared" si="26"/>
        <v>0</v>
      </c>
      <c r="M85" s="84">
        <f t="shared" si="26"/>
        <v>0</v>
      </c>
      <c r="N85" s="84">
        <f t="shared" si="26"/>
        <v>0</v>
      </c>
      <c r="O85" s="84">
        <f t="shared" si="26"/>
        <v>0</v>
      </c>
      <c r="P85" s="84">
        <f t="shared" si="26"/>
        <v>0</v>
      </c>
      <c r="Q85" s="84">
        <f t="shared" si="26"/>
        <v>0</v>
      </c>
      <c r="R85" s="84">
        <f t="shared" si="26"/>
        <v>0</v>
      </c>
      <c r="S85" s="84">
        <f t="shared" si="26"/>
        <v>0</v>
      </c>
      <c r="T85" s="84">
        <f t="shared" si="26"/>
        <v>0</v>
      </c>
      <c r="U85" s="193">
        <f t="shared" ref="U85:AJ85" si="27">U82+U83+U84</f>
        <v>9.6</v>
      </c>
      <c r="V85" s="193">
        <f t="shared" si="27"/>
        <v>8.8000000000000007</v>
      </c>
      <c r="W85" s="193">
        <f t="shared" si="27"/>
        <v>14.3</v>
      </c>
      <c r="X85" s="193">
        <f t="shared" si="27"/>
        <v>14.8</v>
      </c>
      <c r="Y85" s="193">
        <f t="shared" si="27"/>
        <v>18.899999999999999</v>
      </c>
      <c r="Z85" s="193">
        <f t="shared" si="27"/>
        <v>24.98</v>
      </c>
      <c r="AA85" s="193">
        <f t="shared" si="27"/>
        <v>24.29</v>
      </c>
      <c r="AB85" s="193">
        <f t="shared" si="27"/>
        <v>26.6</v>
      </c>
      <c r="AC85" s="193">
        <f t="shared" si="27"/>
        <v>75.599999999999994</v>
      </c>
      <c r="AD85" s="193">
        <f t="shared" si="27"/>
        <v>92</v>
      </c>
      <c r="AE85" s="188">
        <f t="shared" si="27"/>
        <v>144.19999999999999</v>
      </c>
      <c r="AF85" s="188">
        <f>AF82+AF83+AF84</f>
        <v>191.76356064549714</v>
      </c>
      <c r="AG85" s="188">
        <f t="shared" si="27"/>
        <v>176.52911969940956</v>
      </c>
      <c r="AH85" s="188">
        <f t="shared" si="27"/>
        <v>211.21846425602661</v>
      </c>
      <c r="AI85" s="188">
        <f t="shared" si="27"/>
        <v>241.86632060196209</v>
      </c>
      <c r="AJ85" s="188">
        <f t="shared" si="27"/>
        <v>192.71396961690886</v>
      </c>
      <c r="AK85" s="188">
        <f>AK82+AK83+AK84</f>
        <v>45.077521217580959</v>
      </c>
      <c r="AL85" s="188">
        <f t="shared" ref="AL85:AR85" si="28">SUM(AL82:AL84)</f>
        <v>203.0403150935434</v>
      </c>
      <c r="AM85" s="188">
        <f t="shared" si="28"/>
        <v>109.80378548759643</v>
      </c>
      <c r="AN85" s="238">
        <f t="shared" si="28"/>
        <v>114.10421296991697</v>
      </c>
      <c r="AO85" s="188">
        <f t="shared" si="28"/>
        <v>108.10872472747252</v>
      </c>
      <c r="AP85" s="188">
        <f t="shared" si="28"/>
        <v>104.33230093627813</v>
      </c>
      <c r="AQ85" s="188">
        <f t="shared" si="28"/>
        <v>106.75363242309334</v>
      </c>
      <c r="AR85" s="188">
        <f t="shared" si="28"/>
        <v>111.91655635882293</v>
      </c>
      <c r="AS85" s="188">
        <f t="shared" ref="AS85:AV85" si="29">SUM(AS82:AS84)</f>
        <v>111.8394809361298</v>
      </c>
      <c r="AT85" s="188">
        <f t="shared" si="29"/>
        <v>125.90016238200555</v>
      </c>
      <c r="AU85" s="188">
        <f t="shared" si="29"/>
        <v>130.52588565303719</v>
      </c>
      <c r="AV85" s="188">
        <f t="shared" si="29"/>
        <v>161.15727518863235</v>
      </c>
      <c r="AW85" s="188">
        <v>150</v>
      </c>
      <c r="AX85" s="188">
        <v>150</v>
      </c>
      <c r="AY85" s="333">
        <v>186</v>
      </c>
      <c r="AZ85" s="80" t="s">
        <v>157</v>
      </c>
      <c r="BA85" s="80"/>
      <c r="BB85" s="80"/>
      <c r="BC85" s="80"/>
      <c r="BD85" s="80"/>
      <c r="BE85" s="29"/>
      <c r="BF85" s="11"/>
      <c r="BG85" s="29"/>
      <c r="BH85" s="29"/>
      <c r="BI85" s="11"/>
      <c r="BJ85" s="11"/>
      <c r="BK85" s="11"/>
      <c r="BL85" s="11"/>
      <c r="BM85" s="11"/>
      <c r="BN85" s="11"/>
      <c r="BO85" s="11"/>
      <c r="BP85" s="11"/>
      <c r="BQ85" s="11"/>
      <c r="BR85" s="11"/>
      <c r="BS85" s="30"/>
    </row>
    <row r="86" spans="1:71" s="191" customFormat="1" x14ac:dyDescent="0.3">
      <c r="A86" s="197"/>
      <c r="B86" s="5"/>
      <c r="C86" s="29"/>
      <c r="D86" s="29"/>
      <c r="E86" s="5"/>
      <c r="F86" s="5"/>
      <c r="G86" s="5"/>
      <c r="H86" s="5"/>
      <c r="I86" s="5"/>
      <c r="J86" s="5"/>
      <c r="K86" s="5"/>
      <c r="L86" s="5"/>
      <c r="M86" s="5"/>
      <c r="N86" s="5"/>
      <c r="O86" s="5"/>
      <c r="P86" s="5"/>
      <c r="Q86" s="5"/>
      <c r="R86" s="5"/>
      <c r="S86" s="5"/>
      <c r="T86" s="5"/>
      <c r="U86" s="230"/>
      <c r="V86" s="230"/>
      <c r="W86" s="230"/>
      <c r="X86" s="230"/>
      <c r="Y86" s="230"/>
      <c r="Z86" s="230"/>
      <c r="AA86" s="230"/>
      <c r="AB86" s="230"/>
      <c r="AC86" s="230"/>
      <c r="AD86" s="230"/>
      <c r="AE86" s="64"/>
      <c r="AF86" s="64"/>
      <c r="AG86" s="64"/>
      <c r="AH86" s="64"/>
      <c r="AI86" s="64"/>
      <c r="AJ86" s="64"/>
      <c r="AK86" s="64"/>
      <c r="AL86" s="178"/>
      <c r="AM86" s="64"/>
      <c r="AN86" s="178"/>
      <c r="AO86" s="64"/>
      <c r="AP86" s="64"/>
      <c r="AQ86" s="178"/>
      <c r="AR86" s="262"/>
      <c r="AS86" s="262"/>
      <c r="AT86" s="36"/>
      <c r="AU86" s="36"/>
      <c r="AV86" s="36"/>
      <c r="AW86" s="36"/>
      <c r="AX86" s="36"/>
      <c r="AY86" s="36"/>
      <c r="AZ86" s="29"/>
      <c r="BA86" s="29"/>
      <c r="BB86" s="29"/>
      <c r="BC86" s="29"/>
      <c r="BD86" s="29"/>
      <c r="BE86" s="29"/>
      <c r="BF86" s="29"/>
      <c r="BG86" s="29"/>
      <c r="BH86" s="29"/>
      <c r="BI86" s="29"/>
      <c r="BJ86" s="29"/>
      <c r="BK86" s="29"/>
      <c r="BL86" s="29"/>
      <c r="BM86" s="29"/>
      <c r="BN86" s="29"/>
      <c r="BO86" s="29"/>
      <c r="BP86" s="29"/>
      <c r="BQ86" s="29"/>
      <c r="BR86" s="29"/>
      <c r="BS86" s="190"/>
    </row>
    <row r="87" spans="1:71" s="1" customFormat="1" x14ac:dyDescent="0.3">
      <c r="A87" s="197" t="str">
        <f>AZ87</f>
        <v>ARPA-Energy</v>
      </c>
      <c r="B87" s="29"/>
      <c r="C87" s="29"/>
      <c r="D87" s="2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175"/>
      <c r="AM87" s="59"/>
      <c r="AN87" s="175"/>
      <c r="AO87" s="59"/>
      <c r="AP87" s="59"/>
      <c r="AQ87" s="175"/>
      <c r="AR87" s="121"/>
      <c r="AS87" s="121"/>
      <c r="AT87" s="29"/>
      <c r="AU87" s="29"/>
      <c r="AV87" s="29"/>
      <c r="AW87" s="29"/>
      <c r="AX87" s="29"/>
      <c r="AY87" s="29"/>
      <c r="AZ87" s="223" t="s">
        <v>452</v>
      </c>
      <c r="BA87" s="29"/>
      <c r="BB87" s="29"/>
      <c r="BC87" s="29"/>
      <c r="BD87" s="29"/>
      <c r="BE87" s="29"/>
      <c r="BF87" s="11"/>
      <c r="BG87" s="29"/>
      <c r="BH87" s="29"/>
      <c r="BI87" s="11"/>
      <c r="BJ87" s="11"/>
      <c r="BK87" s="11"/>
      <c r="BL87" s="11"/>
      <c r="BM87" s="11"/>
      <c r="BN87" s="11"/>
      <c r="BO87" s="11"/>
      <c r="BP87" s="11"/>
      <c r="BQ87" s="11"/>
      <c r="BR87" s="11"/>
      <c r="BS87" s="30"/>
    </row>
    <row r="88" spans="1:71" s="1" customFormat="1" x14ac:dyDescent="0.3">
      <c r="A88" s="5" t="str">
        <f>AZ88</f>
        <v>Projects (FY17 on, inc. ARPA-E mandatory funding)</v>
      </c>
      <c r="B88" s="224"/>
      <c r="C88" s="224"/>
      <c r="D88" s="224"/>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v>8.6999999999999993</v>
      </c>
      <c r="AK88" s="225">
        <v>388.9</v>
      </c>
      <c r="AL88" s="226">
        <v>0</v>
      </c>
      <c r="AM88" s="225">
        <v>165.6</v>
      </c>
      <c r="AN88" s="226">
        <v>253</v>
      </c>
      <c r="AO88" s="225">
        <v>226.6</v>
      </c>
      <c r="AP88" s="225">
        <v>252</v>
      </c>
      <c r="AQ88" s="226">
        <v>252</v>
      </c>
      <c r="AR88" s="275">
        <v>261.8</v>
      </c>
      <c r="AS88" s="275">
        <v>276.8</v>
      </c>
      <c r="AT88" s="224">
        <v>324.10000000000002</v>
      </c>
      <c r="AU88" s="224">
        <v>334.8</v>
      </c>
      <c r="AV88" s="224">
        <v>390</v>
      </c>
      <c r="AW88" s="224">
        <v>427</v>
      </c>
      <c r="AX88" s="224">
        <v>427</v>
      </c>
      <c r="AY88" s="224">
        <v>700</v>
      </c>
      <c r="AZ88" s="191" t="s">
        <v>420</v>
      </c>
      <c r="BA88" s="224"/>
      <c r="BB88" s="224"/>
      <c r="BC88" s="224"/>
      <c r="BD88" s="224"/>
      <c r="BE88" s="29"/>
      <c r="BF88" s="11"/>
      <c r="BG88" s="29"/>
      <c r="BH88" s="29"/>
      <c r="BI88" s="11"/>
      <c r="BJ88" s="11"/>
      <c r="BK88" s="11"/>
      <c r="BL88" s="11"/>
      <c r="BM88" s="11"/>
      <c r="BN88" s="11"/>
      <c r="BO88" s="11"/>
      <c r="BP88" s="11"/>
      <c r="BQ88" s="11"/>
      <c r="BR88" s="11"/>
      <c r="BS88" s="30"/>
    </row>
    <row r="89" spans="1:71" x14ac:dyDescent="0.3">
      <c r="A89" s="5" t="str">
        <f>AZ89</f>
        <v>Program direction</v>
      </c>
      <c r="AI89" s="54"/>
      <c r="AJ89" s="54"/>
      <c r="AK89" s="54"/>
      <c r="AL89" s="177"/>
      <c r="AM89" s="54">
        <v>14</v>
      </c>
      <c r="AN89" s="177">
        <v>22</v>
      </c>
      <c r="AO89" s="54">
        <v>24</v>
      </c>
      <c r="AP89" s="54">
        <v>28</v>
      </c>
      <c r="AQ89" s="54">
        <v>28</v>
      </c>
      <c r="AR89" s="265">
        <v>29.3</v>
      </c>
      <c r="AS89" s="265">
        <v>29.3</v>
      </c>
      <c r="AT89" s="5">
        <v>29.3</v>
      </c>
      <c r="AU89" s="5">
        <v>31.3</v>
      </c>
      <c r="AV89" s="5">
        <v>35</v>
      </c>
      <c r="AW89" s="5">
        <v>35</v>
      </c>
      <c r="AX89" s="5">
        <v>37</v>
      </c>
      <c r="AY89" s="5"/>
      <c r="AZ89" s="10" t="s">
        <v>386</v>
      </c>
    </row>
    <row r="90" spans="1:71" x14ac:dyDescent="0.3">
      <c r="A90" s="5"/>
      <c r="AI90" s="54"/>
      <c r="AJ90" s="54"/>
      <c r="AK90" s="54"/>
      <c r="AL90" s="177"/>
      <c r="AM90" s="54"/>
      <c r="AN90" s="177"/>
      <c r="AO90" s="54"/>
      <c r="AP90" s="54">
        <v>0.02</v>
      </c>
      <c r="AQ90" s="267">
        <v>-0.01</v>
      </c>
      <c r="AR90" s="269">
        <v>0</v>
      </c>
      <c r="AS90" s="269">
        <f>-0.8</f>
        <v>-0.8</v>
      </c>
      <c r="AT90" s="5">
        <v>0</v>
      </c>
      <c r="AU90" s="5">
        <v>0</v>
      </c>
      <c r="AV90" s="5">
        <v>0</v>
      </c>
      <c r="AW90" s="5">
        <v>0</v>
      </c>
      <c r="AX90" s="5">
        <v>0</v>
      </c>
      <c r="AY90" s="5"/>
      <c r="AZ90" s="10" t="s">
        <v>425</v>
      </c>
    </row>
    <row r="91" spans="1:71" x14ac:dyDescent="0.3">
      <c r="A91" s="231" t="str">
        <f>AZ91</f>
        <v>ARPA-E Total</v>
      </c>
      <c r="B91" s="228"/>
      <c r="C91" s="228"/>
      <c r="D91" s="228"/>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f t="shared" ref="AJ91:AY91" si="30">AJ88+AJ89+AJ90</f>
        <v>8.6999999999999993</v>
      </c>
      <c r="AK91" s="229">
        <f t="shared" si="30"/>
        <v>388.9</v>
      </c>
      <c r="AL91" s="229">
        <f t="shared" si="30"/>
        <v>0</v>
      </c>
      <c r="AM91" s="229">
        <f t="shared" si="30"/>
        <v>179.6</v>
      </c>
      <c r="AN91" s="229">
        <f t="shared" si="30"/>
        <v>275</v>
      </c>
      <c r="AO91" s="229">
        <f t="shared" si="30"/>
        <v>250.6</v>
      </c>
      <c r="AP91" s="293">
        <f t="shared" si="30"/>
        <v>280.02</v>
      </c>
      <c r="AQ91" s="293">
        <f t="shared" si="30"/>
        <v>279.99</v>
      </c>
      <c r="AR91" s="276">
        <f t="shared" si="30"/>
        <v>291.10000000000002</v>
      </c>
      <c r="AS91" s="276">
        <f t="shared" si="30"/>
        <v>305.3</v>
      </c>
      <c r="AT91" s="276">
        <f t="shared" si="30"/>
        <v>353.40000000000003</v>
      </c>
      <c r="AU91" s="276">
        <f t="shared" si="30"/>
        <v>366.1</v>
      </c>
      <c r="AV91" s="276">
        <f t="shared" si="30"/>
        <v>425</v>
      </c>
      <c r="AW91" s="276">
        <f t="shared" si="30"/>
        <v>462</v>
      </c>
      <c r="AX91" s="276">
        <f t="shared" si="30"/>
        <v>464</v>
      </c>
      <c r="AY91" s="276">
        <f t="shared" si="30"/>
        <v>700</v>
      </c>
      <c r="AZ91" s="228" t="s">
        <v>387</v>
      </c>
      <c r="BA91" s="227"/>
      <c r="BB91" s="227"/>
      <c r="BC91" s="227"/>
      <c r="BD91" s="227"/>
    </row>
    <row r="92" spans="1:71" x14ac:dyDescent="0.3">
      <c r="A92" s="231"/>
      <c r="B92" s="228"/>
      <c r="C92" s="228"/>
      <c r="D92" s="228"/>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320"/>
      <c r="AM92" s="229"/>
      <c r="AN92" s="320"/>
      <c r="AO92" s="229"/>
      <c r="AP92" s="321"/>
      <c r="AQ92" s="321"/>
      <c r="AR92" s="322"/>
      <c r="AS92" s="322"/>
      <c r="AT92" s="228"/>
      <c r="AU92" s="228"/>
      <c r="AV92" s="228"/>
      <c r="AW92" s="228"/>
      <c r="AX92" s="228"/>
      <c r="AY92" s="228"/>
      <c r="AZ92" s="228"/>
      <c r="BA92" s="227"/>
      <c r="BB92" s="227"/>
      <c r="BC92" s="227"/>
      <c r="BD92" s="227"/>
    </row>
    <row r="93" spans="1:71" s="152" customFormat="1" x14ac:dyDescent="0.3">
      <c r="A93" s="197"/>
      <c r="B93" s="29"/>
      <c r="C93" s="29"/>
      <c r="D93" s="2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175"/>
      <c r="AM93" s="59"/>
      <c r="AN93" s="175"/>
      <c r="AO93" s="59"/>
      <c r="AP93" s="323"/>
      <c r="AQ93" s="323"/>
      <c r="AR93" s="324"/>
      <c r="AS93" s="324"/>
      <c r="AT93" s="29"/>
      <c r="AU93" s="29"/>
      <c r="AV93" s="29"/>
      <c r="AW93" s="29"/>
      <c r="AX93" s="29"/>
      <c r="AY93" s="29"/>
      <c r="AZ93" s="223" t="s">
        <v>451</v>
      </c>
      <c r="BA93" s="5"/>
      <c r="BB93" s="5"/>
      <c r="BC93" s="5"/>
      <c r="BD93" s="5"/>
      <c r="BE93" s="5"/>
      <c r="BF93" s="5"/>
      <c r="BG93" s="5"/>
      <c r="BH93" s="5"/>
      <c r="BI93" s="5"/>
      <c r="BJ93" s="5"/>
      <c r="BK93" s="5"/>
      <c r="BL93" s="5"/>
      <c r="BM93" s="5"/>
      <c r="BN93" s="5"/>
      <c r="BO93" s="5"/>
      <c r="BP93" s="5"/>
      <c r="BQ93" s="5"/>
      <c r="BR93" s="5"/>
      <c r="BS93" s="192"/>
    </row>
    <row r="94" spans="1:71" s="152" customFormat="1" x14ac:dyDescent="0.3">
      <c r="A94" s="197"/>
      <c r="B94" s="29"/>
      <c r="C94" s="29"/>
      <c r="D94" s="2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175"/>
      <c r="AM94" s="59"/>
      <c r="AN94" s="175"/>
      <c r="AO94" s="59"/>
      <c r="AP94" s="323"/>
      <c r="AQ94" s="323"/>
      <c r="AR94" s="324"/>
      <c r="AS94" s="324"/>
      <c r="AT94" s="29"/>
      <c r="AU94" s="29"/>
      <c r="AV94" s="29"/>
      <c r="AW94" s="29">
        <v>0</v>
      </c>
      <c r="AX94" s="5">
        <v>0</v>
      </c>
      <c r="AY94" s="5">
        <v>0</v>
      </c>
      <c r="AZ94" s="5" t="s">
        <v>438</v>
      </c>
      <c r="BA94" s="5"/>
      <c r="BB94" s="5"/>
      <c r="BC94" s="5"/>
      <c r="BD94" s="5"/>
      <c r="BE94" s="5"/>
      <c r="BF94" s="5"/>
      <c r="BG94" s="5"/>
      <c r="BH94" s="5"/>
      <c r="BI94" s="5"/>
      <c r="BJ94" s="5"/>
      <c r="BK94" s="5"/>
      <c r="BL94" s="5"/>
      <c r="BM94" s="5"/>
      <c r="BN94" s="5"/>
      <c r="BO94" s="5"/>
      <c r="BP94" s="5"/>
      <c r="BQ94" s="5"/>
      <c r="BR94" s="5"/>
      <c r="BS94" s="192"/>
    </row>
    <row r="95" spans="1:71" x14ac:dyDescent="0.3">
      <c r="AI95" s="54"/>
      <c r="AJ95" s="54"/>
      <c r="AK95" s="54"/>
      <c r="AL95" s="177"/>
      <c r="AM95" s="54"/>
      <c r="AN95" s="177"/>
      <c r="AO95" s="54"/>
      <c r="AP95" s="287"/>
      <c r="AQ95" s="287"/>
      <c r="AR95" s="287"/>
      <c r="AS95" s="269"/>
      <c r="AX95" s="10">
        <v>0</v>
      </c>
      <c r="AY95" s="10">
        <v>0</v>
      </c>
      <c r="AZ95" s="10" t="s">
        <v>386</v>
      </c>
    </row>
    <row r="96" spans="1:71" x14ac:dyDescent="0.3">
      <c r="AI96" s="54"/>
      <c r="AJ96" s="54"/>
      <c r="AK96" s="54"/>
      <c r="AL96" s="177"/>
      <c r="AM96" s="54"/>
      <c r="AN96" s="177"/>
      <c r="AO96" s="54"/>
      <c r="AP96" s="287"/>
      <c r="AQ96" s="287"/>
      <c r="AR96" s="325"/>
      <c r="AS96" s="326"/>
      <c r="AT96" s="227"/>
      <c r="AU96" s="227"/>
      <c r="AV96" s="227"/>
      <c r="AW96" s="227"/>
      <c r="AX96" s="227">
        <f>SUM(AX94:AX95)</f>
        <v>0</v>
      </c>
      <c r="AY96" s="227">
        <f>SUM(AY94:AY95)</f>
        <v>0</v>
      </c>
      <c r="AZ96" s="228" t="s">
        <v>450</v>
      </c>
      <c r="BA96" s="227"/>
      <c r="BB96" s="227"/>
      <c r="BC96" s="227"/>
      <c r="BD96" s="227"/>
    </row>
    <row r="97" spans="1:71" x14ac:dyDescent="0.3">
      <c r="AI97" s="54"/>
      <c r="AJ97" s="54"/>
      <c r="AK97" s="54"/>
      <c r="AL97" s="177"/>
      <c r="AM97" s="54"/>
      <c r="AN97" s="177"/>
      <c r="AO97" s="54"/>
      <c r="AP97" s="287"/>
      <c r="AQ97" s="287"/>
      <c r="AR97" s="327"/>
      <c r="AS97" s="328"/>
      <c r="AT97" s="5"/>
      <c r="AU97" s="5"/>
      <c r="AV97" s="5"/>
      <c r="AW97" s="5"/>
      <c r="AX97" s="5"/>
      <c r="AY97" s="5"/>
      <c r="AZ97" s="29"/>
      <c r="BA97" s="5"/>
    </row>
    <row r="98" spans="1:71" x14ac:dyDescent="0.3">
      <c r="AI98" s="54"/>
      <c r="AJ98" s="54"/>
      <c r="AK98" s="54"/>
      <c r="AL98" s="177"/>
      <c r="AM98" s="54"/>
      <c r="AN98" s="177"/>
      <c r="AO98" s="54"/>
      <c r="AP98" s="287"/>
      <c r="AQ98" s="287"/>
      <c r="AR98" s="327"/>
      <c r="AS98" s="328"/>
      <c r="AT98" s="5"/>
      <c r="AU98" s="5"/>
      <c r="AV98" s="5"/>
      <c r="AW98" s="5"/>
      <c r="AX98" s="5"/>
      <c r="AY98" s="5"/>
      <c r="AZ98" s="197" t="s">
        <v>440</v>
      </c>
      <c r="BA98" s="5"/>
    </row>
    <row r="99" spans="1:71" x14ac:dyDescent="0.3">
      <c r="AI99" s="54"/>
      <c r="AJ99" s="54"/>
      <c r="AK99" s="54"/>
      <c r="AL99" s="177"/>
      <c r="AM99" s="54"/>
      <c r="AN99" s="177"/>
      <c r="AO99" s="54"/>
      <c r="AP99" s="287"/>
      <c r="AQ99" s="287"/>
      <c r="AR99" s="327"/>
      <c r="AS99" s="328"/>
      <c r="AT99" s="5"/>
      <c r="AU99" s="5"/>
      <c r="AV99" s="5"/>
      <c r="AW99" s="5">
        <v>0</v>
      </c>
      <c r="AX99" s="5">
        <v>0</v>
      </c>
      <c r="AY99" s="5">
        <v>189</v>
      </c>
      <c r="AZ99" s="5" t="s">
        <v>441</v>
      </c>
      <c r="BA99" s="5"/>
    </row>
    <row r="100" spans="1:71" x14ac:dyDescent="0.3">
      <c r="AI100" s="54"/>
      <c r="AJ100" s="54"/>
      <c r="AK100" s="54"/>
      <c r="AL100" s="177"/>
      <c r="AM100" s="54"/>
      <c r="AN100" s="177"/>
      <c r="AO100" s="54"/>
      <c r="AP100" s="287"/>
      <c r="AQ100" s="287"/>
      <c r="AR100" s="327"/>
      <c r="AS100" s="328"/>
      <c r="AT100" s="5"/>
      <c r="AU100" s="5"/>
      <c r="AV100" s="5"/>
      <c r="AW100" s="5"/>
      <c r="AX100" s="5">
        <v>0</v>
      </c>
      <c r="AY100" s="5">
        <v>25</v>
      </c>
      <c r="AZ100" s="5" t="s">
        <v>386</v>
      </c>
      <c r="BA100" s="5"/>
    </row>
    <row r="101" spans="1:71" x14ac:dyDescent="0.3">
      <c r="AI101" s="54"/>
      <c r="AJ101" s="54"/>
      <c r="AK101" s="54"/>
      <c r="AL101" s="177"/>
      <c r="AM101" s="54"/>
      <c r="AN101" s="177"/>
      <c r="AO101" s="54"/>
      <c r="AP101" s="287"/>
      <c r="AQ101" s="287"/>
      <c r="AR101" s="325"/>
      <c r="AS101" s="326"/>
      <c r="AT101" s="227"/>
      <c r="AU101" s="227"/>
      <c r="AV101" s="227"/>
      <c r="AW101" s="227"/>
      <c r="AX101" s="227">
        <f>SUM(AX99:AX100)</f>
        <v>0</v>
      </c>
      <c r="AY101" s="227">
        <f>SUM(AY99:AY100)</f>
        <v>214</v>
      </c>
      <c r="AZ101" s="228" t="s">
        <v>442</v>
      </c>
      <c r="BA101" s="227"/>
      <c r="BB101" s="227"/>
      <c r="BC101" s="227"/>
      <c r="BD101" s="227"/>
    </row>
    <row r="102" spans="1:71" x14ac:dyDescent="0.3">
      <c r="AI102" s="54"/>
      <c r="AJ102" s="54"/>
      <c r="AK102" s="54"/>
      <c r="AL102" s="177"/>
      <c r="AM102" s="54"/>
      <c r="AN102" s="177"/>
      <c r="AO102" s="54"/>
      <c r="AP102" s="287"/>
      <c r="AQ102" s="287"/>
      <c r="AR102" s="327"/>
      <c r="AS102" s="328"/>
      <c r="AT102" s="5"/>
      <c r="AU102" s="5"/>
      <c r="AV102" s="5"/>
      <c r="AW102" s="5"/>
      <c r="AX102" s="5"/>
      <c r="AY102" s="5"/>
      <c r="AZ102" s="5"/>
      <c r="BA102" s="5"/>
    </row>
    <row r="103" spans="1:71" x14ac:dyDescent="0.3">
      <c r="A103" s="22" t="s">
        <v>8</v>
      </c>
      <c r="AI103" s="54"/>
      <c r="AJ103" s="54"/>
      <c r="AK103" s="54"/>
      <c r="AL103" s="177"/>
      <c r="AM103" s="54"/>
      <c r="AN103" s="177"/>
      <c r="AO103" s="54"/>
      <c r="AP103" s="54"/>
      <c r="AQ103" s="54"/>
      <c r="AR103" s="265"/>
      <c r="AS103" s="265"/>
      <c r="AZ103" s="23" t="s">
        <v>8</v>
      </c>
      <c r="BH103" s="10" t="s">
        <v>250</v>
      </c>
      <c r="BI103" s="10" t="s">
        <v>277</v>
      </c>
      <c r="BJ103" s="10" t="s">
        <v>57</v>
      </c>
      <c r="BK103" s="10" t="s">
        <v>380</v>
      </c>
      <c r="BL103" s="10" t="s">
        <v>100</v>
      </c>
      <c r="BM103" s="10" t="s">
        <v>203</v>
      </c>
    </row>
    <row r="104" spans="1:71" x14ac:dyDescent="0.3">
      <c r="B104" s="10" t="s">
        <v>9</v>
      </c>
      <c r="E104" s="54">
        <v>393.5</v>
      </c>
      <c r="F104" s="54">
        <v>485.3</v>
      </c>
      <c r="G104" s="54">
        <v>559.20000000000005</v>
      </c>
      <c r="H104" s="54">
        <v>552</v>
      </c>
      <c r="I104" s="54">
        <v>268.2</v>
      </c>
      <c r="J104" s="54">
        <v>201.6</v>
      </c>
      <c r="K104" s="54">
        <v>180.8</v>
      </c>
      <c r="L104" s="54">
        <v>171.6</v>
      </c>
      <c r="M104" s="54">
        <v>143.5</v>
      </c>
      <c r="N104" s="54">
        <v>123.1</v>
      </c>
      <c r="O104" s="54">
        <v>96</v>
      </c>
      <c r="P104" s="54">
        <v>91.5</v>
      </c>
      <c r="Q104" s="54">
        <v>93.3</v>
      </c>
      <c r="R104" s="54">
        <v>129.5</v>
      </c>
      <c r="S104" s="54">
        <f>174.3-S105-S106</f>
        <v>114.00000000000001</v>
      </c>
      <c r="T104" s="54">
        <f>186.2-T105-T106</f>
        <v>113.79999999999998</v>
      </c>
      <c r="U104" s="55">
        <f>242.3-U105-U106</f>
        <v>157.30000000000001</v>
      </c>
      <c r="V104" s="55">
        <f>267.9-V105-V106</f>
        <v>171.2</v>
      </c>
      <c r="W104" s="54">
        <f>191-W105-W106-2</f>
        <v>104.4</v>
      </c>
      <c r="X104" s="55">
        <f>2.2+59.2+21.9+0.66</f>
        <v>83.960000000000008</v>
      </c>
      <c r="Y104" s="54">
        <f>66.97+16.3+2.95+1.38</f>
        <v>87.6</v>
      </c>
      <c r="Z104" s="54">
        <f>73.44+16.8+6.3+3.6+14.5</f>
        <v>114.63999999999999</v>
      </c>
      <c r="AA104" s="56">
        <f>82.03</f>
        <v>82.03</v>
      </c>
      <c r="AB104" s="54">
        <f>91.7</f>
        <v>91.7</v>
      </c>
      <c r="AC104" s="54">
        <f>87.1</f>
        <v>87.1</v>
      </c>
      <c r="AD104" s="55">
        <v>82.3</v>
      </c>
      <c r="AE104" s="54">
        <v>80.7</v>
      </c>
      <c r="AF104" s="54">
        <v>84.3</v>
      </c>
      <c r="AG104" s="54">
        <v>81.8</v>
      </c>
      <c r="AH104" s="54">
        <v>157</v>
      </c>
      <c r="AI104" s="54">
        <v>166.3</v>
      </c>
      <c r="AJ104" s="54">
        <v>172.4</v>
      </c>
      <c r="AK104" s="54">
        <v>116</v>
      </c>
      <c r="AL104" s="177">
        <v>243.4</v>
      </c>
      <c r="AM104" s="54">
        <v>259.60000000000002</v>
      </c>
      <c r="AN104" s="177">
        <v>284.7</v>
      </c>
      <c r="AO104" s="54">
        <v>269</v>
      </c>
      <c r="AP104" s="54">
        <v>257.10000000000002</v>
      </c>
      <c r="AQ104" s="54">
        <v>230.8</v>
      </c>
      <c r="AR104" s="265">
        <v>241.6</v>
      </c>
      <c r="AS104" s="265">
        <v>207.6</v>
      </c>
      <c r="AT104" s="54">
        <v>241.6</v>
      </c>
      <c r="AU104" s="54">
        <v>246.5</v>
      </c>
      <c r="AV104" s="10">
        <v>280</v>
      </c>
      <c r="AW104" s="10">
        <v>280</v>
      </c>
      <c r="AX104" s="10">
        <v>280</v>
      </c>
      <c r="AY104" s="10">
        <v>534.6</v>
      </c>
      <c r="AZ104" s="10" t="s">
        <v>9</v>
      </c>
      <c r="BG104" s="132"/>
      <c r="BH104" s="133"/>
      <c r="BI104" s="10" t="s">
        <v>279</v>
      </c>
      <c r="BJ104" s="10" t="s">
        <v>5</v>
      </c>
      <c r="BK104" s="10" t="s">
        <v>46</v>
      </c>
      <c r="BN104" s="10" t="s">
        <v>235</v>
      </c>
      <c r="BO104" s="10" t="s">
        <v>42</v>
      </c>
      <c r="BP104" s="10" t="s">
        <v>334</v>
      </c>
      <c r="BQ104" s="10" t="s">
        <v>343</v>
      </c>
      <c r="BR104" s="10" t="s">
        <v>343</v>
      </c>
      <c r="BS104" s="19" t="s">
        <v>343</v>
      </c>
    </row>
    <row r="105" spans="1:71" x14ac:dyDescent="0.3">
      <c r="B105" s="10" t="s">
        <v>328</v>
      </c>
      <c r="S105" s="54">
        <v>39</v>
      </c>
      <c r="T105" s="54">
        <v>48.4</v>
      </c>
      <c r="U105" s="55">
        <v>55.8</v>
      </c>
      <c r="V105" s="55">
        <v>52.2</v>
      </c>
      <c r="W105" s="54">
        <v>53.2</v>
      </c>
      <c r="X105" s="55">
        <v>54.3</v>
      </c>
      <c r="Y105" s="54">
        <v>96.75</v>
      </c>
      <c r="Z105" s="54">
        <v>99.3</v>
      </c>
      <c r="AA105" s="56">
        <v>69.87</v>
      </c>
      <c r="AB105" s="54">
        <v>85.4</v>
      </c>
      <c r="AC105" s="54">
        <v>87.7</v>
      </c>
      <c r="AD105" s="55">
        <v>85.3</v>
      </c>
      <c r="AE105" s="54">
        <v>84.6</v>
      </c>
      <c r="AF105" s="54">
        <v>87.5</v>
      </c>
      <c r="AG105" s="54">
        <v>89.8</v>
      </c>
      <c r="AH105" s="54">
        <v>196.3</v>
      </c>
      <c r="AI105" s="54">
        <v>195.6</v>
      </c>
      <c r="AJ105" s="54">
        <v>214.2</v>
      </c>
      <c r="AK105" s="54">
        <v>777.1</v>
      </c>
      <c r="AL105" s="177">
        <v>216.2</v>
      </c>
      <c r="AM105" s="54">
        <v>180</v>
      </c>
      <c r="AN105" s="177">
        <v>195</v>
      </c>
      <c r="AO105" s="54">
        <v>185.2</v>
      </c>
      <c r="AP105" s="54">
        <v>232.3</v>
      </c>
      <c r="AQ105" s="267">
        <v>175.9</v>
      </c>
      <c r="AR105" s="269">
        <v>225</v>
      </c>
      <c r="AS105" s="269">
        <v>205</v>
      </c>
      <c r="AT105" s="54">
        <v>221.5</v>
      </c>
      <c r="AU105" s="54">
        <v>226</v>
      </c>
      <c r="AV105" s="10">
        <v>259.5</v>
      </c>
      <c r="AW105" s="10">
        <v>255</v>
      </c>
      <c r="AX105" s="10">
        <v>255</v>
      </c>
      <c r="AY105" s="10">
        <v>340</v>
      </c>
      <c r="AZ105" s="10" t="s">
        <v>390</v>
      </c>
      <c r="BG105" s="132"/>
      <c r="BH105" s="133"/>
      <c r="BO105" s="10" t="s">
        <v>104</v>
      </c>
      <c r="BP105" s="10" t="s">
        <v>313</v>
      </c>
      <c r="BQ105" s="10" t="s">
        <v>343</v>
      </c>
      <c r="BR105" s="10" t="s">
        <v>343</v>
      </c>
      <c r="BS105" s="19" t="s">
        <v>343</v>
      </c>
    </row>
    <row r="106" spans="1:71" x14ac:dyDescent="0.3">
      <c r="B106" s="10" t="s">
        <v>10</v>
      </c>
      <c r="S106" s="54">
        <v>21.3</v>
      </c>
      <c r="T106" s="54">
        <v>24</v>
      </c>
      <c r="U106" s="55">
        <v>29.2</v>
      </c>
      <c r="V106" s="55">
        <v>44.5</v>
      </c>
      <c r="W106" s="54">
        <v>31.4</v>
      </c>
      <c r="X106" s="55">
        <v>28.6</v>
      </c>
      <c r="Y106" s="54">
        <v>32.4</v>
      </c>
      <c r="Z106" s="54">
        <v>34.4</v>
      </c>
      <c r="AA106" s="56">
        <v>32.090000000000003</v>
      </c>
      <c r="AB106" s="54">
        <v>39.1</v>
      </c>
      <c r="AC106" s="54">
        <v>38.200000000000003</v>
      </c>
      <c r="AD106" s="55">
        <v>41.6</v>
      </c>
      <c r="AE106" s="54">
        <v>39.799999999999997</v>
      </c>
      <c r="AF106" s="54">
        <v>40.6</v>
      </c>
      <c r="AG106" s="54">
        <v>38.299999999999997</v>
      </c>
      <c r="AH106" s="54">
        <v>48.7</v>
      </c>
      <c r="AI106" s="54">
        <v>49</v>
      </c>
      <c r="AJ106" s="54">
        <v>54.4</v>
      </c>
      <c r="AK106" s="54">
        <v>106.9</v>
      </c>
      <c r="AL106" s="177">
        <v>79</v>
      </c>
      <c r="AM106" s="54">
        <v>78.8</v>
      </c>
      <c r="AN106" s="177">
        <v>91.8</v>
      </c>
      <c r="AO106" s="54">
        <v>86.1</v>
      </c>
      <c r="AP106" s="54">
        <v>88.1</v>
      </c>
      <c r="AQ106" s="54">
        <v>105.9</v>
      </c>
      <c r="AR106" s="265">
        <v>95.4</v>
      </c>
      <c r="AS106" s="265">
        <v>90</v>
      </c>
      <c r="AT106" s="54">
        <v>92</v>
      </c>
      <c r="AU106" s="54">
        <v>92</v>
      </c>
      <c r="AV106" s="10">
        <v>104</v>
      </c>
      <c r="AW106" s="10">
        <v>110</v>
      </c>
      <c r="AX106" s="10">
        <v>110</v>
      </c>
      <c r="AY106" s="10">
        <v>345.4</v>
      </c>
      <c r="AZ106" s="10" t="s">
        <v>10</v>
      </c>
      <c r="BG106" s="132"/>
      <c r="BH106" s="133"/>
      <c r="BO106" s="10" t="s">
        <v>105</v>
      </c>
      <c r="BP106" s="10" t="s">
        <v>356</v>
      </c>
      <c r="BQ106" s="10" t="s">
        <v>343</v>
      </c>
      <c r="BR106" s="10" t="s">
        <v>343</v>
      </c>
      <c r="BS106" s="19" t="s">
        <v>343</v>
      </c>
    </row>
    <row r="107" spans="1:71" x14ac:dyDescent="0.3">
      <c r="B107" s="10" t="s">
        <v>11</v>
      </c>
      <c r="E107" s="54">
        <v>107.9</v>
      </c>
      <c r="F107" s="54">
        <v>146.19999999999999</v>
      </c>
      <c r="G107" s="54">
        <v>149.19999999999999</v>
      </c>
      <c r="H107" s="54">
        <v>156</v>
      </c>
      <c r="I107" s="54">
        <v>69.900000000000006</v>
      </c>
      <c r="J107" s="54">
        <v>57.6</v>
      </c>
      <c r="K107" s="54">
        <v>30.3</v>
      </c>
      <c r="L107" s="54">
        <v>29.7</v>
      </c>
      <c r="M107" s="54">
        <v>26.5</v>
      </c>
      <c r="N107" s="54">
        <v>20.7</v>
      </c>
      <c r="O107" s="54">
        <v>20.7</v>
      </c>
      <c r="P107" s="54">
        <v>19.3</v>
      </c>
      <c r="Q107" s="54">
        <v>17.2</v>
      </c>
      <c r="R107" s="54">
        <v>29.9</v>
      </c>
      <c r="S107" s="54">
        <v>26.9</v>
      </c>
      <c r="T107" s="54">
        <v>23.3</v>
      </c>
      <c r="U107" s="55">
        <v>23</v>
      </c>
      <c r="V107" s="55">
        <v>41.4</v>
      </c>
      <c r="W107" s="54">
        <v>29.4</v>
      </c>
      <c r="X107" s="55">
        <v>29.6</v>
      </c>
      <c r="Y107" s="54">
        <v>28.7</v>
      </c>
      <c r="Z107" s="54">
        <v>28.2</v>
      </c>
      <c r="AA107" s="56">
        <v>23.33</v>
      </c>
      <c r="AB107" s="54">
        <v>26.6</v>
      </c>
      <c r="AC107" s="54">
        <v>27</v>
      </c>
      <c r="AD107" s="55">
        <v>28.4</v>
      </c>
      <c r="AE107" s="54">
        <v>24.6</v>
      </c>
      <c r="AF107" s="54">
        <v>25.3</v>
      </c>
      <c r="AG107" s="54">
        <v>22.8</v>
      </c>
      <c r="AH107" s="54">
        <v>5</v>
      </c>
      <c r="AI107" s="54">
        <v>19.3</v>
      </c>
      <c r="AJ107" s="54">
        <v>43.3</v>
      </c>
      <c r="AK107" s="54">
        <v>393.1</v>
      </c>
      <c r="AL107" s="177">
        <v>43</v>
      </c>
      <c r="AM107" s="54">
        <v>37</v>
      </c>
      <c r="AN107" s="177">
        <v>37</v>
      </c>
      <c r="AO107" s="54">
        <v>35</v>
      </c>
      <c r="AP107" s="54">
        <v>45.8</v>
      </c>
      <c r="AQ107" s="74">
        <v>54.3</v>
      </c>
      <c r="AR107" s="266">
        <v>71</v>
      </c>
      <c r="AS107" s="266">
        <v>69.5</v>
      </c>
      <c r="AT107" s="54">
        <v>80.900000000000006</v>
      </c>
      <c r="AU107" s="54">
        <v>84</v>
      </c>
      <c r="AV107" s="10">
        <v>110</v>
      </c>
      <c r="AW107" s="10">
        <v>106</v>
      </c>
      <c r="AX107" s="10">
        <v>106</v>
      </c>
      <c r="AY107" s="10">
        <v>202</v>
      </c>
      <c r="AZ107" s="10" t="s">
        <v>11</v>
      </c>
      <c r="BG107" s="132"/>
      <c r="BH107" s="133"/>
      <c r="BO107" s="10" t="s">
        <v>45</v>
      </c>
      <c r="BP107" s="10" t="s">
        <v>357</v>
      </c>
      <c r="BQ107" s="10" t="s">
        <v>343</v>
      </c>
      <c r="BR107" s="10" t="s">
        <v>343</v>
      </c>
      <c r="BS107" s="19" t="s">
        <v>343</v>
      </c>
    </row>
    <row r="108" spans="1:71" x14ac:dyDescent="0.3">
      <c r="B108" s="10" t="s">
        <v>12</v>
      </c>
      <c r="E108" s="54">
        <v>10.4</v>
      </c>
      <c r="F108" s="54">
        <v>39.200000000000003</v>
      </c>
      <c r="G108" s="54">
        <v>20.9</v>
      </c>
      <c r="H108" s="54">
        <v>3.2</v>
      </c>
      <c r="I108" s="54">
        <v>3</v>
      </c>
      <c r="J108" s="54">
        <v>2</v>
      </c>
      <c r="K108" s="54">
        <v>0.75</v>
      </c>
      <c r="L108" s="54">
        <v>0.4</v>
      </c>
      <c r="M108" s="54">
        <v>0.5</v>
      </c>
      <c r="N108" s="54">
        <v>0.45</v>
      </c>
      <c r="O108" s="54">
        <v>0</v>
      </c>
      <c r="P108" s="54">
        <v>0</v>
      </c>
      <c r="Q108" s="54">
        <v>0</v>
      </c>
      <c r="R108" s="54">
        <v>1</v>
      </c>
      <c r="S108" s="54">
        <v>1</v>
      </c>
      <c r="T108" s="54">
        <v>1</v>
      </c>
      <c r="U108" s="55">
        <v>1</v>
      </c>
      <c r="V108" s="55">
        <v>4.8</v>
      </c>
      <c r="W108" s="54">
        <v>3.5</v>
      </c>
      <c r="X108" s="55">
        <v>1</v>
      </c>
      <c r="Y108" s="54">
        <v>0.7</v>
      </c>
      <c r="Z108" s="54">
        <v>3.21</v>
      </c>
      <c r="AA108" s="56">
        <v>4.8600000000000003</v>
      </c>
      <c r="AB108" s="54">
        <v>4.9000000000000004</v>
      </c>
      <c r="AC108" s="54">
        <v>5</v>
      </c>
      <c r="AD108" s="55">
        <v>5</v>
      </c>
      <c r="AE108" s="54">
        <v>4.7</v>
      </c>
      <c r="AF108" s="54">
        <v>4.9000000000000004</v>
      </c>
      <c r="AG108" s="54">
        <v>0.5</v>
      </c>
      <c r="AH108" s="54">
        <v>0</v>
      </c>
      <c r="AI108" s="54">
        <v>9.6999999999999993</v>
      </c>
      <c r="AJ108" s="54">
        <v>39.1</v>
      </c>
      <c r="AK108" s="54">
        <v>31.7</v>
      </c>
      <c r="AL108" s="54">
        <v>48.7</v>
      </c>
      <c r="AM108" s="54">
        <v>29.2</v>
      </c>
      <c r="AN108" s="177">
        <v>58.1</v>
      </c>
      <c r="AO108" s="54">
        <v>54.7</v>
      </c>
      <c r="AP108" s="54">
        <v>58.6</v>
      </c>
      <c r="AQ108" s="74">
        <v>60</v>
      </c>
      <c r="AR108" s="266">
        <v>70</v>
      </c>
      <c r="AS108" s="54">
        <v>84</v>
      </c>
      <c r="AT108" s="54">
        <v>105</v>
      </c>
      <c r="AU108" s="54">
        <v>105</v>
      </c>
      <c r="AV108" s="10">
        <v>148</v>
      </c>
      <c r="AW108" s="10">
        <v>150</v>
      </c>
      <c r="AX108" s="10">
        <v>150</v>
      </c>
      <c r="AY108" s="10">
        <v>190.5</v>
      </c>
      <c r="AZ108" s="10" t="s">
        <v>376</v>
      </c>
      <c r="BG108" s="132"/>
      <c r="BH108" s="133"/>
      <c r="BO108" s="10" t="s">
        <v>107</v>
      </c>
      <c r="BP108" s="10" t="s">
        <v>358</v>
      </c>
      <c r="BQ108" s="10" t="s">
        <v>343</v>
      </c>
      <c r="BR108" s="10" t="s">
        <v>343</v>
      </c>
      <c r="BS108" s="19" t="s">
        <v>343</v>
      </c>
    </row>
    <row r="109" spans="1:71" x14ac:dyDescent="0.3">
      <c r="B109" s="10" t="s">
        <v>13</v>
      </c>
      <c r="E109" s="54">
        <v>41.6</v>
      </c>
      <c r="F109" s="54">
        <v>40.799999999999997</v>
      </c>
      <c r="G109" s="54">
        <v>37.1</v>
      </c>
      <c r="H109" s="54">
        <v>39.9</v>
      </c>
      <c r="I109" s="54">
        <v>21.3</v>
      </c>
      <c r="J109" s="54">
        <v>17.100000000000001</v>
      </c>
      <c r="K109" s="54">
        <v>18.399999999999999</v>
      </c>
      <c r="L109" s="54">
        <v>19.7</v>
      </c>
      <c r="M109" s="54">
        <v>11.4</v>
      </c>
      <c r="N109" s="54">
        <v>11.2</v>
      </c>
      <c r="O109" s="54">
        <v>15.1</v>
      </c>
      <c r="P109" s="54">
        <v>23.6</v>
      </c>
      <c r="Q109" s="54">
        <v>16.899999999999999</v>
      </c>
      <c r="R109" s="54">
        <v>28</v>
      </c>
      <c r="S109" s="54">
        <v>30.4</v>
      </c>
      <c r="T109" s="54">
        <v>32.1</v>
      </c>
      <c r="U109" s="55">
        <v>37</v>
      </c>
      <c r="V109" s="55">
        <v>37.5</v>
      </c>
      <c r="W109" s="54">
        <v>31.8</v>
      </c>
      <c r="X109" s="55">
        <v>31.4</v>
      </c>
      <c r="Y109" s="54">
        <v>43.3</v>
      </c>
      <c r="Z109" s="54">
        <v>40.9</v>
      </c>
      <c r="AA109" s="56">
        <v>37.340000000000003</v>
      </c>
      <c r="AB109" s="54">
        <v>51.7</v>
      </c>
      <c r="AI109" s="54"/>
      <c r="AJ109" s="54"/>
      <c r="AK109" s="54"/>
      <c r="AL109" s="54"/>
      <c r="AM109" s="54"/>
      <c r="AN109" s="177"/>
      <c r="AO109" s="54"/>
      <c r="AP109" s="54"/>
      <c r="AQ109" s="74"/>
      <c r="AR109" s="266"/>
      <c r="AS109" s="266"/>
      <c r="AT109" s="54"/>
      <c r="AU109" s="54"/>
      <c r="AZ109" s="10" t="s">
        <v>13</v>
      </c>
      <c r="BG109" s="132"/>
      <c r="BH109" s="133"/>
    </row>
    <row r="110" spans="1:71" x14ac:dyDescent="0.3">
      <c r="B110" s="10" t="s">
        <v>325</v>
      </c>
      <c r="E110" s="54">
        <v>51.4</v>
      </c>
      <c r="F110" s="54">
        <v>58.4</v>
      </c>
      <c r="G110" s="54">
        <v>66.3</v>
      </c>
      <c r="H110" s="54">
        <v>71.8</v>
      </c>
      <c r="I110" s="54">
        <v>38.5</v>
      </c>
      <c r="J110" s="54">
        <v>25.7</v>
      </c>
      <c r="K110" s="54">
        <v>25.6</v>
      </c>
      <c r="L110" s="54">
        <v>18.600000000000001</v>
      </c>
      <c r="M110" s="54">
        <v>17.100000000000001</v>
      </c>
      <c r="N110" s="54">
        <v>16.55</v>
      </c>
      <c r="O110" s="54">
        <v>14.45</v>
      </c>
      <c r="P110" s="54">
        <v>13.2</v>
      </c>
      <c r="Q110" s="54">
        <v>11.7</v>
      </c>
      <c r="R110" s="54">
        <v>12.8</v>
      </c>
      <c r="S110" s="54">
        <v>7.2</v>
      </c>
      <c r="T110" s="54">
        <v>10.199999999999999</v>
      </c>
      <c r="U110" s="55">
        <v>7.2</v>
      </c>
      <c r="V110" s="55">
        <v>5.0999999999999996</v>
      </c>
      <c r="W110" s="54">
        <v>2</v>
      </c>
      <c r="AI110" s="54"/>
      <c r="AJ110" s="54"/>
      <c r="AK110" s="54"/>
      <c r="AL110" s="54"/>
      <c r="AM110" s="54"/>
      <c r="AN110" s="177"/>
      <c r="AO110" s="54"/>
      <c r="AP110" s="54"/>
      <c r="AQ110" s="267"/>
      <c r="AR110" s="269"/>
      <c r="AS110" s="269"/>
      <c r="AT110" s="54"/>
      <c r="AU110" s="54"/>
      <c r="AZ110" s="10" t="s">
        <v>325</v>
      </c>
    </row>
    <row r="111" spans="1:71" x14ac:dyDescent="0.3">
      <c r="B111" s="10" t="s">
        <v>14</v>
      </c>
      <c r="E111" s="54">
        <v>0</v>
      </c>
      <c r="F111" s="54">
        <v>0</v>
      </c>
      <c r="G111" s="54">
        <v>0</v>
      </c>
      <c r="H111" s="54">
        <v>0</v>
      </c>
      <c r="I111" s="54">
        <v>0</v>
      </c>
      <c r="J111" s="54">
        <v>0</v>
      </c>
      <c r="K111" s="54">
        <v>0</v>
      </c>
      <c r="L111" s="54">
        <v>0</v>
      </c>
      <c r="M111" s="54">
        <v>0</v>
      </c>
      <c r="N111" s="54">
        <v>0</v>
      </c>
      <c r="O111" s="54">
        <v>0</v>
      </c>
      <c r="P111" s="54">
        <v>0</v>
      </c>
      <c r="Q111" s="54">
        <v>0</v>
      </c>
      <c r="R111" s="54">
        <v>0</v>
      </c>
      <c r="S111" s="54">
        <v>0</v>
      </c>
      <c r="T111" s="54">
        <v>0</v>
      </c>
      <c r="U111" s="55">
        <v>0</v>
      </c>
      <c r="V111" s="55">
        <v>0</v>
      </c>
      <c r="W111" s="54">
        <v>0</v>
      </c>
      <c r="X111" s="55">
        <v>4</v>
      </c>
      <c r="Y111" s="54">
        <v>3.9</v>
      </c>
      <c r="Z111" s="54">
        <v>4.8</v>
      </c>
      <c r="AA111" s="56">
        <v>3.9</v>
      </c>
      <c r="AB111" s="54">
        <v>6.6</v>
      </c>
      <c r="AC111" s="54">
        <v>0</v>
      </c>
      <c r="AI111" s="54"/>
      <c r="AJ111" s="54">
        <v>6</v>
      </c>
      <c r="AK111" s="54">
        <v>0</v>
      </c>
      <c r="AL111" s="54">
        <v>10</v>
      </c>
      <c r="AM111" s="54">
        <v>10</v>
      </c>
      <c r="AN111" s="177">
        <v>10</v>
      </c>
      <c r="AO111" s="54">
        <v>9.4</v>
      </c>
      <c r="AP111" s="54">
        <v>7</v>
      </c>
      <c r="AQ111" s="54">
        <v>0</v>
      </c>
      <c r="AR111" s="265">
        <v>0</v>
      </c>
      <c r="AS111" s="265">
        <v>0</v>
      </c>
      <c r="AT111" s="54">
        <v>0</v>
      </c>
      <c r="AU111" s="54">
        <v>0</v>
      </c>
      <c r="AV111" s="10">
        <v>0</v>
      </c>
      <c r="AW111" s="10">
        <v>0</v>
      </c>
      <c r="AX111" s="10">
        <v>0</v>
      </c>
      <c r="AY111" s="10">
        <v>0</v>
      </c>
      <c r="AZ111" s="10" t="s">
        <v>410</v>
      </c>
      <c r="BL111" s="5"/>
      <c r="BM111" s="5"/>
      <c r="BN111" s="5"/>
      <c r="BO111" s="5"/>
      <c r="BP111" s="5"/>
    </row>
    <row r="112" spans="1:71" x14ac:dyDescent="0.3">
      <c r="B112" s="10" t="s">
        <v>53</v>
      </c>
      <c r="E112" s="54">
        <v>0</v>
      </c>
      <c r="F112" s="54">
        <v>0</v>
      </c>
      <c r="G112" s="54">
        <v>0</v>
      </c>
      <c r="H112" s="54">
        <v>0</v>
      </c>
      <c r="I112" s="54">
        <v>0</v>
      </c>
      <c r="J112" s="54">
        <v>0</v>
      </c>
      <c r="K112" s="54">
        <v>0</v>
      </c>
      <c r="L112" s="54">
        <v>15.7</v>
      </c>
      <c r="M112" s="54">
        <v>9.8000000000000007</v>
      </c>
      <c r="N112" s="54">
        <v>10</v>
      </c>
      <c r="O112" s="54">
        <v>6</v>
      </c>
      <c r="P112" s="54">
        <v>13</v>
      </c>
      <c r="Q112" s="54">
        <v>0</v>
      </c>
      <c r="R112" s="54">
        <v>0</v>
      </c>
      <c r="S112" s="55">
        <v>0</v>
      </c>
      <c r="T112" s="54">
        <v>0</v>
      </c>
      <c r="U112" s="55">
        <v>0</v>
      </c>
      <c r="V112" s="55">
        <v>8.3000000000000007</v>
      </c>
      <c r="W112" s="54">
        <v>0</v>
      </c>
      <c r="X112" s="55">
        <v>0</v>
      </c>
      <c r="Y112" s="54">
        <v>0</v>
      </c>
      <c r="Z112" s="54">
        <v>0</v>
      </c>
      <c r="AA112" s="56">
        <v>0</v>
      </c>
      <c r="AB112" s="54">
        <v>0</v>
      </c>
      <c r="AC112" s="54">
        <v>0</v>
      </c>
      <c r="AD112" s="55">
        <v>0</v>
      </c>
      <c r="AE112" s="54">
        <v>0</v>
      </c>
      <c r="AF112" s="54">
        <v>0</v>
      </c>
      <c r="AG112" s="54">
        <v>0</v>
      </c>
      <c r="AH112" s="54">
        <f>20+63</f>
        <v>83</v>
      </c>
      <c r="AI112" s="54">
        <f>76.2-6.9</f>
        <v>69.3</v>
      </c>
      <c r="AJ112" s="54">
        <f>76-22</f>
        <v>54</v>
      </c>
      <c r="AK112" s="54">
        <f>258.9-114.7-44</f>
        <v>100.19999999999999</v>
      </c>
      <c r="AL112" s="54">
        <v>0</v>
      </c>
      <c r="AM112" s="54">
        <v>51</v>
      </c>
      <c r="AN112" s="177">
        <v>26.3</v>
      </c>
      <c r="AO112" s="54">
        <v>24.9</v>
      </c>
      <c r="AP112" s="54">
        <v>46</v>
      </c>
      <c r="AQ112" s="74">
        <v>56</v>
      </c>
      <c r="AR112" s="266">
        <v>62</v>
      </c>
      <c r="AS112" s="266">
        <v>92</v>
      </c>
      <c r="AT112" s="54">
        <v>92</v>
      </c>
      <c r="AU112" s="54">
        <v>97</v>
      </c>
      <c r="AV112" s="10">
        <v>130</v>
      </c>
      <c r="AW112" s="10">
        <v>130</v>
      </c>
      <c r="AX112" s="10">
        <v>130</v>
      </c>
      <c r="AY112" s="10">
        <v>241.6</v>
      </c>
      <c r="AZ112" s="10" t="s">
        <v>53</v>
      </c>
      <c r="BL112" s="5"/>
      <c r="BM112" s="5"/>
      <c r="BN112" s="5"/>
      <c r="BO112" s="5"/>
      <c r="BP112" s="5"/>
    </row>
    <row r="113" spans="1:71" x14ac:dyDescent="0.3">
      <c r="B113" s="10" t="s">
        <v>326</v>
      </c>
      <c r="AC113" s="54">
        <v>76.8</v>
      </c>
      <c r="AI113" s="54"/>
      <c r="AJ113" s="54"/>
      <c r="AK113" s="54"/>
      <c r="AL113" s="54"/>
      <c r="AM113" s="54"/>
      <c r="AN113" s="177"/>
      <c r="AO113" s="54"/>
      <c r="AP113" s="54"/>
      <c r="AQ113" s="74"/>
      <c r="AR113" s="266"/>
      <c r="AS113" s="266"/>
      <c r="AT113" s="54"/>
      <c r="AU113" s="54"/>
      <c r="AZ113" s="10" t="s">
        <v>326</v>
      </c>
    </row>
    <row r="114" spans="1:71" x14ac:dyDescent="0.3">
      <c r="B114" s="10" t="s">
        <v>169</v>
      </c>
      <c r="Y114" s="55"/>
      <c r="AC114" s="54">
        <f>1.36 + 4.87</f>
        <v>6.23</v>
      </c>
      <c r="AD114" s="55">
        <f>7.6+5.3</f>
        <v>12.899999999999999</v>
      </c>
      <c r="AE114" s="55">
        <f>12.9+2</f>
        <v>14.9</v>
      </c>
      <c r="AF114" s="55">
        <f>11.4+2</f>
        <v>13.4</v>
      </c>
      <c r="AG114" s="55"/>
      <c r="AI114" s="54"/>
      <c r="AJ114" s="54"/>
      <c r="AK114" s="54"/>
      <c r="AL114" s="54"/>
      <c r="AM114" s="54"/>
      <c r="AN114" s="177"/>
      <c r="AO114" s="54"/>
      <c r="AP114" s="54"/>
      <c r="AQ114" s="74"/>
      <c r="AR114" s="54"/>
      <c r="AS114" s="266"/>
      <c r="AT114" s="54"/>
      <c r="AU114" s="54"/>
      <c r="AZ114" s="10" t="s">
        <v>169</v>
      </c>
      <c r="BA114" s="53"/>
      <c r="BB114" s="53"/>
      <c r="BC114" s="53"/>
      <c r="BD114" s="53"/>
      <c r="BE114" s="53"/>
      <c r="BF114" s="53"/>
      <c r="BI114" s="5"/>
      <c r="BJ114" s="5"/>
      <c r="BK114" s="5"/>
      <c r="BL114" s="5"/>
      <c r="BM114" s="5"/>
      <c r="BN114" s="5" t="s">
        <v>191</v>
      </c>
      <c r="BO114" s="5" t="s">
        <v>189</v>
      </c>
      <c r="BP114" s="5" t="s">
        <v>123</v>
      </c>
    </row>
    <row r="115" spans="1:71" x14ac:dyDescent="0.3">
      <c r="B115" s="10" t="s">
        <v>199</v>
      </c>
      <c r="E115" s="54">
        <v>0</v>
      </c>
      <c r="F115" s="54">
        <v>0</v>
      </c>
      <c r="G115" s="54">
        <v>0</v>
      </c>
      <c r="H115" s="54">
        <v>0</v>
      </c>
      <c r="I115" s="54">
        <v>0</v>
      </c>
      <c r="J115" s="54">
        <v>0</v>
      </c>
      <c r="K115" s="54">
        <v>0</v>
      </c>
      <c r="L115" s="54">
        <v>0</v>
      </c>
      <c r="M115" s="54">
        <v>0</v>
      </c>
      <c r="N115" s="54">
        <v>0</v>
      </c>
      <c r="O115" s="54">
        <v>0</v>
      </c>
      <c r="P115" s="54">
        <v>0</v>
      </c>
      <c r="Q115" s="54">
        <v>0</v>
      </c>
      <c r="R115" s="54">
        <v>0</v>
      </c>
      <c r="S115" s="54">
        <v>1.9</v>
      </c>
      <c r="T115" s="54">
        <v>2.9</v>
      </c>
      <c r="U115" s="55">
        <v>3.8</v>
      </c>
      <c r="V115" s="55">
        <v>4.8</v>
      </c>
      <c r="W115" s="54">
        <f>12.2+2</f>
        <v>14.2</v>
      </c>
      <c r="X115" s="55">
        <f>13.1+3.3</f>
        <v>16.399999999999999</v>
      </c>
      <c r="Y115" s="55">
        <f>15.7+4.8+3.2</f>
        <v>23.7</v>
      </c>
      <c r="Z115" s="54">
        <f>18.1+4+3.9+4</f>
        <v>30</v>
      </c>
      <c r="AA115" s="56">
        <f>17.7+4.67+1.5+4.9+1.1</f>
        <v>29.869999999999997</v>
      </c>
      <c r="AB115" s="54">
        <f>18.7+2+4.9+4+4+4</f>
        <v>37.6</v>
      </c>
      <c r="AC115" s="54">
        <f>18.7+5.7+1.4</f>
        <v>25.799999999999997</v>
      </c>
      <c r="AD115" s="55">
        <f>1.4+12.6+14.4</f>
        <v>28.4</v>
      </c>
      <c r="AE115" s="55">
        <f>16.5+8.5</f>
        <v>25</v>
      </c>
      <c r="AF115" s="55">
        <f>(98.2+16.8)*(AF104+AF105+AF106+AF107+AF108)/(AF104+AF105+AF106+AF107+AF108+AF82+AF43+AF45+AF46+AF47+AF49)</f>
        <v>36.307912545549193</v>
      </c>
      <c r="AG115" s="55">
        <f>(98.5+13.3)*(AG104+AG105+AG106+AG107+AG108)/(AG104+AG105+AG106+AG107+AG108+AG82+AG43+AG45+AG46+AG47+AG49)</f>
        <v>34.986258722490604</v>
      </c>
      <c r="AH115" s="64">
        <f>(99.3+11)*((AH104+AH105+AH106+AH107+AH108))/(AH43+AH45+AH47+AH49+AH104+AH105+AH106+AH107+AH108+AH46+AH82)</f>
        <v>46.645989193682453</v>
      </c>
      <c r="AI115" s="64">
        <f>(104.1+10.8)*((AI104+AI105+AI106+AI107+AI108))/(AI43+AI45+AI47+AI49+AI104+AI105+AI106+AI107+AI108+AI46+AI82)</f>
        <v>48.142213544147054</v>
      </c>
      <c r="AJ115" s="64">
        <f>(127.6+18.2)*((AJ104+AJ105+AJ106+AJ107+AJ108))/(AJ43+AJ46+AJ47+AJ49+AJ104+AJ105+AJ106+AJ107+AJ108+AJ45+AJ82)</f>
        <v>63.00505284015852</v>
      </c>
      <c r="AK115" s="64">
        <f>(80+21.9)*((AK104+AK105+AK106+AK107+AK108))/(AK43+AK46+AK47+AK49+AK104+AK105+AK106+AK107+AK108+AK45+AK82)</f>
        <v>68.838423972310466</v>
      </c>
      <c r="AL115" s="64">
        <f>(140+45)*((AL104+AL105+AL106+AL107+AL108))/(AL43+AL46+AL47+AL49+AL104+AL105+AL106+AL107+AL108+AL45+AL82)</f>
        <v>82.0125896750598</v>
      </c>
      <c r="AM115" s="64">
        <f>(170+32)*((AM104+AM105+AM106+AM107+AM108))/(AM43+AM46+AM47+AM49+AM104+AM105+AM106+AM107+AM108+AM45+AM82)</f>
        <v>91.776793347322609</v>
      </c>
      <c r="AN115" s="178">
        <f>(165+25)*((AN104+AN105+AN106+AN107+AN108))/(AN43+AN46+AN47+AN49+AN104+AN105+AN106+AN107+AN108+AN45+AN82)</f>
        <v>89.432283575766149</v>
      </c>
      <c r="AO115" s="64">
        <f>(160.5+23.6)*((AO104+AO105+AO106+AO107+AO108))/(AO43+AO46+AO47+AO49+AO104+AO105+AO106+AO107+AO108+AO45+AO82)</f>
        <v>86.047184509236601</v>
      </c>
      <c r="AP115" s="64">
        <f>(162+23.5)*((AP104+AP105+AP106+AP107+AP108))/(AP43+AP46+AP47+AP49+AP104+AP105+AP106+AP107+AP108+AP45+AP82)</f>
        <v>88.897638625342623</v>
      </c>
      <c r="AQ115" s="64">
        <f>(160.8+21)*((AQ104+AQ105+AQ106+AQ107+AQ108))/(AQ43+AQ46+AQ47+AQ49+AQ104+AQ105+AQ106+AQ107+AQ108+AQ45+AQ82)</f>
        <v>84.005616569617459</v>
      </c>
      <c r="AR115" s="64">
        <f>(155+21)*((AR104+AR105+AR106+AR107+AR108))/(AR43+AR46+AR47+AR49+AR104+AR105+AR106+AR107+AR108+AR45+AR82)</f>
        <v>80.134715025906729</v>
      </c>
      <c r="AS115" s="262">
        <f>(153.5+19)*((AS104+AS105+AS106+AS107+AS108))/(AS43+AS46+AS47+AS49+AS104+AS105+AS106+AS107+AS108+AS45+AS82)</f>
        <v>74.424442690866044</v>
      </c>
      <c r="AT115" s="64">
        <f>(162.5+15)*((AT104+AT105+AT106+AT107+AT108))/(AT43+AT46+AT47+AT49+AT104+AT105+AT106+AT107+AT108+AT45+AT82)</f>
        <v>76.505060493252657</v>
      </c>
      <c r="AU115" s="64">
        <f>(162.5+14)*((AU104+AU105+AU106+AU107+AU108))/(AU43+AU46+AU47+AU49+AU104+AU105+AU106+AU107+AU108+AU45+AU82)</f>
        <v>75.414091295718748</v>
      </c>
      <c r="AV115" s="64">
        <f>(165+14.5)*((AV104+AV105+AV106+AV107+AV108))/(AV43+AV46+AV47+AV49+AV104+AV105+AV106+AV107+AV108+AV45+AV82)</f>
        <v>76.060752056404226</v>
      </c>
      <c r="AW115" s="64">
        <f>(165+14.5)*((AW104+AW105+AW106+AW107+AW108))/(AW43+AW46+AW47+AW49+AW104+AW105+AW106+AW107+AW108+AW45+AW82)</f>
        <v>75.680627047262519</v>
      </c>
      <c r="AX115" s="64">
        <f t="shared" ref="AX115:AY115" si="31">(165+14.5)*((AX104+AX105+AX106+AX107+AX108))/(AX43+AX46+AX47+AX49+AX104+AX105+AX106+AX107+AX108+AX45+AX82)</f>
        <v>75.680627047262519</v>
      </c>
      <c r="AY115" s="64">
        <f>(224.5+59.4)*((AY104+AY105+AY106+AY107+AY108))/(AY43+AY46+AY47+AY49+AY104+AY105+AY106+AY107+AY108+AY45+AY82)</f>
        <v>135.61298397369433</v>
      </c>
      <c r="AZ115" s="10" t="s">
        <v>199</v>
      </c>
      <c r="BE115" s="53"/>
      <c r="BH115" s="5" t="s">
        <v>251</v>
      </c>
      <c r="BI115" s="5" t="s">
        <v>278</v>
      </c>
      <c r="BJ115" s="5" t="s">
        <v>6</v>
      </c>
      <c r="BK115" s="25" t="s">
        <v>47</v>
      </c>
      <c r="BL115" s="5" t="s">
        <v>38</v>
      </c>
      <c r="BM115" s="5" t="s">
        <v>204</v>
      </c>
      <c r="BN115" s="5" t="s">
        <v>192</v>
      </c>
      <c r="BO115" s="5" t="s">
        <v>103</v>
      </c>
      <c r="BP115" s="5" t="s">
        <v>122</v>
      </c>
      <c r="BQ115" s="10" t="s">
        <v>343</v>
      </c>
      <c r="BR115" s="10" t="s">
        <v>343</v>
      </c>
      <c r="BS115" s="19" t="s">
        <v>343</v>
      </c>
    </row>
    <row r="116" spans="1:71" x14ac:dyDescent="0.3">
      <c r="Y116" s="55"/>
      <c r="AE116" s="55"/>
      <c r="AF116" s="55"/>
      <c r="AG116" s="55"/>
      <c r="AH116" s="55">
        <v>9.5</v>
      </c>
      <c r="AI116" s="64">
        <v>0</v>
      </c>
      <c r="AJ116" s="64">
        <v>5</v>
      </c>
      <c r="AK116" s="64">
        <v>0</v>
      </c>
      <c r="AL116" s="64">
        <v>0</v>
      </c>
      <c r="AM116" s="64">
        <v>0</v>
      </c>
      <c r="AN116" s="178">
        <v>0</v>
      </c>
      <c r="AO116" s="64">
        <v>0</v>
      </c>
      <c r="AP116" s="64">
        <v>0</v>
      </c>
      <c r="AQ116" s="64">
        <v>0</v>
      </c>
      <c r="AR116" s="64">
        <v>0</v>
      </c>
      <c r="AS116" s="64">
        <v>0</v>
      </c>
      <c r="AT116" s="64">
        <v>0</v>
      </c>
      <c r="AU116" s="64"/>
      <c r="AV116" s="36"/>
      <c r="AW116" s="36"/>
      <c r="AX116" s="36"/>
      <c r="AY116" s="36"/>
      <c r="AZ116" s="10" t="s">
        <v>209</v>
      </c>
      <c r="BC116" s="148"/>
      <c r="BD116" s="11"/>
      <c r="BH116" s="149"/>
      <c r="BI116" s="5"/>
      <c r="BJ116" s="5"/>
      <c r="BK116" s="25"/>
      <c r="BL116" s="5"/>
      <c r="BM116" s="5"/>
      <c r="BN116" s="5"/>
      <c r="BO116" s="5"/>
      <c r="BP116" s="5"/>
    </row>
    <row r="117" spans="1:71" x14ac:dyDescent="0.3">
      <c r="Y117" s="55"/>
      <c r="AE117" s="55"/>
      <c r="AF117" s="55"/>
      <c r="AG117" s="55"/>
      <c r="AH117" s="55"/>
      <c r="AI117" s="64">
        <f>9+8.5+78.1+20.9+2+3</f>
        <v>121.5</v>
      </c>
      <c r="AJ117" s="54">
        <v>175.4</v>
      </c>
      <c r="AK117" s="54">
        <v>0</v>
      </c>
      <c r="AL117" s="55">
        <v>237.4</v>
      </c>
      <c r="AM117" s="54">
        <v>0</v>
      </c>
      <c r="AN117" s="177">
        <v>0</v>
      </c>
      <c r="AO117" s="54">
        <v>0</v>
      </c>
      <c r="AP117" s="54">
        <v>0</v>
      </c>
      <c r="AQ117" s="267">
        <v>0</v>
      </c>
      <c r="AR117" s="267">
        <v>0</v>
      </c>
      <c r="AS117" s="267">
        <v>0</v>
      </c>
      <c r="AT117" s="54">
        <v>0</v>
      </c>
      <c r="AU117" s="54"/>
      <c r="AZ117" s="10" t="s">
        <v>253</v>
      </c>
      <c r="BC117" s="11"/>
      <c r="BI117" s="5"/>
      <c r="BJ117" s="5"/>
      <c r="BK117" s="25"/>
      <c r="BL117" s="5"/>
      <c r="BM117" s="5"/>
      <c r="BN117" s="5"/>
      <c r="BO117" s="5"/>
      <c r="BP117" s="5"/>
    </row>
    <row r="118" spans="1:71" x14ac:dyDescent="0.3">
      <c r="B118" s="10" t="s">
        <v>15</v>
      </c>
      <c r="E118" s="54">
        <v>0</v>
      </c>
      <c r="F118" s="54">
        <v>0</v>
      </c>
      <c r="G118" s="54">
        <v>0</v>
      </c>
      <c r="H118" s="54">
        <v>0</v>
      </c>
      <c r="I118" s="54">
        <v>0</v>
      </c>
      <c r="J118" s="54">
        <v>0</v>
      </c>
      <c r="K118" s="54">
        <v>0</v>
      </c>
      <c r="L118" s="54">
        <v>0</v>
      </c>
      <c r="M118" s="54">
        <v>0</v>
      </c>
      <c r="N118" s="54">
        <v>0</v>
      </c>
      <c r="O118" s="54">
        <v>0</v>
      </c>
      <c r="P118" s="54">
        <v>0</v>
      </c>
      <c r="Q118" s="54">
        <v>0</v>
      </c>
      <c r="R118" s="54">
        <v>0</v>
      </c>
      <c r="S118" s="54">
        <v>0</v>
      </c>
      <c r="T118" s="54">
        <v>0</v>
      </c>
      <c r="U118" s="55">
        <v>-5.7</v>
      </c>
      <c r="V118" s="55">
        <v>-9.3000000000000007</v>
      </c>
      <c r="W118" s="55">
        <v>-15.8</v>
      </c>
      <c r="X118" s="55">
        <v>-18.899999999999999</v>
      </c>
      <c r="Y118" s="55">
        <v>-24.4</v>
      </c>
      <c r="Z118" s="54">
        <v>-1</v>
      </c>
      <c r="AA118" s="54">
        <v>0</v>
      </c>
      <c r="AB118" s="54">
        <v>0</v>
      </c>
      <c r="AC118" s="54">
        <v>0</v>
      </c>
      <c r="AD118" s="55">
        <v>0</v>
      </c>
      <c r="AE118" s="54">
        <v>-13</v>
      </c>
      <c r="AF118" s="54">
        <v>0</v>
      </c>
      <c r="AG118" s="54">
        <v>0</v>
      </c>
      <c r="AI118" s="54"/>
      <c r="AJ118" s="54"/>
      <c r="AK118" s="54"/>
      <c r="AL118" s="54"/>
      <c r="AM118" s="54"/>
      <c r="AN118" s="177"/>
      <c r="AO118" s="55"/>
      <c r="AP118" s="54"/>
      <c r="AQ118" s="54"/>
      <c r="AR118" s="54"/>
      <c r="AS118" s="54"/>
      <c r="AT118" s="54"/>
      <c r="AU118" s="54"/>
      <c r="AV118" s="64">
        <f>(AV53)*((AV104+AV105+AV106+AV107+AV108))/(AV43+AV46+AV48+AV49+AV104+AV105+AV106+AV107+AV108+AV45+AV82)</f>
        <v>-14.531511469709089</v>
      </c>
      <c r="AW118" s="64">
        <v>-2.2000000000000002</v>
      </c>
      <c r="AX118" s="64">
        <v>-2.2000000000000002</v>
      </c>
      <c r="AY118" s="36">
        <v>0</v>
      </c>
      <c r="AZ118" s="5" t="s">
        <v>391</v>
      </c>
      <c r="BH118" s="5" t="s">
        <v>319</v>
      </c>
      <c r="BI118" s="5" t="s">
        <v>321</v>
      </c>
      <c r="BJ118" s="5" t="s">
        <v>320</v>
      </c>
      <c r="BK118" s="5"/>
      <c r="BQ118" s="10" t="s">
        <v>343</v>
      </c>
      <c r="BR118" s="10" t="s">
        <v>343</v>
      </c>
      <c r="BS118" s="19" t="s">
        <v>343</v>
      </c>
    </row>
    <row r="119" spans="1:71" x14ac:dyDescent="0.3">
      <c r="AD119" s="54"/>
      <c r="AI119" s="54"/>
      <c r="AJ119" s="54"/>
      <c r="AK119" s="54"/>
      <c r="AL119" s="54"/>
      <c r="AM119" s="54"/>
      <c r="AN119" s="177"/>
      <c r="AO119" s="54"/>
      <c r="AP119" s="54"/>
      <c r="AQ119" s="267"/>
      <c r="AR119" s="267"/>
      <c r="AS119" s="267"/>
      <c r="AT119" s="54"/>
      <c r="AU119" s="54"/>
      <c r="AZ119" s="137"/>
      <c r="BG119" s="10"/>
    </row>
    <row r="120" spans="1:71" s="1" customFormat="1" x14ac:dyDescent="0.3">
      <c r="A120" s="79" t="s">
        <v>16</v>
      </c>
      <c r="B120" s="80"/>
      <c r="C120" s="80"/>
      <c r="D120" s="80"/>
      <c r="E120" s="81">
        <f t="shared" ref="E120:AI120" si="32">(SUM(E104:E118))</f>
        <v>604.79999999999995</v>
      </c>
      <c r="F120" s="81">
        <f t="shared" si="32"/>
        <v>769.9</v>
      </c>
      <c r="G120" s="81">
        <f t="shared" si="32"/>
        <v>832.7</v>
      </c>
      <c r="H120" s="81">
        <f t="shared" si="32"/>
        <v>822.9</v>
      </c>
      <c r="I120" s="81">
        <f t="shared" si="32"/>
        <v>400.90000000000003</v>
      </c>
      <c r="J120" s="81">
        <f t="shared" si="32"/>
        <v>304</v>
      </c>
      <c r="K120" s="81">
        <f t="shared" si="32"/>
        <v>255.85000000000002</v>
      </c>
      <c r="L120" s="81">
        <f t="shared" si="32"/>
        <v>255.69999999999996</v>
      </c>
      <c r="M120" s="81">
        <f t="shared" si="32"/>
        <v>208.8</v>
      </c>
      <c r="N120" s="81">
        <f t="shared" si="32"/>
        <v>181.99999999999997</v>
      </c>
      <c r="O120" s="81">
        <f t="shared" si="32"/>
        <v>152.25</v>
      </c>
      <c r="P120" s="81">
        <f t="shared" si="32"/>
        <v>160.6</v>
      </c>
      <c r="Q120" s="81">
        <f t="shared" si="32"/>
        <v>139.1</v>
      </c>
      <c r="R120" s="81">
        <f t="shared" si="32"/>
        <v>201.20000000000002</v>
      </c>
      <c r="S120" s="81">
        <f t="shared" si="32"/>
        <v>241.70000000000002</v>
      </c>
      <c r="T120" s="81">
        <f t="shared" si="32"/>
        <v>255.7</v>
      </c>
      <c r="U120" s="81">
        <f t="shared" si="32"/>
        <v>308.60000000000002</v>
      </c>
      <c r="V120" s="81">
        <f t="shared" si="32"/>
        <v>360.5</v>
      </c>
      <c r="W120" s="81">
        <f t="shared" si="32"/>
        <v>254.10000000000002</v>
      </c>
      <c r="X120" s="81">
        <f t="shared" si="32"/>
        <v>230.35999999999999</v>
      </c>
      <c r="Y120" s="81">
        <f t="shared" si="32"/>
        <v>292.64999999999998</v>
      </c>
      <c r="Z120" s="81">
        <f t="shared" si="32"/>
        <v>354.45</v>
      </c>
      <c r="AA120" s="82">
        <f t="shared" si="32"/>
        <v>283.29000000000002</v>
      </c>
      <c r="AB120" s="81">
        <f t="shared" si="32"/>
        <v>343.60000000000008</v>
      </c>
      <c r="AC120" s="81">
        <f t="shared" si="32"/>
        <v>353.83000000000004</v>
      </c>
      <c r="AD120" s="81">
        <f t="shared" si="32"/>
        <v>283.89999999999998</v>
      </c>
      <c r="AE120" s="81">
        <f t="shared" si="32"/>
        <v>261.3</v>
      </c>
      <c r="AF120" s="81">
        <f>(SUM(AF104:AF118))</f>
        <v>292.30791254554919</v>
      </c>
      <c r="AG120" s="81">
        <f t="shared" si="32"/>
        <v>268.18625872249061</v>
      </c>
      <c r="AH120" s="81">
        <f t="shared" si="32"/>
        <v>546.14598919368245</v>
      </c>
      <c r="AI120" s="81">
        <f t="shared" si="32"/>
        <v>678.84221354414706</v>
      </c>
      <c r="AJ120" s="81">
        <f t="shared" ref="AJ120:AV120" si="33">(SUM(AJ104:AJ118))</f>
        <v>826.80505284015851</v>
      </c>
      <c r="AK120" s="90">
        <f t="shared" si="33"/>
        <v>1593.8384239723105</v>
      </c>
      <c r="AL120" s="180">
        <f t="shared" si="33"/>
        <v>959.7125896750598</v>
      </c>
      <c r="AM120" s="90">
        <f t="shared" si="33"/>
        <v>737.37679334732263</v>
      </c>
      <c r="AN120" s="180">
        <f t="shared" si="33"/>
        <v>792.33228357576616</v>
      </c>
      <c r="AO120" s="90">
        <f t="shared" si="33"/>
        <v>750.34718450923651</v>
      </c>
      <c r="AP120" s="90">
        <f t="shared" si="33"/>
        <v>823.79763862534264</v>
      </c>
      <c r="AQ120" s="90">
        <f t="shared" si="33"/>
        <v>766.90561656961745</v>
      </c>
      <c r="AR120" s="90">
        <f t="shared" si="33"/>
        <v>845.13471502590676</v>
      </c>
      <c r="AS120" s="90">
        <f t="shared" si="33"/>
        <v>822.52444269086607</v>
      </c>
      <c r="AT120" s="90">
        <f t="shared" si="33"/>
        <v>909.5050604932527</v>
      </c>
      <c r="AU120" s="90">
        <f t="shared" si="33"/>
        <v>925.91409129571878</v>
      </c>
      <c r="AV120" s="90">
        <f t="shared" si="33"/>
        <v>1093.0292405866951</v>
      </c>
      <c r="AW120" s="90">
        <f>(SUM(AW104:AW118))</f>
        <v>1104.4806270472625</v>
      </c>
      <c r="AX120" s="90">
        <f>(SUM(AX104:AX118))</f>
        <v>1104.4806270472625</v>
      </c>
      <c r="AY120" s="90">
        <f>(SUM(AY104:AY118))</f>
        <v>1989.7129839736942</v>
      </c>
      <c r="AZ120" s="80" t="s">
        <v>16</v>
      </c>
      <c r="BA120" s="80"/>
      <c r="BB120" s="80"/>
      <c r="BC120" s="80"/>
      <c r="BD120" s="80"/>
      <c r="BE120" s="11"/>
      <c r="BF120" s="10"/>
      <c r="BG120" s="132"/>
      <c r="BH120" s="29"/>
      <c r="BI120" s="11"/>
      <c r="BJ120" s="11"/>
      <c r="BK120" s="11"/>
      <c r="BL120" s="11"/>
      <c r="BM120" s="11"/>
      <c r="BN120" s="11"/>
      <c r="BO120" s="11"/>
      <c r="BP120" s="11"/>
      <c r="BQ120" s="11"/>
      <c r="BR120" s="11"/>
      <c r="BS120" s="30"/>
    </row>
    <row r="121" spans="1:71" s="6" customFormat="1" x14ac:dyDescent="0.3">
      <c r="A121" s="31" t="s">
        <v>17</v>
      </c>
      <c r="B121" s="7"/>
      <c r="C121" s="7"/>
      <c r="D121" s="7"/>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0">
        <v>0</v>
      </c>
      <c r="V121" s="60">
        <v>0</v>
      </c>
      <c r="W121" s="60">
        <v>0</v>
      </c>
      <c r="X121" s="60">
        <v>0</v>
      </c>
      <c r="Y121" s="60">
        <v>0</v>
      </c>
      <c r="Z121" s="60">
        <v>0</v>
      </c>
      <c r="AA121" s="60">
        <v>0</v>
      </c>
      <c r="AB121" s="60">
        <v>0</v>
      </c>
      <c r="AC121" s="60">
        <v>0</v>
      </c>
      <c r="AD121" s="60">
        <f>7.6+5.3</f>
        <v>12.899999999999999</v>
      </c>
      <c r="AE121" s="60">
        <v>0</v>
      </c>
      <c r="AF121" s="60">
        <v>0</v>
      </c>
      <c r="AG121" s="60"/>
      <c r="AH121" s="60"/>
      <c r="AI121" s="60"/>
      <c r="AJ121" s="60">
        <v>5</v>
      </c>
      <c r="AK121" s="60">
        <v>0</v>
      </c>
      <c r="AL121" s="173">
        <v>0</v>
      </c>
      <c r="AM121" s="60">
        <v>0</v>
      </c>
      <c r="AN121" s="173">
        <v>0</v>
      </c>
      <c r="AO121" s="60">
        <v>0</v>
      </c>
      <c r="AP121" s="60">
        <v>0</v>
      </c>
      <c r="AQ121" s="60">
        <v>0</v>
      </c>
      <c r="AR121" s="60">
        <v>0</v>
      </c>
      <c r="AS121" s="60">
        <v>0</v>
      </c>
      <c r="AT121" s="60">
        <v>2</v>
      </c>
      <c r="AU121" s="60">
        <v>3</v>
      </c>
      <c r="AV121" s="60">
        <v>0</v>
      </c>
      <c r="AW121" s="7">
        <v>0</v>
      </c>
      <c r="AX121" s="7">
        <v>1</v>
      </c>
      <c r="AY121" s="7">
        <v>2</v>
      </c>
      <c r="AZ121" s="7" t="s">
        <v>212</v>
      </c>
      <c r="BA121" s="7"/>
      <c r="BB121" s="7"/>
      <c r="BC121" s="7"/>
      <c r="BD121" s="7"/>
      <c r="BE121" s="7"/>
      <c r="BF121" s="7"/>
      <c r="BG121" s="7"/>
      <c r="BH121" s="7"/>
      <c r="BI121" s="7"/>
      <c r="BJ121" s="7"/>
      <c r="BK121" s="7"/>
      <c r="BL121" s="7"/>
      <c r="BM121" s="7"/>
      <c r="BN121" s="7"/>
      <c r="BO121" s="7" t="s">
        <v>299</v>
      </c>
      <c r="BP121" s="7" t="s">
        <v>315</v>
      </c>
      <c r="BQ121" s="7"/>
      <c r="BR121" s="7"/>
      <c r="BS121" s="38"/>
    </row>
    <row r="122" spans="1:71" s="8" customFormat="1" x14ac:dyDescent="0.3">
      <c r="A122" s="39" t="s">
        <v>18</v>
      </c>
      <c r="B122" s="9"/>
      <c r="C122" s="9"/>
      <c r="D122" s="9"/>
      <c r="E122" s="61">
        <f t="shared" ref="E122:AJ122" si="34">E121+E120</f>
        <v>604.79999999999995</v>
      </c>
      <c r="F122" s="61">
        <f t="shared" si="34"/>
        <v>769.9</v>
      </c>
      <c r="G122" s="61">
        <f t="shared" si="34"/>
        <v>832.7</v>
      </c>
      <c r="H122" s="61">
        <f t="shared" si="34"/>
        <v>822.9</v>
      </c>
      <c r="I122" s="61">
        <f t="shared" si="34"/>
        <v>400.90000000000003</v>
      </c>
      <c r="J122" s="61">
        <f t="shared" si="34"/>
        <v>304</v>
      </c>
      <c r="K122" s="61">
        <f t="shared" si="34"/>
        <v>255.85000000000002</v>
      </c>
      <c r="L122" s="61">
        <f t="shared" si="34"/>
        <v>255.69999999999996</v>
      </c>
      <c r="M122" s="61">
        <f t="shared" si="34"/>
        <v>208.8</v>
      </c>
      <c r="N122" s="61">
        <f t="shared" si="34"/>
        <v>181.99999999999997</v>
      </c>
      <c r="O122" s="61">
        <f t="shared" si="34"/>
        <v>152.25</v>
      </c>
      <c r="P122" s="61">
        <f t="shared" si="34"/>
        <v>160.6</v>
      </c>
      <c r="Q122" s="61">
        <f t="shared" si="34"/>
        <v>139.1</v>
      </c>
      <c r="R122" s="61">
        <f t="shared" si="34"/>
        <v>201.20000000000002</v>
      </c>
      <c r="S122" s="61">
        <f t="shared" si="34"/>
        <v>241.70000000000002</v>
      </c>
      <c r="T122" s="61">
        <f t="shared" si="34"/>
        <v>255.7</v>
      </c>
      <c r="U122" s="61">
        <f t="shared" si="34"/>
        <v>308.60000000000002</v>
      </c>
      <c r="V122" s="61">
        <f t="shared" si="34"/>
        <v>360.5</v>
      </c>
      <c r="W122" s="61">
        <f t="shared" si="34"/>
        <v>254.10000000000002</v>
      </c>
      <c r="X122" s="61">
        <f t="shared" si="34"/>
        <v>230.35999999999999</v>
      </c>
      <c r="Y122" s="61">
        <f t="shared" si="34"/>
        <v>292.64999999999998</v>
      </c>
      <c r="Z122" s="61">
        <f t="shared" si="34"/>
        <v>354.45</v>
      </c>
      <c r="AA122" s="60">
        <f t="shared" si="34"/>
        <v>283.29000000000002</v>
      </c>
      <c r="AB122" s="61">
        <f t="shared" si="34"/>
        <v>343.60000000000008</v>
      </c>
      <c r="AC122" s="61">
        <f t="shared" si="34"/>
        <v>353.83000000000004</v>
      </c>
      <c r="AD122" s="61">
        <f>AD121+AD120</f>
        <v>296.79999999999995</v>
      </c>
      <c r="AE122" s="61">
        <f t="shared" si="34"/>
        <v>261.3</v>
      </c>
      <c r="AF122" s="113">
        <f t="shared" si="34"/>
        <v>292.30791254554919</v>
      </c>
      <c r="AG122" s="113">
        <f t="shared" si="34"/>
        <v>268.18625872249061</v>
      </c>
      <c r="AH122" s="113">
        <f t="shared" si="34"/>
        <v>546.14598919368245</v>
      </c>
      <c r="AI122" s="113">
        <f t="shared" si="34"/>
        <v>678.84221354414706</v>
      </c>
      <c r="AJ122" s="113">
        <f t="shared" si="34"/>
        <v>831.80505284015851</v>
      </c>
      <c r="AK122" s="113">
        <f t="shared" ref="AK122:AP122" si="35">AK121+AK120</f>
        <v>1593.8384239723105</v>
      </c>
      <c r="AL122" s="199">
        <f t="shared" si="35"/>
        <v>959.7125896750598</v>
      </c>
      <c r="AM122" s="113">
        <f t="shared" si="35"/>
        <v>737.37679334732263</v>
      </c>
      <c r="AN122" s="199">
        <f t="shared" si="35"/>
        <v>792.33228357576616</v>
      </c>
      <c r="AO122" s="113">
        <f t="shared" si="35"/>
        <v>750.34718450923651</v>
      </c>
      <c r="AP122" s="113">
        <f t="shared" si="35"/>
        <v>823.79763862534264</v>
      </c>
      <c r="AQ122" s="113">
        <f t="shared" ref="AQ122:AW122" si="36">AQ121+AQ120</f>
        <v>766.90561656961745</v>
      </c>
      <c r="AR122" s="113">
        <f t="shared" si="36"/>
        <v>845.13471502590676</v>
      </c>
      <c r="AS122" s="113">
        <f t="shared" si="36"/>
        <v>822.52444269086607</v>
      </c>
      <c r="AT122" s="113">
        <f t="shared" si="36"/>
        <v>911.5050604932527</v>
      </c>
      <c r="AU122" s="113">
        <f t="shared" si="36"/>
        <v>928.91409129571878</v>
      </c>
      <c r="AV122" s="113">
        <f t="shared" si="36"/>
        <v>1093.0292405866951</v>
      </c>
      <c r="AW122" s="113">
        <f t="shared" si="36"/>
        <v>1104.4806270472625</v>
      </c>
      <c r="AX122" s="113">
        <f t="shared" ref="AX122:AY122" si="37">AX121+AX120</f>
        <v>1105.4806270472625</v>
      </c>
      <c r="AY122" s="113">
        <f t="shared" si="37"/>
        <v>1991.7129839736942</v>
      </c>
      <c r="AZ122" s="9" t="s">
        <v>18</v>
      </c>
      <c r="BA122" s="9"/>
      <c r="BB122" s="9"/>
      <c r="BC122" s="9"/>
      <c r="BD122" s="9"/>
      <c r="BE122" s="9"/>
      <c r="BF122" s="9"/>
      <c r="BG122" s="9"/>
      <c r="BH122" s="9"/>
      <c r="BI122" s="9"/>
      <c r="BJ122" s="9"/>
      <c r="BK122" s="9"/>
      <c r="BL122" s="9"/>
      <c r="BM122" s="9"/>
      <c r="BN122" s="9"/>
      <c r="BO122" s="9"/>
      <c r="BP122" s="9"/>
      <c r="BQ122" s="9"/>
      <c r="BR122" s="9"/>
      <c r="BS122" s="33"/>
    </row>
    <row r="123" spans="1:71" x14ac:dyDescent="0.3">
      <c r="E123" s="124"/>
      <c r="F123" s="124"/>
      <c r="G123" s="124"/>
      <c r="H123" s="124"/>
      <c r="I123" s="124"/>
      <c r="J123" s="124"/>
      <c r="K123" s="124"/>
      <c r="L123" s="124"/>
      <c r="M123" s="124"/>
      <c r="N123" s="124"/>
      <c r="O123" s="124"/>
      <c r="P123" s="124"/>
      <c r="Q123" s="124"/>
      <c r="R123" s="124"/>
      <c r="S123" s="124"/>
      <c r="T123" s="124"/>
      <c r="U123" s="119"/>
      <c r="V123" s="119"/>
      <c r="W123" s="124"/>
      <c r="X123" s="119"/>
      <c r="Y123" s="124"/>
      <c r="Z123" s="124"/>
      <c r="AA123" s="119"/>
      <c r="AB123" s="124"/>
      <c r="AC123" s="124"/>
      <c r="AD123" s="119"/>
      <c r="AE123" s="124"/>
      <c r="AF123" s="124"/>
      <c r="AG123" s="124"/>
      <c r="AH123" s="124"/>
      <c r="AI123" s="124"/>
      <c r="AJ123" s="124"/>
      <c r="AL123" s="124"/>
      <c r="AM123" s="124"/>
      <c r="AN123" s="124"/>
      <c r="AO123" s="54"/>
      <c r="AP123" s="241"/>
      <c r="AQ123" s="278"/>
      <c r="AR123" s="278"/>
      <c r="AS123" s="278"/>
      <c r="AT123" s="247"/>
      <c r="AU123" s="247"/>
      <c r="AV123" s="247"/>
      <c r="AW123" s="247"/>
      <c r="AX123" s="247"/>
      <c r="AY123" s="247"/>
    </row>
    <row r="124" spans="1:71" x14ac:dyDescent="0.3">
      <c r="A124" s="22" t="s">
        <v>116</v>
      </c>
      <c r="E124" s="125"/>
      <c r="F124" s="125"/>
      <c r="G124" s="125"/>
      <c r="H124" s="125"/>
      <c r="I124" s="125"/>
      <c r="J124" s="125"/>
      <c r="K124" s="125"/>
      <c r="L124" s="125"/>
      <c r="M124" s="125"/>
      <c r="N124" s="125"/>
      <c r="O124" s="125"/>
      <c r="P124" s="125"/>
      <c r="Q124" s="125"/>
      <c r="R124" s="125"/>
      <c r="S124" s="125"/>
      <c r="T124" s="125"/>
      <c r="U124" s="126"/>
      <c r="V124" s="126"/>
      <c r="W124" s="125"/>
      <c r="X124" s="126"/>
      <c r="Y124" s="125"/>
      <c r="Z124" s="125"/>
      <c r="AA124" s="126"/>
      <c r="AB124" s="125"/>
      <c r="AC124" s="125"/>
      <c r="AD124" s="126"/>
      <c r="AE124" s="125"/>
      <c r="AF124" s="125"/>
      <c r="AG124" s="125"/>
      <c r="AH124" s="10"/>
      <c r="AL124" s="125"/>
      <c r="AM124" s="125"/>
      <c r="AN124" s="125"/>
      <c r="AO124" s="54"/>
      <c r="AP124" s="54"/>
      <c r="AQ124" s="54"/>
      <c r="AR124" s="54"/>
      <c r="AS124" s="87"/>
      <c r="AZ124" s="23" t="s">
        <v>116</v>
      </c>
    </row>
    <row r="125" spans="1:71" x14ac:dyDescent="0.3">
      <c r="B125" s="10" t="s">
        <v>19</v>
      </c>
      <c r="E125" s="74"/>
      <c r="F125" s="74"/>
      <c r="G125" s="74"/>
      <c r="H125" s="74"/>
      <c r="I125" s="74"/>
      <c r="J125" s="74"/>
      <c r="K125" s="74"/>
      <c r="L125" s="74"/>
      <c r="M125" s="74"/>
      <c r="N125" s="74"/>
      <c r="O125" s="74"/>
      <c r="P125" s="74"/>
      <c r="Q125" s="74"/>
      <c r="R125" s="74"/>
      <c r="S125" s="74"/>
      <c r="T125" s="74"/>
      <c r="U125" s="75"/>
      <c r="V125" s="75"/>
      <c r="W125" s="74"/>
      <c r="X125" s="75"/>
      <c r="Y125" s="74"/>
      <c r="Z125" s="74"/>
      <c r="AA125" s="76"/>
      <c r="AB125" s="74"/>
      <c r="AC125" s="74"/>
      <c r="AD125" s="75">
        <v>80.400000000000006</v>
      </c>
      <c r="AE125" s="74">
        <v>71.5</v>
      </c>
      <c r="AF125" s="74">
        <v>89.5</v>
      </c>
      <c r="AG125" s="74">
        <v>132.6</v>
      </c>
      <c r="AH125" s="70">
        <f>96.5-23.5</f>
        <v>73</v>
      </c>
      <c r="AI125" s="70">
        <f>82.8-24.8</f>
        <v>58</v>
      </c>
      <c r="AJ125" s="70">
        <v>83.1</v>
      </c>
      <c r="AK125" s="70">
        <v>0</v>
      </c>
      <c r="AL125" s="202">
        <v>121.4</v>
      </c>
      <c r="AM125" s="203">
        <v>102</v>
      </c>
      <c r="AN125" s="179">
        <f>24.7+23.2+19.3+29</f>
        <v>96.2</v>
      </c>
      <c r="AO125" s="70">
        <f>23.4+20+29.1+18.4</f>
        <v>90.9</v>
      </c>
      <c r="AP125" s="70">
        <f>105.6-15.2</f>
        <v>90.399999999999991</v>
      </c>
      <c r="AQ125" s="264">
        <f>144.2-27.6-11.6-6-6</f>
        <v>93</v>
      </c>
      <c r="AR125" s="264">
        <f>206-28-20.5-7.5-9</f>
        <v>141</v>
      </c>
      <c r="AS125" s="70">
        <f>230-28.5-9-31-7.5</f>
        <v>154</v>
      </c>
      <c r="AT125" s="70">
        <f>261-41-29-7.9-14.9</f>
        <v>168.2</v>
      </c>
      <c r="AU125" s="70">
        <f>156+(89.5+19)-AU126-AU129-AU130</f>
        <v>194.5</v>
      </c>
      <c r="AV125" s="53">
        <f>190+(95+48)-AV126-AV129-AV130</f>
        <v>252</v>
      </c>
      <c r="AW125" s="53">
        <f>98.2+0+(96+48)</f>
        <v>242.2</v>
      </c>
      <c r="AX125" s="53">
        <f>98.2+0+(96+48)</f>
        <v>242.2</v>
      </c>
      <c r="AY125" s="53">
        <f>146.3+30+(28+125+24)</f>
        <v>353.3</v>
      </c>
      <c r="AZ125" s="10" t="s">
        <v>424</v>
      </c>
      <c r="BO125" s="10" t="s">
        <v>270</v>
      </c>
      <c r="BP125" s="10" t="s">
        <v>359</v>
      </c>
      <c r="BQ125" s="10" t="s">
        <v>344</v>
      </c>
    </row>
    <row r="126" spans="1:71" x14ac:dyDescent="0.3">
      <c r="E126" s="74"/>
      <c r="F126" s="74"/>
      <c r="G126" s="74"/>
      <c r="H126" s="74"/>
      <c r="I126" s="74"/>
      <c r="J126" s="74"/>
      <c r="K126" s="74"/>
      <c r="L126" s="74"/>
      <c r="M126" s="74"/>
      <c r="N126" s="74"/>
      <c r="O126" s="74"/>
      <c r="P126" s="74"/>
      <c r="Q126" s="74"/>
      <c r="R126" s="74"/>
      <c r="S126" s="74"/>
      <c r="T126" s="74"/>
      <c r="U126" s="75"/>
      <c r="V126" s="75"/>
      <c r="W126" s="74"/>
      <c r="X126" s="75"/>
      <c r="Y126" s="74"/>
      <c r="Z126" s="74"/>
      <c r="AA126" s="76"/>
      <c r="AB126" s="74"/>
      <c r="AC126" s="74"/>
      <c r="AD126" s="75"/>
      <c r="AE126" s="74"/>
      <c r="AF126" s="74"/>
      <c r="AG126" s="74"/>
      <c r="AH126" s="70"/>
      <c r="AI126" s="70"/>
      <c r="AJ126" s="70"/>
      <c r="AK126" s="70"/>
      <c r="AL126" s="202"/>
      <c r="AM126" s="203"/>
      <c r="AN126" s="179"/>
      <c r="AO126" s="70"/>
      <c r="AP126" s="70">
        <v>15.2</v>
      </c>
      <c r="AQ126" s="263">
        <v>11.6</v>
      </c>
      <c r="AR126" s="263">
        <v>20.5</v>
      </c>
      <c r="AS126" s="70">
        <v>31</v>
      </c>
      <c r="AT126" s="70">
        <v>41</v>
      </c>
      <c r="AU126" s="70">
        <v>46</v>
      </c>
      <c r="AV126" s="53">
        <v>56</v>
      </c>
      <c r="AW126" s="53">
        <v>80</v>
      </c>
      <c r="AX126" s="53">
        <v>80</v>
      </c>
      <c r="AY126" s="53">
        <v>81</v>
      </c>
      <c r="AZ126" s="10" t="s">
        <v>406</v>
      </c>
      <c r="BE126" s="5"/>
    </row>
    <row r="127" spans="1:71" x14ac:dyDescent="0.3">
      <c r="B127" s="10" t="s">
        <v>126</v>
      </c>
      <c r="AH127" s="70"/>
      <c r="AI127" s="70"/>
      <c r="AJ127" s="70">
        <v>0</v>
      </c>
      <c r="AK127" s="70">
        <v>700</v>
      </c>
      <c r="AL127" s="179">
        <v>0</v>
      </c>
      <c r="AM127" s="70">
        <v>0</v>
      </c>
      <c r="AN127" s="179"/>
      <c r="AO127" s="70"/>
      <c r="AP127" s="70"/>
      <c r="AQ127" s="70"/>
      <c r="AR127" s="70"/>
      <c r="AS127" s="70"/>
      <c r="AT127" s="70"/>
      <c r="AU127" s="70"/>
      <c r="AV127" s="53"/>
      <c r="AW127" s="53"/>
      <c r="AX127" s="53"/>
      <c r="AY127" s="53"/>
      <c r="AZ127" s="10" t="s">
        <v>126</v>
      </c>
    </row>
    <row r="128" spans="1:71" x14ac:dyDescent="0.3">
      <c r="B128" s="10" t="s">
        <v>255</v>
      </c>
      <c r="AH128" s="70"/>
      <c r="AI128" s="70">
        <v>24.3</v>
      </c>
      <c r="AJ128" s="70">
        <v>19.600000000000001</v>
      </c>
      <c r="AK128" s="70">
        <v>0</v>
      </c>
      <c r="AL128" s="179">
        <v>13.1</v>
      </c>
      <c r="AM128" s="70">
        <v>0</v>
      </c>
      <c r="AN128" s="179"/>
      <c r="AO128" s="70"/>
      <c r="AP128" s="70"/>
      <c r="AQ128" s="203"/>
      <c r="AR128" s="203"/>
      <c r="AS128" s="70"/>
      <c r="AT128" s="70"/>
      <c r="AU128" s="70"/>
      <c r="AV128" s="53"/>
      <c r="AW128" s="53"/>
      <c r="AX128" s="53"/>
      <c r="AY128" s="53"/>
      <c r="AZ128" s="10" t="s">
        <v>255</v>
      </c>
    </row>
    <row r="129" spans="1:71" x14ac:dyDescent="0.3">
      <c r="AH129" s="70"/>
      <c r="AI129" s="70"/>
      <c r="AJ129" s="70"/>
      <c r="AK129" s="70"/>
      <c r="AL129" s="179">
        <f>6.4+6.2</f>
        <v>12.600000000000001</v>
      </c>
      <c r="AM129" s="70">
        <f>6+6.1</f>
        <v>12.1</v>
      </c>
      <c r="AN129" s="179">
        <f>7+6</f>
        <v>13</v>
      </c>
      <c r="AO129" s="70">
        <f>6.6+6.2</f>
        <v>12.8</v>
      </c>
      <c r="AP129" s="70">
        <f>6+8</f>
        <v>14</v>
      </c>
      <c r="AQ129" s="203">
        <f>6+6</f>
        <v>12</v>
      </c>
      <c r="AR129" s="203">
        <f>7.5+9</f>
        <v>16.5</v>
      </c>
      <c r="AS129" s="70">
        <f>9+7.5</f>
        <v>16.5</v>
      </c>
      <c r="AT129" s="70">
        <f>7.9+14.9</f>
        <v>22.8</v>
      </c>
      <c r="AU129" s="70">
        <f>7</f>
        <v>7</v>
      </c>
      <c r="AV129" s="53">
        <v>7</v>
      </c>
      <c r="AW129" s="53">
        <v>7.5</v>
      </c>
      <c r="AX129" s="53">
        <v>7.5</v>
      </c>
      <c r="AY129" s="53">
        <v>22.5</v>
      </c>
      <c r="AZ129" s="10" t="s">
        <v>393</v>
      </c>
    </row>
    <row r="130" spans="1:71" x14ac:dyDescent="0.3">
      <c r="B130" s="10" t="s">
        <v>20</v>
      </c>
      <c r="AD130" s="55">
        <v>3.1</v>
      </c>
      <c r="AE130" s="54">
        <v>9.6</v>
      </c>
      <c r="AF130" s="54">
        <v>8.1</v>
      </c>
      <c r="AG130" s="54">
        <v>13.3</v>
      </c>
      <c r="AH130" s="70">
        <v>17.399999999999999</v>
      </c>
      <c r="AI130" s="70">
        <v>17.600000000000001</v>
      </c>
      <c r="AJ130" s="70">
        <v>21.2</v>
      </c>
      <c r="AK130" s="70">
        <v>22.5</v>
      </c>
      <c r="AL130" s="179">
        <v>21.4</v>
      </c>
      <c r="AM130" s="70">
        <v>27.6</v>
      </c>
      <c r="AN130" s="179">
        <v>27</v>
      </c>
      <c r="AO130" s="70">
        <v>25.6</v>
      </c>
      <c r="AP130" s="70">
        <v>27.6</v>
      </c>
      <c r="AQ130" s="70">
        <v>27.6</v>
      </c>
      <c r="AR130" s="70">
        <v>28</v>
      </c>
      <c r="AS130" s="70">
        <v>28.5</v>
      </c>
      <c r="AT130" s="70">
        <v>29</v>
      </c>
      <c r="AU130" s="70">
        <v>17</v>
      </c>
      <c r="AV130" s="53">
        <v>18</v>
      </c>
      <c r="AW130" s="53">
        <f>15+12</f>
        <v>27</v>
      </c>
      <c r="AX130" s="53">
        <f>15+12</f>
        <v>27</v>
      </c>
      <c r="AY130" s="53">
        <f>17.6+25.1</f>
        <v>42.7</v>
      </c>
      <c r="AZ130" s="10" t="s">
        <v>20</v>
      </c>
      <c r="BO130" s="10" t="s">
        <v>274</v>
      </c>
      <c r="BP130" s="10" t="s">
        <v>340</v>
      </c>
      <c r="BQ130" s="10" t="s">
        <v>344</v>
      </c>
    </row>
    <row r="131" spans="1:71" x14ac:dyDescent="0.3">
      <c r="AH131" s="70"/>
      <c r="AI131" s="70"/>
      <c r="AJ131" s="70">
        <v>-0.8</v>
      </c>
      <c r="AK131" s="70">
        <v>0</v>
      </c>
      <c r="AL131" s="179">
        <v>0</v>
      </c>
      <c r="AM131" s="70">
        <v>-3.6</v>
      </c>
      <c r="AN131" s="179">
        <v>0</v>
      </c>
      <c r="AO131" s="70">
        <v>0</v>
      </c>
      <c r="AP131" s="70">
        <v>0</v>
      </c>
      <c r="AQ131" s="264">
        <v>-0.3</v>
      </c>
      <c r="AR131" s="264">
        <v>0</v>
      </c>
      <c r="AS131" s="70">
        <v>-0.4</v>
      </c>
      <c r="AT131" s="70">
        <v>0</v>
      </c>
      <c r="AU131" s="70">
        <v>0</v>
      </c>
      <c r="AV131" s="53">
        <v>0</v>
      </c>
      <c r="AW131" s="53">
        <v>0</v>
      </c>
      <c r="AX131" s="53">
        <v>0</v>
      </c>
      <c r="AY131" s="53">
        <v>0</v>
      </c>
      <c r="AZ131" s="10" t="s">
        <v>215</v>
      </c>
    </row>
    <row r="132" spans="1:71" x14ac:dyDescent="0.3">
      <c r="A132" s="79" t="s">
        <v>142</v>
      </c>
      <c r="B132" s="80"/>
      <c r="C132" s="80"/>
      <c r="D132" s="80"/>
      <c r="E132" s="81"/>
      <c r="F132" s="81"/>
      <c r="G132" s="81"/>
      <c r="H132" s="81"/>
      <c r="I132" s="81"/>
      <c r="J132" s="81"/>
      <c r="K132" s="81"/>
      <c r="L132" s="81"/>
      <c r="M132" s="81"/>
      <c r="N132" s="81"/>
      <c r="O132" s="81"/>
      <c r="P132" s="81"/>
      <c r="Q132" s="81"/>
      <c r="R132" s="81"/>
      <c r="S132" s="81"/>
      <c r="T132" s="81"/>
      <c r="U132" s="81"/>
      <c r="V132" s="81"/>
      <c r="W132" s="81"/>
      <c r="X132" s="82"/>
      <c r="Y132" s="81"/>
      <c r="Z132" s="81"/>
      <c r="AA132" s="82"/>
      <c r="AB132" s="81"/>
      <c r="AC132" s="81"/>
      <c r="AD132" s="81">
        <f t="shared" ref="AD132:AI132" si="38">SUM(AD125:AD130)</f>
        <v>83.5</v>
      </c>
      <c r="AE132" s="81">
        <f t="shared" si="38"/>
        <v>81.099999999999994</v>
      </c>
      <c r="AF132" s="81">
        <f t="shared" si="38"/>
        <v>97.6</v>
      </c>
      <c r="AG132" s="81">
        <f t="shared" si="38"/>
        <v>145.9</v>
      </c>
      <c r="AH132" s="81">
        <f t="shared" si="38"/>
        <v>90.4</v>
      </c>
      <c r="AI132" s="81">
        <f t="shared" si="38"/>
        <v>99.9</v>
      </c>
      <c r="AJ132" s="90">
        <f t="shared" ref="AJ132:AO132" si="39">SUM(AJ125:AJ131)</f>
        <v>123.1</v>
      </c>
      <c r="AK132" s="90">
        <f t="shared" si="39"/>
        <v>722.5</v>
      </c>
      <c r="AL132" s="180">
        <f t="shared" si="39"/>
        <v>168.5</v>
      </c>
      <c r="AM132" s="90">
        <f t="shared" si="39"/>
        <v>138.1</v>
      </c>
      <c r="AN132" s="180">
        <f t="shared" si="39"/>
        <v>136.19999999999999</v>
      </c>
      <c r="AO132" s="90">
        <f t="shared" si="39"/>
        <v>129.30000000000001</v>
      </c>
      <c r="AP132" s="90">
        <f t="shared" ref="AP132:AW132" si="40">SUM(AP125:AP131)</f>
        <v>147.19999999999999</v>
      </c>
      <c r="AQ132" s="90">
        <f t="shared" si="40"/>
        <v>143.89999999999998</v>
      </c>
      <c r="AR132" s="90">
        <f t="shared" si="40"/>
        <v>206</v>
      </c>
      <c r="AS132" s="90">
        <f t="shared" si="40"/>
        <v>229.6</v>
      </c>
      <c r="AT132" s="90">
        <f t="shared" si="40"/>
        <v>261</v>
      </c>
      <c r="AU132" s="90">
        <f t="shared" si="40"/>
        <v>264.5</v>
      </c>
      <c r="AV132" s="90">
        <f t="shared" si="40"/>
        <v>333</v>
      </c>
      <c r="AW132" s="90">
        <f t="shared" si="40"/>
        <v>356.7</v>
      </c>
      <c r="AX132" s="90">
        <f t="shared" ref="AX132:AY132" si="41">SUM(AX125:AX131)</f>
        <v>356.7</v>
      </c>
      <c r="AY132" s="90">
        <f t="shared" si="41"/>
        <v>499.5</v>
      </c>
      <c r="AZ132" s="80" t="s">
        <v>143</v>
      </c>
      <c r="BA132" s="84"/>
      <c r="BB132" s="84"/>
      <c r="BC132" s="84"/>
      <c r="BD132" s="84"/>
      <c r="BG132" s="29"/>
      <c r="BH132" s="29"/>
      <c r="BI132" s="11"/>
      <c r="BJ132" s="11"/>
      <c r="BK132" s="11"/>
      <c r="BL132" s="11"/>
      <c r="BM132" s="11"/>
      <c r="BN132" s="11"/>
      <c r="BO132" s="11"/>
      <c r="BP132" s="11"/>
    </row>
    <row r="133" spans="1:71" x14ac:dyDescent="0.3">
      <c r="A133" s="92"/>
      <c r="B133" s="107" t="s">
        <v>125</v>
      </c>
      <c r="C133" s="108"/>
      <c r="D133" s="108"/>
      <c r="E133" s="109"/>
      <c r="F133" s="109"/>
      <c r="G133" s="109"/>
      <c r="H133" s="109"/>
      <c r="I133" s="109"/>
      <c r="J133" s="109"/>
      <c r="K133" s="109"/>
      <c r="L133" s="109"/>
      <c r="M133" s="109"/>
      <c r="N133" s="109"/>
      <c r="O133" s="109"/>
      <c r="P133" s="109"/>
      <c r="Q133" s="109"/>
      <c r="R133" s="109"/>
      <c r="S133" s="109"/>
      <c r="T133" s="109"/>
      <c r="U133" s="109"/>
      <c r="V133" s="109"/>
      <c r="W133" s="109"/>
      <c r="X133" s="100"/>
      <c r="Y133" s="109"/>
      <c r="Z133" s="109"/>
      <c r="AA133" s="100"/>
      <c r="AB133" s="109"/>
      <c r="AC133" s="109"/>
      <c r="AD133" s="109"/>
      <c r="AE133" s="109"/>
      <c r="AF133" s="109"/>
      <c r="AG133" s="109"/>
      <c r="AH133" s="109"/>
      <c r="AI133" s="109"/>
      <c r="AJ133" s="109">
        <v>0</v>
      </c>
      <c r="AK133" s="100">
        <v>3375.7</v>
      </c>
      <c r="AL133" s="181">
        <v>0</v>
      </c>
      <c r="AM133" s="100">
        <v>0</v>
      </c>
      <c r="AN133" s="181">
        <v>0</v>
      </c>
      <c r="AO133" s="100">
        <v>0</v>
      </c>
      <c r="AP133" s="100">
        <v>0</v>
      </c>
      <c r="AQ133" s="279">
        <v>0</v>
      </c>
      <c r="AR133" s="279">
        <v>0</v>
      </c>
      <c r="AS133" s="100">
        <v>0</v>
      </c>
      <c r="AT133" s="100">
        <v>0</v>
      </c>
      <c r="AU133" s="100">
        <v>0</v>
      </c>
      <c r="AV133" s="100">
        <v>0</v>
      </c>
      <c r="AW133" s="100">
        <v>0</v>
      </c>
      <c r="AX133" s="100">
        <v>0</v>
      </c>
      <c r="AY133" s="100">
        <v>0</v>
      </c>
      <c r="AZ133" s="107" t="s">
        <v>245</v>
      </c>
      <c r="BA133" s="107"/>
      <c r="BB133" s="107"/>
      <c r="BC133" s="107"/>
      <c r="BD133" s="97" t="s">
        <v>172</v>
      </c>
      <c r="BG133" s="29"/>
      <c r="BH133" s="29"/>
      <c r="BI133" s="11"/>
      <c r="BJ133" s="11"/>
      <c r="BK133" s="11"/>
      <c r="BL133" s="11"/>
      <c r="BM133" s="11"/>
      <c r="BN133" s="11"/>
      <c r="BO133" s="11"/>
      <c r="BP133" s="11"/>
    </row>
    <row r="134" spans="1:71" x14ac:dyDescent="0.3">
      <c r="A134" s="92"/>
      <c r="B134" s="107"/>
      <c r="C134" s="108"/>
      <c r="D134" s="108"/>
      <c r="E134" s="109"/>
      <c r="F134" s="109"/>
      <c r="G134" s="109"/>
      <c r="H134" s="109"/>
      <c r="I134" s="109"/>
      <c r="J134" s="109"/>
      <c r="K134" s="109"/>
      <c r="L134" s="109"/>
      <c r="M134" s="109"/>
      <c r="N134" s="109"/>
      <c r="O134" s="109"/>
      <c r="P134" s="109"/>
      <c r="Q134" s="109"/>
      <c r="R134" s="109"/>
      <c r="S134" s="109"/>
      <c r="T134" s="109"/>
      <c r="U134" s="109"/>
      <c r="V134" s="109"/>
      <c r="W134" s="109"/>
      <c r="X134" s="100"/>
      <c r="Y134" s="109"/>
      <c r="Z134" s="109"/>
      <c r="AA134" s="100"/>
      <c r="AB134" s="109"/>
      <c r="AC134" s="109"/>
      <c r="AD134" s="109"/>
      <c r="AE134" s="109"/>
      <c r="AF134" s="109"/>
      <c r="AG134" s="109"/>
      <c r="AH134" s="109"/>
      <c r="AI134" s="109"/>
      <c r="AJ134" s="109">
        <v>0</v>
      </c>
      <c r="AK134" s="100">
        <f>100+10+80+50+55+102.5</f>
        <v>397.5</v>
      </c>
      <c r="AL134" s="181">
        <v>0</v>
      </c>
      <c r="AM134" s="100">
        <v>0</v>
      </c>
      <c r="AN134" s="181">
        <v>0</v>
      </c>
      <c r="AO134" s="100">
        <v>0</v>
      </c>
      <c r="AP134" s="100">
        <v>0</v>
      </c>
      <c r="AQ134" s="100">
        <v>0</v>
      </c>
      <c r="AR134" s="100">
        <v>0</v>
      </c>
      <c r="AS134" s="100">
        <v>0</v>
      </c>
      <c r="AT134" s="100">
        <v>0</v>
      </c>
      <c r="AU134" s="100">
        <v>0</v>
      </c>
      <c r="AV134" s="100">
        <v>0</v>
      </c>
      <c r="AW134" s="100">
        <v>0</v>
      </c>
      <c r="AX134" s="100">
        <v>0</v>
      </c>
      <c r="AY134" s="100">
        <v>0</v>
      </c>
      <c r="AZ134" s="232" t="s">
        <v>388</v>
      </c>
      <c r="BA134" s="107"/>
      <c r="BB134" s="107"/>
      <c r="BC134" s="107"/>
      <c r="BD134" s="97"/>
      <c r="BG134" s="29"/>
      <c r="BH134" s="29"/>
      <c r="BI134" s="11"/>
      <c r="BJ134" s="11"/>
      <c r="BK134" s="11"/>
      <c r="BL134" s="11"/>
      <c r="BM134" s="11"/>
      <c r="BN134" s="11"/>
      <c r="BO134" s="11"/>
      <c r="BP134" s="11"/>
    </row>
    <row r="135" spans="1:71" x14ac:dyDescent="0.3">
      <c r="A135" s="92"/>
      <c r="B135" s="107"/>
      <c r="C135" s="108"/>
      <c r="D135" s="108"/>
      <c r="E135" s="109"/>
      <c r="F135" s="109"/>
      <c r="G135" s="109"/>
      <c r="H135" s="109"/>
      <c r="I135" s="109"/>
      <c r="J135" s="109"/>
      <c r="K135" s="109"/>
      <c r="L135" s="109"/>
      <c r="M135" s="109"/>
      <c r="N135" s="109"/>
      <c r="O135" s="109"/>
      <c r="P135" s="109"/>
      <c r="Q135" s="109"/>
      <c r="R135" s="109"/>
      <c r="S135" s="109"/>
      <c r="T135" s="109"/>
      <c r="U135" s="109"/>
      <c r="V135" s="109"/>
      <c r="W135" s="109"/>
      <c r="X135" s="100"/>
      <c r="Y135" s="109"/>
      <c r="Z135" s="109"/>
      <c r="AA135" s="100"/>
      <c r="AB135" s="109"/>
      <c r="AC135" s="109"/>
      <c r="AD135" s="109"/>
      <c r="AE135" s="109"/>
      <c r="AF135" s="109"/>
      <c r="AG135" s="109"/>
      <c r="AH135" s="109"/>
      <c r="AI135" s="109"/>
      <c r="AJ135" s="109"/>
      <c r="AK135" s="100"/>
      <c r="AL135" s="181"/>
      <c r="AM135" s="100"/>
      <c r="AN135" s="181"/>
      <c r="AO135" s="100"/>
      <c r="AP135" s="100">
        <v>0</v>
      </c>
      <c r="AQ135" s="280">
        <v>0</v>
      </c>
      <c r="AR135" s="280">
        <v>0</v>
      </c>
      <c r="AS135" s="100">
        <v>0</v>
      </c>
      <c r="AT135" s="100">
        <v>0</v>
      </c>
      <c r="AU135" s="100">
        <v>0</v>
      </c>
      <c r="AV135" s="100">
        <v>0</v>
      </c>
      <c r="AW135" s="100">
        <v>0</v>
      </c>
      <c r="AX135" s="100">
        <v>0</v>
      </c>
      <c r="AY135" s="100">
        <v>0</v>
      </c>
      <c r="AZ135" s="107" t="s">
        <v>407</v>
      </c>
      <c r="BA135" s="107"/>
      <c r="BB135" s="107"/>
      <c r="BC135" s="107"/>
      <c r="BD135" s="97"/>
      <c r="BE135" s="258"/>
      <c r="BG135" s="29"/>
      <c r="BH135" s="29"/>
      <c r="BI135" s="11"/>
      <c r="BJ135" s="11"/>
      <c r="BK135" s="11"/>
      <c r="BL135" s="11"/>
      <c r="BM135" s="11"/>
      <c r="BN135" s="11"/>
      <c r="BO135" s="11"/>
      <c r="BP135" s="11"/>
    </row>
    <row r="136" spans="1:71" x14ac:dyDescent="0.3">
      <c r="B136" s="10" t="s">
        <v>169</v>
      </c>
      <c r="AI136" s="54"/>
      <c r="AJ136" s="54"/>
      <c r="AK136" s="54"/>
      <c r="AL136" s="177"/>
      <c r="AM136" s="54"/>
      <c r="AN136" s="177"/>
      <c r="AO136" s="54"/>
      <c r="AP136" s="54"/>
      <c r="AQ136" s="267"/>
      <c r="AR136" s="74"/>
      <c r="AS136" s="74"/>
    </row>
    <row r="137" spans="1:71" x14ac:dyDescent="0.3">
      <c r="A137" s="39" t="s">
        <v>141</v>
      </c>
      <c r="B137" s="7"/>
      <c r="C137" s="7"/>
      <c r="D137" s="7"/>
      <c r="E137" s="134">
        <f t="shared" ref="E137:AH137" si="42">E132+E133+E136</f>
        <v>0</v>
      </c>
      <c r="F137" s="134">
        <f t="shared" si="42"/>
        <v>0</v>
      </c>
      <c r="G137" s="134">
        <f t="shared" si="42"/>
        <v>0</v>
      </c>
      <c r="H137" s="134">
        <f t="shared" si="42"/>
        <v>0</v>
      </c>
      <c r="I137" s="134">
        <f t="shared" si="42"/>
        <v>0</v>
      </c>
      <c r="J137" s="134">
        <f t="shared" si="42"/>
        <v>0</v>
      </c>
      <c r="K137" s="134">
        <f t="shared" si="42"/>
        <v>0</v>
      </c>
      <c r="L137" s="134">
        <f t="shared" si="42"/>
        <v>0</v>
      </c>
      <c r="M137" s="134">
        <f t="shared" si="42"/>
        <v>0</v>
      </c>
      <c r="N137" s="134">
        <f t="shared" si="42"/>
        <v>0</v>
      </c>
      <c r="O137" s="134">
        <f t="shared" si="42"/>
        <v>0</v>
      </c>
      <c r="P137" s="134">
        <f t="shared" si="42"/>
        <v>0</v>
      </c>
      <c r="Q137" s="134">
        <f t="shared" si="42"/>
        <v>0</v>
      </c>
      <c r="R137" s="134">
        <f t="shared" si="42"/>
        <v>0</v>
      </c>
      <c r="S137" s="134">
        <f t="shared" si="42"/>
        <v>0</v>
      </c>
      <c r="T137" s="134">
        <f t="shared" si="42"/>
        <v>0</v>
      </c>
      <c r="U137" s="134">
        <f t="shared" si="42"/>
        <v>0</v>
      </c>
      <c r="V137" s="134">
        <f t="shared" si="42"/>
        <v>0</v>
      </c>
      <c r="W137" s="134">
        <f t="shared" si="42"/>
        <v>0</v>
      </c>
      <c r="X137" s="134">
        <f t="shared" si="42"/>
        <v>0</v>
      </c>
      <c r="Y137" s="134">
        <f t="shared" si="42"/>
        <v>0</v>
      </c>
      <c r="Z137" s="134">
        <f t="shared" si="42"/>
        <v>0</v>
      </c>
      <c r="AA137" s="134">
        <f t="shared" si="42"/>
        <v>0</v>
      </c>
      <c r="AB137" s="134">
        <f t="shared" si="42"/>
        <v>0</v>
      </c>
      <c r="AC137" s="134">
        <f t="shared" si="42"/>
        <v>0</v>
      </c>
      <c r="AD137" s="134">
        <f t="shared" si="42"/>
        <v>83.5</v>
      </c>
      <c r="AE137" s="134">
        <f t="shared" si="42"/>
        <v>81.099999999999994</v>
      </c>
      <c r="AF137" s="134">
        <f t="shared" si="42"/>
        <v>97.6</v>
      </c>
      <c r="AG137" s="134">
        <f t="shared" si="42"/>
        <v>145.9</v>
      </c>
      <c r="AH137" s="134">
        <f t="shared" si="42"/>
        <v>90.4</v>
      </c>
      <c r="AI137" s="134">
        <f t="shared" ref="AI137:AO137" si="43">AI132+AI133+AI136</f>
        <v>99.9</v>
      </c>
      <c r="AJ137" s="134">
        <f>AJ132+AJ133+AJ136</f>
        <v>123.1</v>
      </c>
      <c r="AK137" s="134">
        <f t="shared" si="43"/>
        <v>4098.2</v>
      </c>
      <c r="AL137" s="182">
        <f t="shared" si="43"/>
        <v>168.5</v>
      </c>
      <c r="AM137" s="134">
        <f t="shared" si="43"/>
        <v>138.1</v>
      </c>
      <c r="AN137" s="182">
        <f t="shared" si="43"/>
        <v>136.19999999999999</v>
      </c>
      <c r="AO137" s="134">
        <f t="shared" si="43"/>
        <v>129.30000000000001</v>
      </c>
      <c r="AP137" s="134">
        <f t="shared" ref="AP137:AX137" si="44">AP132+AP133+AP136</f>
        <v>147.19999999999999</v>
      </c>
      <c r="AQ137" s="134">
        <f t="shared" si="44"/>
        <v>143.89999999999998</v>
      </c>
      <c r="AR137" s="277">
        <f t="shared" si="44"/>
        <v>206</v>
      </c>
      <c r="AS137" s="134">
        <f t="shared" si="44"/>
        <v>229.6</v>
      </c>
      <c r="AT137" s="134">
        <f t="shared" si="44"/>
        <v>261</v>
      </c>
      <c r="AU137" s="134">
        <f t="shared" si="44"/>
        <v>264.5</v>
      </c>
      <c r="AV137" s="134">
        <f t="shared" si="44"/>
        <v>333</v>
      </c>
      <c r="AW137" s="134">
        <f t="shared" si="44"/>
        <v>356.7</v>
      </c>
      <c r="AX137" s="134">
        <f t="shared" si="44"/>
        <v>356.7</v>
      </c>
      <c r="AY137" s="134">
        <f t="shared" ref="AY137" si="45">AY132+AY133+AY136</f>
        <v>499.5</v>
      </c>
      <c r="AZ137" s="9" t="s">
        <v>141</v>
      </c>
      <c r="BA137" s="7"/>
      <c r="BB137" s="7"/>
      <c r="BC137" s="7"/>
      <c r="BD137" s="7"/>
    </row>
    <row r="138" spans="1:71" x14ac:dyDescent="0.3">
      <c r="D138" s="5"/>
      <c r="E138" s="119"/>
      <c r="F138" s="119"/>
      <c r="G138" s="119"/>
      <c r="H138" s="119"/>
      <c r="I138" s="119"/>
      <c r="J138" s="119"/>
      <c r="K138" s="119"/>
      <c r="L138" s="119"/>
      <c r="M138" s="119"/>
      <c r="N138" s="119"/>
      <c r="O138" s="119"/>
      <c r="P138" s="119"/>
      <c r="Q138" s="119"/>
      <c r="R138" s="119"/>
      <c r="S138" s="119"/>
      <c r="T138" s="119"/>
      <c r="U138" s="119"/>
      <c r="V138" s="119"/>
      <c r="W138" s="5"/>
      <c r="X138" s="5"/>
      <c r="Y138" s="5"/>
      <c r="Z138" s="5"/>
      <c r="AA138" s="5"/>
      <c r="AB138" s="5"/>
      <c r="AC138" s="5"/>
      <c r="AD138" s="5"/>
      <c r="AE138" s="5"/>
      <c r="AF138" s="5"/>
      <c r="AG138" s="5"/>
      <c r="AH138" s="5"/>
      <c r="AI138" s="5"/>
      <c r="AJ138" s="5"/>
      <c r="AK138" s="205"/>
      <c r="AL138" s="124"/>
      <c r="AM138" s="124"/>
      <c r="AN138" s="124"/>
      <c r="AO138" s="54"/>
      <c r="AP138" s="54"/>
    </row>
    <row r="139" spans="1:71" x14ac:dyDescent="0.3">
      <c r="A139" s="22" t="s">
        <v>21</v>
      </c>
      <c r="D139" s="5"/>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5"/>
      <c r="AJ139" s="5"/>
      <c r="AK139" s="126"/>
      <c r="AL139" s="125"/>
      <c r="AM139" s="125"/>
      <c r="AN139" s="125"/>
      <c r="AO139" s="54"/>
      <c r="AP139" s="54"/>
      <c r="AZ139" s="23" t="s">
        <v>21</v>
      </c>
      <c r="BH139" s="10" t="s">
        <v>225</v>
      </c>
      <c r="BI139" s="10" t="s">
        <v>277</v>
      </c>
      <c r="BJ139" s="10" t="s">
        <v>362</v>
      </c>
      <c r="BK139" s="10" t="s">
        <v>48</v>
      </c>
      <c r="BL139" s="10" t="s">
        <v>373</v>
      </c>
      <c r="BM139" s="10" t="s">
        <v>205</v>
      </c>
      <c r="BN139" s="10" t="s">
        <v>156</v>
      </c>
    </row>
    <row r="140" spans="1:71" x14ac:dyDescent="0.3">
      <c r="B140" s="10" t="s">
        <v>22</v>
      </c>
      <c r="E140" s="54">
        <v>28.1</v>
      </c>
      <c r="F140" s="54">
        <v>10.3</v>
      </c>
      <c r="G140" s="54">
        <v>0</v>
      </c>
      <c r="H140" s="54">
        <v>0</v>
      </c>
      <c r="I140" s="54">
        <v>0</v>
      </c>
      <c r="J140" s="54">
        <v>0</v>
      </c>
      <c r="K140" s="54">
        <v>0</v>
      </c>
      <c r="L140" s="54">
        <v>0</v>
      </c>
      <c r="M140" s="54">
        <v>47.6</v>
      </c>
      <c r="N140" s="54">
        <v>33.6</v>
      </c>
      <c r="O140" s="54">
        <v>31.6</v>
      </c>
      <c r="P140" s="54">
        <v>26.5</v>
      </c>
      <c r="Q140" s="54">
        <v>24.1</v>
      </c>
      <c r="R140" s="54">
        <v>44.3</v>
      </c>
      <c r="S140" s="54">
        <v>61.9</v>
      </c>
      <c r="T140" s="54">
        <v>57.8</v>
      </c>
      <c r="U140" s="55">
        <v>55.2</v>
      </c>
      <c r="V140" s="55">
        <v>62.8</v>
      </c>
      <c r="W140" s="54">
        <v>39.1</v>
      </c>
      <c r="X140" s="55">
        <v>37</v>
      </c>
      <c r="AI140" s="54"/>
      <c r="AJ140" s="54"/>
      <c r="AK140" s="74"/>
      <c r="AL140" s="204"/>
      <c r="AM140" s="74"/>
      <c r="AN140" s="183">
        <v>67</v>
      </c>
      <c r="AO140" s="127">
        <v>62.7</v>
      </c>
      <c r="AP140" s="127">
        <v>110</v>
      </c>
      <c r="AQ140" s="183">
        <v>54.5</v>
      </c>
      <c r="AR140" s="127">
        <v>62.5</v>
      </c>
      <c r="AS140" s="183">
        <v>95</v>
      </c>
      <c r="AT140" s="127">
        <v>0</v>
      </c>
      <c r="AU140" s="127">
        <v>0</v>
      </c>
      <c r="AV140" s="249">
        <v>0</v>
      </c>
      <c r="AW140" s="249">
        <v>0</v>
      </c>
      <c r="AX140" s="249">
        <v>0</v>
      </c>
      <c r="AY140" s="249">
        <v>0</v>
      </c>
      <c r="AZ140" s="10" t="s">
        <v>433</v>
      </c>
    </row>
    <row r="141" spans="1:71" x14ac:dyDescent="0.3">
      <c r="B141" s="10" t="s">
        <v>23</v>
      </c>
      <c r="E141" s="54">
        <v>0</v>
      </c>
      <c r="F141" s="54">
        <v>0</v>
      </c>
      <c r="G141" s="54">
        <v>0</v>
      </c>
      <c r="H141" s="54">
        <v>0</v>
      </c>
      <c r="I141" s="54">
        <v>0</v>
      </c>
      <c r="J141" s="54">
        <v>0</v>
      </c>
      <c r="K141" s="54">
        <v>0</v>
      </c>
      <c r="L141" s="54">
        <v>0</v>
      </c>
      <c r="M141" s="54">
        <v>126.8</v>
      </c>
      <c r="N141" s="54">
        <v>75.099999999999994</v>
      </c>
      <c r="O141" s="54">
        <v>91.5</v>
      </c>
      <c r="P141" s="54">
        <v>78.5</v>
      </c>
      <c r="Q141" s="54">
        <v>58</v>
      </c>
      <c r="R141" s="54">
        <v>63.3</v>
      </c>
      <c r="S141" s="54">
        <v>60</v>
      </c>
      <c r="T141" s="54">
        <v>60</v>
      </c>
      <c r="U141" s="55">
        <v>40</v>
      </c>
      <c r="V141" s="55">
        <v>19.399999999999999</v>
      </c>
      <c r="AI141" s="54"/>
      <c r="AJ141" s="54"/>
      <c r="AK141" s="54"/>
      <c r="AL141" s="177"/>
      <c r="AM141" s="54"/>
      <c r="AN141" s="177"/>
      <c r="AO141" s="54"/>
      <c r="AP141" s="54"/>
      <c r="AQ141" s="177"/>
      <c r="AR141" s="54"/>
      <c r="AS141" s="177"/>
      <c r="AT141" s="54"/>
      <c r="AU141" s="54"/>
      <c r="AZ141" s="10" t="s">
        <v>23</v>
      </c>
    </row>
    <row r="142" spans="1:71" x14ac:dyDescent="0.3">
      <c r="B142" s="10" t="s">
        <v>24</v>
      </c>
      <c r="E142" s="54">
        <v>0</v>
      </c>
      <c r="F142" s="54">
        <v>0</v>
      </c>
      <c r="G142" s="54">
        <v>0</v>
      </c>
      <c r="H142" s="54">
        <v>0</v>
      </c>
      <c r="I142" s="54">
        <v>0</v>
      </c>
      <c r="J142" s="54">
        <v>0</v>
      </c>
      <c r="K142" s="54">
        <v>0</v>
      </c>
      <c r="L142" s="54">
        <v>0</v>
      </c>
      <c r="M142" s="54">
        <v>131.19999999999999</v>
      </c>
      <c r="N142" s="54">
        <v>126.9</v>
      </c>
      <c r="O142" s="54">
        <v>117</v>
      </c>
      <c r="P142" s="54">
        <v>124.7</v>
      </c>
      <c r="Q142" s="54">
        <v>168.8</v>
      </c>
      <c r="R142" s="54">
        <v>91.1</v>
      </c>
      <c r="S142" s="54">
        <v>96.6</v>
      </c>
      <c r="T142" s="54">
        <v>92.7</v>
      </c>
      <c r="U142" s="55">
        <v>6.5</v>
      </c>
      <c r="V142" s="55">
        <v>7</v>
      </c>
      <c r="AI142" s="54"/>
      <c r="AJ142" s="54"/>
      <c r="AK142" s="54"/>
      <c r="AL142" s="177"/>
      <c r="AM142" s="54"/>
      <c r="AN142" s="177"/>
      <c r="AO142" s="54"/>
      <c r="AP142" s="54"/>
      <c r="AR142" s="267"/>
      <c r="AS142" s="305"/>
      <c r="AT142" s="54"/>
      <c r="AU142" s="54"/>
      <c r="AZ142" s="10" t="s">
        <v>24</v>
      </c>
    </row>
    <row r="143" spans="1:71" x14ac:dyDescent="0.3">
      <c r="B143" s="10" t="s">
        <v>25</v>
      </c>
      <c r="E143" s="54">
        <v>0</v>
      </c>
      <c r="F143" s="54">
        <v>0</v>
      </c>
      <c r="G143" s="54">
        <v>0</v>
      </c>
      <c r="H143" s="54">
        <v>0</v>
      </c>
      <c r="I143" s="54">
        <v>0</v>
      </c>
      <c r="J143" s="54">
        <v>0</v>
      </c>
      <c r="K143" s="54">
        <v>0</v>
      </c>
      <c r="L143" s="54">
        <v>0</v>
      </c>
      <c r="M143" s="54">
        <v>0</v>
      </c>
      <c r="N143" s="54">
        <v>0</v>
      </c>
      <c r="O143" s="54">
        <v>0</v>
      </c>
      <c r="P143" s="54">
        <v>0</v>
      </c>
      <c r="Q143" s="54">
        <v>0</v>
      </c>
      <c r="R143" s="54">
        <v>0</v>
      </c>
      <c r="S143" s="54">
        <v>0</v>
      </c>
      <c r="T143" s="54">
        <v>0</v>
      </c>
      <c r="U143" s="55">
        <v>0</v>
      </c>
      <c r="V143" s="55">
        <v>0</v>
      </c>
      <c r="W143" s="54">
        <v>3.5</v>
      </c>
      <c r="X143" s="55">
        <v>4</v>
      </c>
      <c r="Y143" s="54">
        <v>7</v>
      </c>
      <c r="Z143" s="54">
        <v>11</v>
      </c>
      <c r="AA143" s="56">
        <v>12</v>
      </c>
      <c r="AB143" s="54">
        <v>11.97</v>
      </c>
      <c r="AC143" s="54">
        <v>17.5</v>
      </c>
      <c r="AD143" s="55">
        <v>18</v>
      </c>
      <c r="AE143" s="54">
        <v>23</v>
      </c>
      <c r="AF143" s="54">
        <v>23.8</v>
      </c>
      <c r="AG143" s="54">
        <v>26.7</v>
      </c>
      <c r="AH143" s="54">
        <v>16.5</v>
      </c>
      <c r="AI143" s="54">
        <v>0</v>
      </c>
      <c r="AJ143" s="54">
        <v>5</v>
      </c>
      <c r="AK143" s="54">
        <v>0</v>
      </c>
      <c r="AL143" s="177">
        <v>5</v>
      </c>
      <c r="AM143" s="54">
        <v>0</v>
      </c>
      <c r="AN143" s="177">
        <v>5</v>
      </c>
      <c r="AO143" s="54">
        <v>5</v>
      </c>
      <c r="AP143" s="54">
        <v>5.5</v>
      </c>
      <c r="AQ143" s="177">
        <v>5</v>
      </c>
      <c r="AR143" s="54">
        <v>5</v>
      </c>
      <c r="AS143" s="177">
        <v>5</v>
      </c>
      <c r="AT143" s="54">
        <v>5</v>
      </c>
      <c r="AU143" s="54">
        <v>5</v>
      </c>
      <c r="AV143" s="10">
        <v>5</v>
      </c>
      <c r="AW143" s="10">
        <v>5</v>
      </c>
      <c r="AX143" s="10">
        <v>5</v>
      </c>
      <c r="AY143" s="10">
        <v>161</v>
      </c>
      <c r="AZ143" s="10" t="s">
        <v>463</v>
      </c>
      <c r="BO143" s="10" t="s">
        <v>275</v>
      </c>
      <c r="BP143" s="10" t="s">
        <v>341</v>
      </c>
      <c r="BQ143" s="10" t="s">
        <v>344</v>
      </c>
      <c r="BR143" s="10" t="s">
        <v>344</v>
      </c>
      <c r="BS143" s="19" t="s">
        <v>344</v>
      </c>
    </row>
    <row r="144" spans="1:71" x14ac:dyDescent="0.3">
      <c r="B144" s="10" t="s">
        <v>26</v>
      </c>
      <c r="E144" s="54">
        <v>105.9</v>
      </c>
      <c r="F144" s="54">
        <v>70.900000000000006</v>
      </c>
      <c r="G144" s="54">
        <v>60.3</v>
      </c>
      <c r="H144" s="54">
        <v>82.9</v>
      </c>
      <c r="I144" s="54">
        <v>105.3</v>
      </c>
      <c r="J144" s="54">
        <v>78.5</v>
      </c>
      <c r="K144" s="54">
        <v>90.1</v>
      </c>
      <c r="L144" s="54">
        <v>87.1</v>
      </c>
      <c r="M144" s="54">
        <v>0</v>
      </c>
      <c r="N144" s="54">
        <v>0</v>
      </c>
      <c r="O144" s="54">
        <v>0</v>
      </c>
      <c r="P144" s="54">
        <v>0</v>
      </c>
      <c r="Q144" s="54">
        <v>0</v>
      </c>
      <c r="R144" s="54">
        <v>0</v>
      </c>
      <c r="S144" s="54">
        <v>4.9000000000000004</v>
      </c>
      <c r="T144" s="54">
        <v>0</v>
      </c>
      <c r="U144" s="55">
        <v>0</v>
      </c>
      <c r="V144" s="55">
        <v>0</v>
      </c>
      <c r="AI144" s="54"/>
      <c r="AJ144" s="54"/>
      <c r="AK144" s="54"/>
      <c r="AL144" s="177"/>
      <c r="AM144" s="54"/>
      <c r="AN144" s="177"/>
      <c r="AO144" s="54"/>
      <c r="AP144" s="54"/>
      <c r="AR144" s="267"/>
      <c r="AS144" s="305"/>
      <c r="AT144" s="54"/>
      <c r="AU144" s="54"/>
      <c r="AZ144" s="10" t="s">
        <v>26</v>
      </c>
    </row>
    <row r="145" spans="1:71" x14ac:dyDescent="0.3">
      <c r="B145" s="10" t="s">
        <v>27</v>
      </c>
      <c r="E145" s="54">
        <v>735.2</v>
      </c>
      <c r="F145" s="54">
        <v>733.1</v>
      </c>
      <c r="G145" s="54">
        <v>747.7</v>
      </c>
      <c r="H145" s="54">
        <v>610.79999999999995</v>
      </c>
      <c r="I145" s="54">
        <v>675.7</v>
      </c>
      <c r="J145" s="54">
        <v>552</v>
      </c>
      <c r="K145" s="54">
        <v>467.1</v>
      </c>
      <c r="L145" s="54">
        <v>289.3</v>
      </c>
      <c r="M145" s="54">
        <v>18.7</v>
      </c>
      <c r="N145" s="54">
        <v>13.6</v>
      </c>
      <c r="O145" s="54">
        <v>0</v>
      </c>
      <c r="P145" s="54">
        <v>8.5</v>
      </c>
      <c r="Q145" s="54">
        <v>57.6</v>
      </c>
      <c r="R145" s="54">
        <v>96.8</v>
      </c>
      <c r="S145" s="54">
        <v>67</v>
      </c>
      <c r="T145" s="54">
        <v>0</v>
      </c>
      <c r="U145" s="55">
        <v>0</v>
      </c>
      <c r="V145" s="55">
        <v>0</v>
      </c>
      <c r="AI145" s="54"/>
      <c r="AJ145" s="54"/>
      <c r="AK145" s="54"/>
      <c r="AL145" s="177"/>
      <c r="AM145" s="54"/>
      <c r="AN145" s="177"/>
      <c r="AO145" s="54"/>
      <c r="AP145" s="54"/>
      <c r="AQ145" s="177"/>
      <c r="AR145" s="54"/>
      <c r="AS145" s="177"/>
      <c r="AT145" s="54"/>
      <c r="AU145" s="54"/>
      <c r="AV145" s="260"/>
      <c r="AW145" s="260"/>
      <c r="AX145" s="260"/>
      <c r="AY145" s="260"/>
      <c r="AZ145" s="260" t="s">
        <v>27</v>
      </c>
    </row>
    <row r="146" spans="1:71" x14ac:dyDescent="0.3">
      <c r="B146" s="10" t="s">
        <v>75</v>
      </c>
      <c r="E146" s="54">
        <v>0</v>
      </c>
      <c r="F146" s="54">
        <v>0</v>
      </c>
      <c r="G146" s="54">
        <v>0</v>
      </c>
      <c r="H146" s="54">
        <v>0</v>
      </c>
      <c r="I146" s="54">
        <v>0</v>
      </c>
      <c r="J146" s="54">
        <v>0</v>
      </c>
      <c r="K146" s="54">
        <v>2.75</v>
      </c>
      <c r="L146" s="54">
        <v>25.9</v>
      </c>
      <c r="M146" s="54">
        <v>16</v>
      </c>
      <c r="N146" s="54">
        <v>6.5</v>
      </c>
      <c r="O146" s="54">
        <v>5</v>
      </c>
      <c r="P146" s="54">
        <v>2.5</v>
      </c>
      <c r="Q146" s="54">
        <v>1</v>
      </c>
      <c r="R146" s="54">
        <v>0.7</v>
      </c>
      <c r="S146" s="54">
        <v>5.0999999999999996</v>
      </c>
      <c r="T146" s="54">
        <v>4.8</v>
      </c>
      <c r="U146" s="55">
        <v>0</v>
      </c>
      <c r="V146" s="55">
        <v>0</v>
      </c>
      <c r="AI146" s="54"/>
      <c r="AJ146" s="54"/>
      <c r="AK146" s="54"/>
      <c r="AL146" s="177"/>
      <c r="AM146" s="54"/>
      <c r="AN146" s="177"/>
      <c r="AO146" s="54"/>
      <c r="AP146" s="54"/>
      <c r="AQ146" s="204">
        <f>47.7+18+4.5</f>
        <v>70.2</v>
      </c>
      <c r="AR146" s="74"/>
      <c r="AS146" s="204"/>
      <c r="AT146" s="54"/>
      <c r="AU146" s="54"/>
      <c r="AV146" s="266"/>
      <c r="AW146" s="266"/>
      <c r="AX146" s="266"/>
      <c r="AY146" s="266"/>
      <c r="AZ146" s="266" t="s">
        <v>416</v>
      </c>
    </row>
    <row r="147" spans="1:71" x14ac:dyDescent="0.3">
      <c r="B147" s="10" t="s">
        <v>76</v>
      </c>
      <c r="Z147" s="54">
        <v>0</v>
      </c>
      <c r="AA147" s="56">
        <v>8.1999999999999993</v>
      </c>
      <c r="AI147" s="54"/>
      <c r="AJ147" s="54"/>
      <c r="AK147" s="54"/>
      <c r="AL147" s="177"/>
      <c r="AM147" s="54"/>
      <c r="AN147" s="177"/>
      <c r="AO147" s="54"/>
      <c r="AP147" s="54"/>
      <c r="AQ147" s="204"/>
      <c r="AR147" s="74"/>
      <c r="AS147" s="204"/>
      <c r="AT147" s="54"/>
      <c r="AU147" s="54"/>
      <c r="AZ147" s="10" t="s">
        <v>76</v>
      </c>
    </row>
    <row r="148" spans="1:71" x14ac:dyDescent="0.3">
      <c r="B148" s="10" t="s">
        <v>77</v>
      </c>
      <c r="E148" s="54">
        <v>0</v>
      </c>
      <c r="F148" s="54">
        <v>0</v>
      </c>
      <c r="G148" s="54">
        <v>0</v>
      </c>
      <c r="H148" s="54">
        <v>0</v>
      </c>
      <c r="I148" s="54">
        <v>0</v>
      </c>
      <c r="J148" s="54">
        <v>0</v>
      </c>
      <c r="K148" s="54">
        <v>0</v>
      </c>
      <c r="L148" s="54">
        <v>0</v>
      </c>
      <c r="M148" s="54">
        <v>0</v>
      </c>
      <c r="N148" s="54">
        <v>0</v>
      </c>
      <c r="O148" s="54">
        <v>0</v>
      </c>
      <c r="P148" s="54">
        <v>0</v>
      </c>
      <c r="Q148" s="54">
        <v>0</v>
      </c>
      <c r="R148" s="54">
        <v>0</v>
      </c>
      <c r="S148" s="54">
        <v>0</v>
      </c>
      <c r="T148" s="54">
        <v>0.1</v>
      </c>
      <c r="U148" s="55">
        <v>0.6</v>
      </c>
      <c r="V148" s="55">
        <v>0.6</v>
      </c>
      <c r="AI148" s="54"/>
      <c r="AJ148" s="54"/>
      <c r="AK148" s="54"/>
      <c r="AL148" s="177"/>
      <c r="AM148" s="54"/>
      <c r="AN148" s="177"/>
      <c r="AO148" s="54"/>
      <c r="AP148" s="54"/>
      <c r="AR148" s="267"/>
      <c r="AS148" s="305"/>
      <c r="AT148" s="54"/>
      <c r="AU148" s="54"/>
      <c r="AZ148" s="10" t="s">
        <v>77</v>
      </c>
    </row>
    <row r="149" spans="1:71" x14ac:dyDescent="0.3">
      <c r="B149" s="10" t="s">
        <v>175</v>
      </c>
      <c r="E149" s="54">
        <v>0</v>
      </c>
      <c r="F149" s="54">
        <v>0</v>
      </c>
      <c r="G149" s="54">
        <v>0</v>
      </c>
      <c r="H149" s="54">
        <v>0</v>
      </c>
      <c r="I149" s="54">
        <v>0</v>
      </c>
      <c r="J149" s="54">
        <v>0</v>
      </c>
      <c r="K149" s="54">
        <v>0</v>
      </c>
      <c r="L149" s="54">
        <v>0</v>
      </c>
      <c r="M149" s="54">
        <v>8.3000000000000007</v>
      </c>
      <c r="N149" s="54">
        <v>7.6</v>
      </c>
      <c r="O149" s="54">
        <v>8.5</v>
      </c>
      <c r="P149" s="54">
        <v>0</v>
      </c>
      <c r="Q149" s="54">
        <v>31.3</v>
      </c>
      <c r="R149" s="54">
        <v>34.6</v>
      </c>
      <c r="S149" s="54">
        <v>48.8</v>
      </c>
      <c r="T149" s="54">
        <v>49.05</v>
      </c>
      <c r="U149" s="55">
        <v>22.4</v>
      </c>
      <c r="V149" s="55">
        <f>12.48+12.88</f>
        <v>25.36</v>
      </c>
      <c r="W149" s="54">
        <f>8+5</f>
        <v>13</v>
      </c>
      <c r="X149" s="55">
        <v>14.1</v>
      </c>
      <c r="Y149" s="54">
        <v>21</v>
      </c>
      <c r="Z149" s="54">
        <v>24.7</v>
      </c>
      <c r="AA149" s="56">
        <v>24.7</v>
      </c>
      <c r="AB149" s="54">
        <v>21.96</v>
      </c>
      <c r="AC149" s="54">
        <v>22.5</v>
      </c>
      <c r="AD149" s="55">
        <f>23.97</f>
        <v>23.97</v>
      </c>
      <c r="AE149" s="54">
        <f>59.97</f>
        <v>59.97</v>
      </c>
      <c r="AF149" s="54">
        <v>60.7</v>
      </c>
      <c r="AG149" s="54">
        <v>60.5</v>
      </c>
      <c r="AH149" s="54">
        <v>62.6</v>
      </c>
      <c r="AI149" s="54">
        <v>80.900000000000006</v>
      </c>
      <c r="AJ149" s="54">
        <v>73</v>
      </c>
      <c r="AK149" s="54">
        <v>0</v>
      </c>
      <c r="AL149" s="177">
        <v>73</v>
      </c>
      <c r="AM149" s="54">
        <v>86.3</v>
      </c>
      <c r="AN149" s="177">
        <v>91</v>
      </c>
      <c r="AO149" s="54">
        <v>85.1</v>
      </c>
      <c r="AP149" s="54">
        <v>90</v>
      </c>
      <c r="AQ149" s="177">
        <v>80</v>
      </c>
      <c r="AR149" s="54">
        <v>80</v>
      </c>
      <c r="AS149" s="177">
        <v>80</v>
      </c>
      <c r="AT149" s="54">
        <v>80</v>
      </c>
      <c r="AU149" s="54">
        <v>80</v>
      </c>
      <c r="AV149" s="10">
        <v>80</v>
      </c>
      <c r="AW149" s="10">
        <v>75.099999999999994</v>
      </c>
      <c r="AX149" s="10">
        <v>75.099999999999994</v>
      </c>
      <c r="AY149" s="10">
        <v>85.5</v>
      </c>
      <c r="AZ149" s="10" t="s">
        <v>175</v>
      </c>
      <c r="BD149" s="24"/>
      <c r="BH149" s="5" t="s">
        <v>252</v>
      </c>
      <c r="BN149" s="10" t="s">
        <v>195</v>
      </c>
      <c r="BO149" s="10" t="s">
        <v>276</v>
      </c>
      <c r="BP149" s="10" t="s">
        <v>348</v>
      </c>
      <c r="BQ149" s="10" t="s">
        <v>282</v>
      </c>
      <c r="BR149" s="10" t="s">
        <v>282</v>
      </c>
      <c r="BS149" s="19" t="s">
        <v>282</v>
      </c>
    </row>
    <row r="150" spans="1:71" x14ac:dyDescent="0.3">
      <c r="B150" s="10" t="s">
        <v>178</v>
      </c>
      <c r="V150" s="55">
        <v>20.6</v>
      </c>
      <c r="X150" s="55">
        <v>19.5</v>
      </c>
      <c r="AH150" s="58"/>
      <c r="AI150" s="58"/>
      <c r="AJ150" s="58"/>
      <c r="AK150" s="58"/>
      <c r="AL150" s="174"/>
      <c r="AM150" s="58"/>
      <c r="AN150" s="174"/>
      <c r="AO150" s="58"/>
      <c r="AP150" s="58"/>
      <c r="AQ150" s="11"/>
      <c r="AR150" s="281"/>
      <c r="AS150" s="306"/>
      <c r="AT150" s="58"/>
      <c r="AU150" s="58"/>
      <c r="AV150" s="11"/>
      <c r="AW150" s="11"/>
      <c r="AX150" s="11"/>
      <c r="AY150" s="11"/>
      <c r="AZ150" s="10" t="s">
        <v>178</v>
      </c>
      <c r="BD150" s="11"/>
    </row>
    <row r="151" spans="1:71" x14ac:dyDescent="0.3">
      <c r="B151" s="10" t="s">
        <v>78</v>
      </c>
      <c r="Y151" s="54">
        <v>0</v>
      </c>
      <c r="Z151" s="54">
        <v>18.5</v>
      </c>
      <c r="AA151" s="56">
        <v>21.8</v>
      </c>
      <c r="AB151" s="54">
        <v>33.9</v>
      </c>
      <c r="AC151" s="54">
        <v>31</v>
      </c>
      <c r="AD151" s="55">
        <v>17.399999999999999</v>
      </c>
      <c r="AE151" s="54">
        <v>6.4</v>
      </c>
      <c r="AF151" s="54">
        <v>2.2999999999999998</v>
      </c>
      <c r="AG151" s="54">
        <v>0</v>
      </c>
      <c r="AI151" s="54"/>
      <c r="AJ151" s="54"/>
      <c r="AK151" s="54"/>
      <c r="AL151" s="177"/>
      <c r="AM151" s="54"/>
      <c r="AN151" s="177"/>
      <c r="AO151" s="54"/>
      <c r="AP151" s="54"/>
      <c r="AQ151" s="177"/>
      <c r="AR151" s="54"/>
      <c r="AS151" s="177"/>
      <c r="AT151" s="54"/>
      <c r="AU151" s="54"/>
      <c r="AZ151" s="10" t="s">
        <v>78</v>
      </c>
      <c r="BO151" s="10" t="s">
        <v>353</v>
      </c>
      <c r="BP151" s="10" t="s">
        <v>349</v>
      </c>
      <c r="BQ151" s="10" t="s">
        <v>282</v>
      </c>
      <c r="BR151" s="10" t="s">
        <v>282</v>
      </c>
      <c r="BS151" s="19" t="s">
        <v>282</v>
      </c>
    </row>
    <row r="152" spans="1:71" x14ac:dyDescent="0.3">
      <c r="B152" s="10" t="s">
        <v>79</v>
      </c>
      <c r="Y152" s="54">
        <v>0</v>
      </c>
      <c r="AA152" s="56">
        <v>4.8</v>
      </c>
      <c r="AB152" s="54">
        <v>4.9000000000000004</v>
      </c>
      <c r="AC152" s="54">
        <v>6.3</v>
      </c>
      <c r="AD152" s="55">
        <v>4.8</v>
      </c>
      <c r="AE152" s="54">
        <v>2.8</v>
      </c>
      <c r="AF152" s="54">
        <v>2.5</v>
      </c>
      <c r="AG152" s="54">
        <v>0</v>
      </c>
      <c r="AH152" s="54">
        <v>0</v>
      </c>
      <c r="AI152" s="54"/>
      <c r="AJ152" s="54"/>
      <c r="AK152" s="54"/>
      <c r="AL152" s="177"/>
      <c r="AM152" s="54"/>
      <c r="AN152" s="177"/>
      <c r="AO152" s="54"/>
      <c r="AP152" s="54"/>
      <c r="AQ152" s="10">
        <v>17.399999999999999</v>
      </c>
      <c r="AR152" s="267"/>
      <c r="AS152" s="305"/>
      <c r="AT152" s="54"/>
      <c r="AU152" s="54"/>
      <c r="AZ152" s="10" t="s">
        <v>415</v>
      </c>
      <c r="BO152" s="10" t="s">
        <v>351</v>
      </c>
      <c r="BP152" s="10" t="s">
        <v>350</v>
      </c>
      <c r="BQ152" s="10" t="s">
        <v>282</v>
      </c>
      <c r="BR152" s="10" t="s">
        <v>282</v>
      </c>
      <c r="BS152" s="19" t="s">
        <v>282</v>
      </c>
    </row>
    <row r="153" spans="1:71" x14ac:dyDescent="0.3">
      <c r="B153" s="10" t="str">
        <f>AZ153</f>
        <v>Materials Protection Accounting and Control Technology</v>
      </c>
      <c r="AI153" s="54"/>
      <c r="AJ153" s="54"/>
      <c r="AK153" s="54"/>
      <c r="AL153" s="177"/>
      <c r="AM153" s="54"/>
      <c r="AN153" s="177"/>
      <c r="AO153" s="54"/>
      <c r="AP153" s="54"/>
      <c r="AQ153" s="177">
        <v>7.1</v>
      </c>
      <c r="AR153" s="54"/>
      <c r="AS153" s="177"/>
      <c r="AT153" s="54"/>
      <c r="AU153" s="54"/>
      <c r="AZ153" s="5" t="s">
        <v>418</v>
      </c>
      <c r="BA153" s="5"/>
    </row>
    <row r="154" spans="1:71" x14ac:dyDescent="0.3">
      <c r="B154" s="10" t="s">
        <v>170</v>
      </c>
      <c r="AA154" s="56">
        <v>0</v>
      </c>
      <c r="AB154" s="54">
        <v>7.48</v>
      </c>
      <c r="AC154" s="54">
        <v>11.9</v>
      </c>
      <c r="AD154" s="55">
        <v>31.58</v>
      </c>
      <c r="AE154" s="54">
        <v>19.399999999999999</v>
      </c>
      <c r="AF154" s="54">
        <v>49.6</v>
      </c>
      <c r="AG154" s="54">
        <v>65.3</v>
      </c>
      <c r="AH154" s="54">
        <v>80.3</v>
      </c>
      <c r="AI154" s="54">
        <v>133.80000000000001</v>
      </c>
      <c r="AJ154" s="54">
        <v>177.5</v>
      </c>
      <c r="AK154" s="54">
        <v>0</v>
      </c>
      <c r="AL154" s="179">
        <v>102</v>
      </c>
      <c r="AM154" s="70"/>
      <c r="AN154" s="179"/>
      <c r="AO154" s="70"/>
      <c r="AP154" s="70"/>
      <c r="AQ154" s="202"/>
      <c r="AR154" s="203"/>
      <c r="AS154" s="202"/>
      <c r="AT154" s="70"/>
      <c r="AU154" s="70"/>
      <c r="AV154" s="53"/>
      <c r="AW154" s="53"/>
      <c r="AX154" s="53"/>
      <c r="AY154" s="53"/>
      <c r="AZ154" s="10" t="s">
        <v>43</v>
      </c>
      <c r="BO154" s="10" t="s">
        <v>352</v>
      </c>
      <c r="BP154" s="10" t="s">
        <v>331</v>
      </c>
      <c r="BQ154" s="10" t="s">
        <v>282</v>
      </c>
      <c r="BR154" s="10" t="s">
        <v>282</v>
      </c>
      <c r="BS154" s="19" t="s">
        <v>282</v>
      </c>
    </row>
    <row r="155" spans="1:71" x14ac:dyDescent="0.3">
      <c r="B155" s="10" t="s">
        <v>80</v>
      </c>
      <c r="AD155" s="55">
        <v>16.940000000000001</v>
      </c>
      <c r="AE155" s="54">
        <v>27</v>
      </c>
      <c r="AF155" s="54">
        <v>38.799999999999997</v>
      </c>
      <c r="AG155" s="54">
        <v>53.3</v>
      </c>
      <c r="AH155" s="54">
        <v>35.200000000000003</v>
      </c>
      <c r="AI155" s="54">
        <v>113.7</v>
      </c>
      <c r="AJ155" s="70">
        <v>178.6</v>
      </c>
      <c r="AK155" s="54">
        <v>0</v>
      </c>
      <c r="AL155" s="179">
        <v>212.9</v>
      </c>
      <c r="AM155" s="70">
        <v>0</v>
      </c>
      <c r="AN155" s="179">
        <v>0</v>
      </c>
      <c r="AO155" s="70">
        <v>0</v>
      </c>
      <c r="AP155" s="70">
        <v>0</v>
      </c>
      <c r="AQ155" s="261">
        <v>0</v>
      </c>
      <c r="AR155" s="70">
        <v>0</v>
      </c>
      <c r="AS155" s="179">
        <v>0</v>
      </c>
      <c r="AT155" s="70">
        <v>0</v>
      </c>
      <c r="AU155" s="70">
        <v>0</v>
      </c>
      <c r="AV155" s="53">
        <v>0</v>
      </c>
      <c r="AW155" s="53">
        <v>0</v>
      </c>
      <c r="AX155" s="53">
        <v>0</v>
      </c>
      <c r="AY155" s="53">
        <v>0</v>
      </c>
      <c r="AZ155" s="10" t="s">
        <v>127</v>
      </c>
      <c r="BO155" s="10" t="s">
        <v>265</v>
      </c>
      <c r="BP155" s="10" t="s">
        <v>332</v>
      </c>
      <c r="BQ155" s="10" t="s">
        <v>282</v>
      </c>
      <c r="BR155" s="10" t="s">
        <v>282</v>
      </c>
      <c r="BS155" s="19" t="s">
        <v>282</v>
      </c>
    </row>
    <row r="156" spans="1:71" x14ac:dyDescent="0.3">
      <c r="B156" s="10" t="s">
        <v>81</v>
      </c>
      <c r="AD156" s="55">
        <v>2</v>
      </c>
      <c r="AE156" s="54">
        <v>6.2</v>
      </c>
      <c r="AF156" s="54">
        <v>8.6999999999999993</v>
      </c>
      <c r="AG156" s="54">
        <v>24.8</v>
      </c>
      <c r="AH156" s="54">
        <v>18.899999999999999</v>
      </c>
      <c r="AI156" s="54">
        <v>9.6999999999999993</v>
      </c>
      <c r="AJ156" s="54">
        <v>7.3</v>
      </c>
      <c r="AK156" s="54">
        <v>0</v>
      </c>
      <c r="AL156" s="179">
        <v>0</v>
      </c>
      <c r="AM156" s="70">
        <v>0</v>
      </c>
      <c r="AN156" s="179">
        <v>0</v>
      </c>
      <c r="AO156" s="70"/>
      <c r="AP156" s="203"/>
      <c r="AQ156" s="53"/>
      <c r="AR156" s="264"/>
      <c r="AS156" s="307"/>
      <c r="AT156" s="70"/>
      <c r="AU156" s="70"/>
      <c r="AV156" s="53"/>
      <c r="AW156" s="53"/>
      <c r="AX156" s="53"/>
      <c r="AY156" s="53"/>
      <c r="AZ156" s="10" t="s">
        <v>81</v>
      </c>
      <c r="BO156" s="10" t="s">
        <v>237</v>
      </c>
      <c r="BP156" s="10" t="s">
        <v>333</v>
      </c>
      <c r="BQ156" s="10" t="s">
        <v>282</v>
      </c>
      <c r="BR156" s="10" t="s">
        <v>282</v>
      </c>
      <c r="BS156" s="19" t="s">
        <v>282</v>
      </c>
    </row>
    <row r="157" spans="1:71" s="4" customFormat="1" x14ac:dyDescent="0.3">
      <c r="A157" s="40"/>
      <c r="B157" s="15" t="s">
        <v>305</v>
      </c>
      <c r="C157" s="15"/>
      <c r="D157" s="15"/>
      <c r="E157" s="63"/>
      <c r="F157" s="63"/>
      <c r="G157" s="63"/>
      <c r="H157" s="63"/>
      <c r="I157" s="63"/>
      <c r="J157" s="63"/>
      <c r="K157" s="63"/>
      <c r="L157" s="63"/>
      <c r="M157" s="63"/>
      <c r="N157" s="63"/>
      <c r="O157" s="63"/>
      <c r="P157" s="63"/>
      <c r="Q157" s="63"/>
      <c r="R157" s="63"/>
      <c r="S157" s="63"/>
      <c r="T157" s="63"/>
      <c r="U157" s="57"/>
      <c r="V157" s="57"/>
      <c r="W157" s="63"/>
      <c r="X157" s="57"/>
      <c r="Y157" s="63"/>
      <c r="Z157" s="63"/>
      <c r="AA157" s="62"/>
      <c r="AB157" s="63"/>
      <c r="AC157" s="63">
        <v>77.2</v>
      </c>
      <c r="AD157" s="57">
        <v>57.3</v>
      </c>
      <c r="AE157" s="63">
        <v>66.7</v>
      </c>
      <c r="AF157" s="63">
        <v>66.400000000000006</v>
      </c>
      <c r="AG157" s="63">
        <v>78.400000000000006</v>
      </c>
      <c r="AH157" s="63">
        <v>166.1</v>
      </c>
      <c r="AI157" s="127">
        <v>178</v>
      </c>
      <c r="AJ157" s="127"/>
      <c r="AK157" s="63">
        <v>0</v>
      </c>
      <c r="AL157" s="183">
        <v>0</v>
      </c>
      <c r="AM157" s="127"/>
      <c r="AN157" s="183"/>
      <c r="AO157" s="127"/>
      <c r="AP157" s="127"/>
      <c r="AQ157" s="183">
        <f>58.1+5.3</f>
        <v>63.4</v>
      </c>
      <c r="AR157" s="127"/>
      <c r="AS157" s="183"/>
      <c r="AT157" s="127"/>
      <c r="AU157" s="127"/>
      <c r="AV157" s="249"/>
      <c r="AW157" s="249"/>
      <c r="AX157" s="249"/>
      <c r="AY157" s="249"/>
      <c r="AZ157" s="25" t="s">
        <v>417</v>
      </c>
      <c r="BA157" s="15"/>
      <c r="BB157" s="15"/>
      <c r="BC157" s="15"/>
      <c r="BD157" s="15"/>
      <c r="BE157" s="15"/>
      <c r="BF157" s="15"/>
      <c r="BG157" s="5"/>
      <c r="BH157" s="5"/>
      <c r="BI157" s="10"/>
      <c r="BJ157" s="10"/>
      <c r="BK157" s="10"/>
      <c r="BL157" s="10"/>
      <c r="BM157" s="10"/>
      <c r="BN157" s="10"/>
      <c r="BO157" s="10" t="s">
        <v>304</v>
      </c>
      <c r="BP157" s="10" t="s">
        <v>314</v>
      </c>
      <c r="BQ157" s="10" t="s">
        <v>282</v>
      </c>
      <c r="BR157" s="10" t="s">
        <v>282</v>
      </c>
      <c r="BS157" s="19" t="s">
        <v>282</v>
      </c>
    </row>
    <row r="158" spans="1:71" s="4" customFormat="1" x14ac:dyDescent="0.3">
      <c r="A158" s="40"/>
      <c r="B158" s="25" t="s">
        <v>128</v>
      </c>
      <c r="C158" s="15"/>
      <c r="D158" s="15"/>
      <c r="E158" s="63"/>
      <c r="F158" s="63"/>
      <c r="G158" s="63"/>
      <c r="H158" s="63"/>
      <c r="I158" s="63"/>
      <c r="J158" s="63"/>
      <c r="K158" s="63"/>
      <c r="L158" s="63"/>
      <c r="M158" s="63"/>
      <c r="N158" s="63"/>
      <c r="O158" s="63"/>
      <c r="P158" s="63"/>
      <c r="Q158" s="63"/>
      <c r="R158" s="63"/>
      <c r="S158" s="63"/>
      <c r="T158" s="63"/>
      <c r="U158" s="57"/>
      <c r="V158" s="57"/>
      <c r="W158" s="63"/>
      <c r="X158" s="57"/>
      <c r="Y158" s="63"/>
      <c r="Z158" s="63"/>
      <c r="AA158" s="62"/>
      <c r="AB158" s="63"/>
      <c r="AC158" s="63"/>
      <c r="AD158" s="57"/>
      <c r="AE158" s="63"/>
      <c r="AF158" s="63"/>
      <c r="AG158" s="63"/>
      <c r="AH158" s="63"/>
      <c r="AI158" s="127"/>
      <c r="AJ158" s="127">
        <v>142.69999999999999</v>
      </c>
      <c r="AK158" s="63">
        <v>0</v>
      </c>
      <c r="AL158" s="183">
        <v>132</v>
      </c>
      <c r="AM158" s="127">
        <v>182.4</v>
      </c>
      <c r="AN158" s="183">
        <v>181</v>
      </c>
      <c r="AO158" s="127">
        <v>169.9</v>
      </c>
      <c r="AP158" s="127">
        <v>186.2</v>
      </c>
      <c r="AQ158" s="249">
        <v>33.200000000000003</v>
      </c>
      <c r="AR158" s="282">
        <v>203.8</v>
      </c>
      <c r="AS158" s="308">
        <v>207.5</v>
      </c>
      <c r="AT158" s="127">
        <v>260.10000000000002</v>
      </c>
      <c r="AU158" s="127">
        <v>264</v>
      </c>
      <c r="AV158" s="249">
        <v>305.10000000000002</v>
      </c>
      <c r="AW158" s="249">
        <v>309.3</v>
      </c>
      <c r="AX158" s="249">
        <v>309.3</v>
      </c>
      <c r="AY158" s="249">
        <v>421.8</v>
      </c>
      <c r="AZ158" s="25" t="s">
        <v>216</v>
      </c>
      <c r="BA158" s="15"/>
      <c r="BB158" s="15"/>
      <c r="BC158" s="15"/>
      <c r="BD158" s="15"/>
      <c r="BE158" s="15"/>
      <c r="BF158" s="15"/>
      <c r="BG158" s="5"/>
      <c r="BH158" s="5"/>
      <c r="BI158" s="10"/>
      <c r="BJ158" s="10"/>
      <c r="BK158" s="10"/>
      <c r="BL158" s="10"/>
      <c r="BM158" s="10"/>
      <c r="BN158" s="10"/>
      <c r="BO158" s="10"/>
      <c r="BP158" s="10"/>
      <c r="BQ158" s="10"/>
      <c r="BR158" s="10"/>
      <c r="BS158" s="19"/>
    </row>
    <row r="159" spans="1:71" s="4" customFormat="1" x14ac:dyDescent="0.3">
      <c r="A159" s="40"/>
      <c r="B159" s="25"/>
      <c r="C159" s="15"/>
      <c r="D159" s="15"/>
      <c r="E159" s="63"/>
      <c r="F159" s="63"/>
      <c r="G159" s="63"/>
      <c r="H159" s="63"/>
      <c r="I159" s="63"/>
      <c r="J159" s="63"/>
      <c r="K159" s="63"/>
      <c r="L159" s="63"/>
      <c r="M159" s="63"/>
      <c r="N159" s="63"/>
      <c r="O159" s="63"/>
      <c r="P159" s="63"/>
      <c r="Q159" s="63"/>
      <c r="R159" s="63"/>
      <c r="S159" s="63"/>
      <c r="T159" s="63"/>
      <c r="U159" s="57"/>
      <c r="V159" s="57"/>
      <c r="W159" s="63"/>
      <c r="X159" s="57"/>
      <c r="Y159" s="63"/>
      <c r="Z159" s="63"/>
      <c r="AA159" s="62"/>
      <c r="AB159" s="63"/>
      <c r="AC159" s="63"/>
      <c r="AD159" s="57"/>
      <c r="AE159" s="63"/>
      <c r="AF159" s="63"/>
      <c r="AG159" s="63"/>
      <c r="AH159" s="63"/>
      <c r="AI159" s="127"/>
      <c r="AJ159" s="127"/>
      <c r="AK159" s="63"/>
      <c r="AL159" s="183"/>
      <c r="AM159" s="127">
        <v>50.9</v>
      </c>
      <c r="AN159" s="183">
        <v>71.3</v>
      </c>
      <c r="AO159" s="127">
        <v>67.900000000000006</v>
      </c>
      <c r="AP159" s="127">
        <v>71.099999999999994</v>
      </c>
      <c r="AQ159" s="249">
        <f>97.7+4.8</f>
        <v>102.5</v>
      </c>
      <c r="AR159" s="282">
        <f>111.6+5</f>
        <v>116.6</v>
      </c>
      <c r="AS159" s="308">
        <f>115.1+5</f>
        <v>120.1</v>
      </c>
      <c r="AT159" s="127">
        <f>159+5</f>
        <v>164</v>
      </c>
      <c r="AU159" s="127">
        <f>152.6+5</f>
        <v>157.6</v>
      </c>
      <c r="AV159" s="249">
        <f>113.5+5</f>
        <v>118.5</v>
      </c>
      <c r="AW159" s="249">
        <f>122.9+5</f>
        <v>127.9</v>
      </c>
      <c r="AX159" s="249">
        <f>122.9+5</f>
        <v>127.9</v>
      </c>
      <c r="AY159" s="249">
        <f>102.7</f>
        <v>102.7</v>
      </c>
      <c r="AZ159" s="25" t="s">
        <v>408</v>
      </c>
      <c r="BA159" s="15"/>
      <c r="BB159" s="15"/>
      <c r="BC159" s="15"/>
      <c r="BD159" s="15"/>
      <c r="BE159" s="15"/>
      <c r="BF159" s="15"/>
      <c r="BG159" s="5"/>
      <c r="BH159" s="5"/>
      <c r="BI159" s="10"/>
      <c r="BJ159" s="10"/>
      <c r="BK159" s="10"/>
      <c r="BL159" s="10"/>
      <c r="BM159" s="10"/>
      <c r="BN159" s="10"/>
      <c r="BO159" s="10"/>
      <c r="BP159" s="10"/>
      <c r="BQ159" s="10"/>
      <c r="BR159" s="10"/>
      <c r="BS159" s="19"/>
    </row>
    <row r="160" spans="1:71" s="4" customFormat="1" x14ac:dyDescent="0.3">
      <c r="A160" s="40"/>
      <c r="B160" s="25"/>
      <c r="C160" s="15"/>
      <c r="D160" s="15"/>
      <c r="E160" s="63"/>
      <c r="F160" s="63"/>
      <c r="G160" s="63"/>
      <c r="H160" s="63"/>
      <c r="I160" s="63"/>
      <c r="J160" s="63"/>
      <c r="K160" s="63"/>
      <c r="L160" s="63"/>
      <c r="M160" s="63"/>
      <c r="N160" s="63"/>
      <c r="O160" s="63"/>
      <c r="P160" s="63"/>
      <c r="Q160" s="63"/>
      <c r="R160" s="63"/>
      <c r="S160" s="63"/>
      <c r="T160" s="63"/>
      <c r="U160" s="57"/>
      <c r="V160" s="57"/>
      <c r="W160" s="63"/>
      <c r="X160" s="57"/>
      <c r="Y160" s="63"/>
      <c r="Z160" s="63"/>
      <c r="AA160" s="62"/>
      <c r="AB160" s="63"/>
      <c r="AC160" s="63"/>
      <c r="AD160" s="57"/>
      <c r="AE160" s="63"/>
      <c r="AF160" s="63"/>
      <c r="AG160" s="63"/>
      <c r="AH160" s="63"/>
      <c r="AI160" s="127"/>
      <c r="AJ160" s="127"/>
      <c r="AK160" s="63"/>
      <c r="AL160" s="183"/>
      <c r="AM160" s="127">
        <v>164.7</v>
      </c>
      <c r="AN160" s="183">
        <v>110.7</v>
      </c>
      <c r="AO160" s="127">
        <v>104.8</v>
      </c>
      <c r="AP160" s="127">
        <v>112.8</v>
      </c>
      <c r="AQ160" s="183">
        <v>128.6</v>
      </c>
      <c r="AR160" s="127">
        <v>141.69999999999999</v>
      </c>
      <c r="AS160" s="183">
        <v>132</v>
      </c>
      <c r="AT160" s="127">
        <v>237</v>
      </c>
      <c r="AU160" s="127">
        <v>323.5</v>
      </c>
      <c r="AV160" s="249">
        <v>267</v>
      </c>
      <c r="AW160" s="249">
        <v>208</v>
      </c>
      <c r="AX160" s="249">
        <v>208</v>
      </c>
      <c r="AY160" s="249">
        <v>135</v>
      </c>
      <c r="AZ160" s="25" t="s">
        <v>434</v>
      </c>
      <c r="BA160" s="15"/>
      <c r="BB160" s="15"/>
      <c r="BC160" s="15"/>
      <c r="BD160" s="15"/>
      <c r="BE160" s="15"/>
      <c r="BF160" s="15"/>
      <c r="BG160" s="5"/>
      <c r="BH160" s="5"/>
      <c r="BI160" s="10"/>
      <c r="BJ160" s="10"/>
      <c r="BK160" s="10"/>
      <c r="BL160" s="10"/>
      <c r="BM160" s="10"/>
      <c r="BN160" s="10"/>
      <c r="BO160" s="10"/>
      <c r="BP160" s="10"/>
      <c r="BQ160" s="10"/>
      <c r="BR160" s="10"/>
      <c r="BS160" s="19"/>
    </row>
    <row r="161" spans="1:86" s="4" customFormat="1" x14ac:dyDescent="0.3">
      <c r="A161" s="40"/>
      <c r="B161" s="25"/>
      <c r="C161" s="15"/>
      <c r="D161" s="15"/>
      <c r="E161" s="63"/>
      <c r="F161" s="63"/>
      <c r="G161" s="63"/>
      <c r="H161" s="63"/>
      <c r="I161" s="63"/>
      <c r="J161" s="63"/>
      <c r="K161" s="63"/>
      <c r="L161" s="63"/>
      <c r="M161" s="63"/>
      <c r="N161" s="63"/>
      <c r="O161" s="63"/>
      <c r="P161" s="63"/>
      <c r="Q161" s="63"/>
      <c r="R161" s="63"/>
      <c r="S161" s="63"/>
      <c r="T161" s="63"/>
      <c r="U161" s="57"/>
      <c r="V161" s="57"/>
      <c r="W161" s="63"/>
      <c r="X161" s="57"/>
      <c r="Y161" s="63"/>
      <c r="Z161" s="63"/>
      <c r="AA161" s="62"/>
      <c r="AB161" s="63"/>
      <c r="AC161" s="63"/>
      <c r="AD161" s="57"/>
      <c r="AE161" s="63"/>
      <c r="AF161" s="63"/>
      <c r="AG161" s="63"/>
      <c r="AH161" s="63"/>
      <c r="AI161" s="127"/>
      <c r="AJ161" s="127"/>
      <c r="AK161" s="63"/>
      <c r="AL161" s="183"/>
      <c r="AM161" s="127"/>
      <c r="AN161" s="183"/>
      <c r="AO161" s="127"/>
      <c r="AP161" s="127"/>
      <c r="AQ161" s="183"/>
      <c r="AR161" s="127"/>
      <c r="AS161" s="183"/>
      <c r="AT161" s="127"/>
      <c r="AU161" s="127"/>
      <c r="AV161" s="249">
        <v>230</v>
      </c>
      <c r="AW161" s="249">
        <f>250+45</f>
        <v>295</v>
      </c>
      <c r="AX161" s="249">
        <f>250+45</f>
        <v>295</v>
      </c>
      <c r="AY161" s="249">
        <f>230.2+45</f>
        <v>275.2</v>
      </c>
      <c r="AZ161" s="25" t="s">
        <v>464</v>
      </c>
      <c r="BA161" s="15"/>
      <c r="BB161" s="15"/>
      <c r="BC161" s="15"/>
      <c r="BD161" s="15"/>
      <c r="BE161" s="15"/>
      <c r="BF161" s="15"/>
      <c r="BG161" s="5"/>
      <c r="BH161" s="5"/>
      <c r="BI161" s="10"/>
      <c r="BJ161" s="10"/>
      <c r="BK161" s="10"/>
      <c r="BL161" s="10"/>
      <c r="BM161" s="10"/>
      <c r="BN161" s="10"/>
      <c r="BO161" s="10"/>
      <c r="BP161" s="10"/>
      <c r="BQ161" s="10"/>
      <c r="BR161" s="10"/>
      <c r="BS161" s="19"/>
    </row>
    <row r="162" spans="1:86" s="4" customFormat="1" x14ac:dyDescent="0.3">
      <c r="A162" s="40"/>
      <c r="B162" s="25"/>
      <c r="C162" s="15"/>
      <c r="D162" s="15"/>
      <c r="E162" s="63"/>
      <c r="F162" s="63"/>
      <c r="G162" s="63"/>
      <c r="H162" s="63"/>
      <c r="I162" s="63"/>
      <c r="J162" s="63"/>
      <c r="K162" s="63"/>
      <c r="L162" s="63"/>
      <c r="M162" s="63"/>
      <c r="N162" s="63"/>
      <c r="O162" s="63"/>
      <c r="P162" s="63"/>
      <c r="Q162" s="63"/>
      <c r="R162" s="63"/>
      <c r="S162" s="63"/>
      <c r="T162" s="63"/>
      <c r="U162" s="57"/>
      <c r="V162" s="57"/>
      <c r="W162" s="63"/>
      <c r="X162" s="57"/>
      <c r="Y162" s="63"/>
      <c r="Z162" s="63"/>
      <c r="AA162" s="62"/>
      <c r="AB162" s="63"/>
      <c r="AC162" s="63"/>
      <c r="AD162" s="57"/>
      <c r="AE162" s="63"/>
      <c r="AF162" s="63"/>
      <c r="AG162" s="63"/>
      <c r="AH162" s="63"/>
      <c r="AI162" s="127"/>
      <c r="AJ162" s="127"/>
      <c r="AK162" s="63"/>
      <c r="AL162" s="183">
        <v>0</v>
      </c>
      <c r="AM162" s="127">
        <v>3</v>
      </c>
      <c r="AN162" s="183">
        <v>3</v>
      </c>
      <c r="AO162" s="127">
        <v>3</v>
      </c>
      <c r="AP162" s="127">
        <v>2.5</v>
      </c>
      <c r="AQ162" s="183">
        <v>3</v>
      </c>
      <c r="AR162" s="127">
        <v>3</v>
      </c>
      <c r="AS162" s="183">
        <v>3</v>
      </c>
      <c r="AT162" s="127">
        <v>3</v>
      </c>
      <c r="AU162" s="127">
        <v>3</v>
      </c>
      <c r="AV162" s="249">
        <v>0</v>
      </c>
      <c r="AW162" s="249">
        <v>0</v>
      </c>
      <c r="AX162" s="249">
        <v>0</v>
      </c>
      <c r="AY162" s="249">
        <v>3</v>
      </c>
      <c r="AZ162" s="25" t="s">
        <v>217</v>
      </c>
      <c r="BA162" s="15"/>
      <c r="BB162" s="15"/>
      <c r="BC162" s="15"/>
      <c r="BD162" s="15"/>
      <c r="BE162" s="15"/>
      <c r="BF162" s="15"/>
      <c r="BG162" s="5"/>
      <c r="BH162" s="5"/>
      <c r="BI162" s="10"/>
      <c r="BJ162" s="10"/>
      <c r="BK162" s="10"/>
      <c r="BL162" s="10"/>
      <c r="BM162" s="10"/>
      <c r="BN162" s="10"/>
      <c r="BO162" s="10"/>
      <c r="BP162" s="10"/>
      <c r="BQ162" s="10"/>
      <c r="BR162" s="10"/>
      <c r="BS162" s="19"/>
    </row>
    <row r="163" spans="1:86" s="4" customFormat="1" x14ac:dyDescent="0.3">
      <c r="A163" s="40"/>
      <c r="B163" s="25" t="s">
        <v>253</v>
      </c>
      <c r="C163" s="15"/>
      <c r="D163" s="15"/>
      <c r="E163" s="63"/>
      <c r="F163" s="63"/>
      <c r="G163" s="63"/>
      <c r="H163" s="63"/>
      <c r="I163" s="63"/>
      <c r="J163" s="63"/>
      <c r="K163" s="63"/>
      <c r="L163" s="63"/>
      <c r="M163" s="63"/>
      <c r="N163" s="63"/>
      <c r="O163" s="63"/>
      <c r="P163" s="63"/>
      <c r="Q163" s="63"/>
      <c r="R163" s="63"/>
      <c r="S163" s="63"/>
      <c r="T163" s="63"/>
      <c r="U163" s="57"/>
      <c r="V163" s="57"/>
      <c r="W163" s="63"/>
      <c r="X163" s="57"/>
      <c r="Y163" s="63"/>
      <c r="Z163" s="63"/>
      <c r="AA163" s="62"/>
      <c r="AB163" s="63"/>
      <c r="AC163" s="63"/>
      <c r="AD163" s="57"/>
      <c r="AE163" s="63"/>
      <c r="AF163" s="63"/>
      <c r="AG163" s="63"/>
      <c r="AH163" s="63"/>
      <c r="AI163" s="63"/>
      <c r="AJ163" s="63">
        <v>2.9</v>
      </c>
      <c r="AK163" s="63"/>
      <c r="AL163" s="184">
        <v>2.5</v>
      </c>
      <c r="AM163" s="63"/>
      <c r="AN163" s="184"/>
      <c r="AO163" s="63"/>
      <c r="AP163" s="63"/>
      <c r="AQ163" s="15"/>
      <c r="AR163" s="283"/>
      <c r="AS163" s="309"/>
      <c r="AT163" s="63"/>
      <c r="AU163" s="63"/>
      <c r="AV163" s="15"/>
      <c r="AW163" s="15"/>
      <c r="AX163" s="15"/>
      <c r="AY163" s="15"/>
      <c r="AZ163" s="25" t="s">
        <v>253</v>
      </c>
      <c r="BA163" s="15"/>
      <c r="BB163" s="15"/>
      <c r="BC163" s="15"/>
      <c r="BD163" s="15"/>
      <c r="BE163" s="15"/>
      <c r="BF163" s="15"/>
      <c r="BG163" s="5"/>
      <c r="BH163" s="5"/>
      <c r="BI163" s="10"/>
      <c r="BJ163" s="10"/>
      <c r="BK163" s="10"/>
      <c r="BL163" s="10"/>
      <c r="BM163" s="10"/>
      <c r="BN163" s="10"/>
      <c r="BO163" s="10"/>
      <c r="BP163" s="10"/>
      <c r="BQ163" s="10"/>
      <c r="BR163" s="10"/>
      <c r="BS163" s="19"/>
    </row>
    <row r="164" spans="1:86" x14ac:dyDescent="0.3">
      <c r="B164" s="10" t="s">
        <v>177</v>
      </c>
      <c r="E164" s="54">
        <v>0</v>
      </c>
      <c r="F164" s="54">
        <v>0</v>
      </c>
      <c r="G164" s="54">
        <v>0</v>
      </c>
      <c r="H164" s="54">
        <v>0</v>
      </c>
      <c r="I164" s="54">
        <v>0</v>
      </c>
      <c r="J164" s="54">
        <v>0</v>
      </c>
      <c r="K164" s="54">
        <v>0</v>
      </c>
      <c r="L164" s="54">
        <v>0</v>
      </c>
      <c r="M164" s="54">
        <v>0</v>
      </c>
      <c r="N164" s="54">
        <v>0</v>
      </c>
      <c r="O164" s="54">
        <v>0</v>
      </c>
      <c r="P164" s="54">
        <v>0</v>
      </c>
      <c r="Q164" s="54">
        <v>0</v>
      </c>
      <c r="R164" s="54">
        <v>0</v>
      </c>
      <c r="S164" s="54">
        <v>0</v>
      </c>
      <c r="T164" s="54">
        <v>0</v>
      </c>
      <c r="U164" s="55">
        <f>U166*((SUM(U140:U157)-U149+U165)/362)</f>
        <v>-8.6924900282684288</v>
      </c>
      <c r="V164" s="55">
        <f>V166*((SUM(V140:V157)-V149+V165)/178)</f>
        <v>-2.9935031743707015</v>
      </c>
      <c r="W164" s="55">
        <f>W166*((SUM(W140:W157)-W149+W165)/229)</f>
        <v>-0.98246000872073735</v>
      </c>
      <c r="X164" s="55">
        <f>X166*((SUM(X140:X157)-X149+X165)/229)</f>
        <v>-0.86745487963320977</v>
      </c>
      <c r="Y164" s="55">
        <f>Y166*((SUM(Y140:Y157)-Y149+Y165)/238.3)</f>
        <v>-5.8027034105657523E-2</v>
      </c>
      <c r="Z164" s="55">
        <f>Z166*((SUM(Z140:Z157)-Z149+Z165)/284.6)</f>
        <v>-0.6195763530474403</v>
      </c>
      <c r="AA164" s="55">
        <f>AA166*((SUM(AA140:AA157)-AA149+AA165)/285.5)</f>
        <v>-0.28496754702629423</v>
      </c>
      <c r="AB164" s="55">
        <f>AB166*((SUM(AB140:AB157)-AB149+AB165)/244.2)</f>
        <v>-0.12999223257208517</v>
      </c>
      <c r="AC164" s="55">
        <f>AC166*((SUM(AC140:AC157)-AC149+AC165)/367)</f>
        <v>0</v>
      </c>
      <c r="AD164" s="135">
        <f t="shared" ref="AD164:AR164" si="46">AD166*((SUM(AD140:AD163)-AD149+AD165)/658)</f>
        <v>-0.19551969501828864</v>
      </c>
      <c r="AE164" s="55">
        <f t="shared" si="46"/>
        <v>0</v>
      </c>
      <c r="AF164" s="55">
        <f t="shared" si="46"/>
        <v>0</v>
      </c>
      <c r="AG164" s="55">
        <f t="shared" si="46"/>
        <v>0</v>
      </c>
      <c r="AH164" s="55">
        <f t="shared" si="46"/>
        <v>0</v>
      </c>
      <c r="AI164" s="55">
        <f t="shared" si="46"/>
        <v>0</v>
      </c>
      <c r="AJ164" s="135">
        <f t="shared" si="46"/>
        <v>-4.3000906781201511</v>
      </c>
      <c r="AK164" s="55">
        <f t="shared" si="46"/>
        <v>0</v>
      </c>
      <c r="AL164" s="233">
        <f t="shared" si="46"/>
        <v>2.1303342953916609</v>
      </c>
      <c r="AM164" s="233">
        <f t="shared" si="46"/>
        <v>-3.3249859575912026</v>
      </c>
      <c r="AN164" s="233">
        <f t="shared" si="46"/>
        <v>6.0490453566264355</v>
      </c>
      <c r="AO164" s="233">
        <f t="shared" si="46"/>
        <v>0</v>
      </c>
      <c r="AP164" s="233">
        <f t="shared" si="46"/>
        <v>-4.1270614938082852</v>
      </c>
      <c r="AQ164" s="233">
        <f t="shared" si="46"/>
        <v>-64.183318808280944</v>
      </c>
      <c r="AR164" s="135">
        <f t="shared" si="46"/>
        <v>0</v>
      </c>
      <c r="AS164" s="233">
        <v>-10</v>
      </c>
      <c r="AT164" s="135">
        <v>-9.9</v>
      </c>
      <c r="AU164" s="135">
        <v>0</v>
      </c>
      <c r="AV164" s="316">
        <v>0</v>
      </c>
      <c r="AW164" s="316">
        <v>0</v>
      </c>
      <c r="AX164" s="316">
        <v>0</v>
      </c>
      <c r="AY164" s="316">
        <v>0</v>
      </c>
      <c r="AZ164" s="10" t="s">
        <v>403</v>
      </c>
      <c r="BC164" s="24"/>
      <c r="BH164" s="10" t="s">
        <v>226</v>
      </c>
      <c r="BI164" s="5"/>
      <c r="BJ164" s="5"/>
      <c r="BK164" s="5" t="s">
        <v>138</v>
      </c>
      <c r="BL164" s="5" t="s">
        <v>39</v>
      </c>
      <c r="BM164" s="5"/>
      <c r="BO164" s="10" t="s">
        <v>238</v>
      </c>
      <c r="BP164" s="5" t="s">
        <v>130</v>
      </c>
    </row>
    <row r="165" spans="1:86" x14ac:dyDescent="0.3">
      <c r="B165" s="10" t="s">
        <v>306</v>
      </c>
      <c r="T165" s="54">
        <f>((SUM(T$140:T$157)-T$149)/341.9)*T$149</f>
        <v>30.901930389002626</v>
      </c>
      <c r="U165" s="55">
        <f>((SUM(U$140:U$157)-U$149)/227.3)*U$149</f>
        <v>10.081478222613283</v>
      </c>
      <c r="V165" s="55">
        <f>(((SUM(V$140:V$157)-V$149)/205)*12.88)+(((SUM(V$140:V$157)-V$149)/366)*12.48)</f>
        <v>10.700810235905637</v>
      </c>
      <c r="W165" s="55">
        <f>(((SUM(W$140:W$157)-W$149)/116.6)*5)+(((SUM(W$140:W$157)-W$149)/229)*8)</f>
        <v>3.3149677544997642</v>
      </c>
      <c r="X165" s="55">
        <f>((SUM(X$140:X$157)-X$149)/238.3)*X$149</f>
        <v>3.5797314309693657</v>
      </c>
      <c r="Y165" s="54">
        <f>((SUM(Y$140:Y$157)-Y$149)/215.5)*Y$149</f>
        <v>0.6821345707656612</v>
      </c>
      <c r="Z165" s="70">
        <f>((SUM(Z$140:Z$157)-Z$149)/284.6)*Z$149</f>
        <v>2.5602600140548137</v>
      </c>
      <c r="AA165" s="70">
        <f>((SUM(AA$140:AA$157)-AA$149)/285.5)*AA$149</f>
        <v>4.0488966725043785</v>
      </c>
      <c r="AB165" s="70">
        <f>((SUM(AB$140:AB$157)-AB$149)/244.2)*AB$149</f>
        <v>5.2382063882063896</v>
      </c>
      <c r="AC165" s="70">
        <f>((SUM(AC$140:AC$157)-AC$149)/269)*AC$149</f>
        <v>12.036245353159853</v>
      </c>
      <c r="AD165" s="70">
        <f>((SUM(AD$140:AD$157)-AD$149)/277.3)*AD$149</f>
        <v>12.794949152542372</v>
      </c>
      <c r="AE165" s="70">
        <f>((SUM(AE$140:AE$157)-AE$149)/406.5)*AE$149</f>
        <v>22.350442804428042</v>
      </c>
      <c r="AF165" s="70">
        <f>((SUM(AF150:AF157)+AF143)/521.9)*AF149</f>
        <v>22.342345276872969</v>
      </c>
      <c r="AG165" s="70">
        <f>((SUM(AG150:AG157)+AG143)/566.6)*AG149</f>
        <v>26.534151076597244</v>
      </c>
      <c r="AH165" s="70">
        <f>((SUM(AH150:AH157)+AH143)/(628.5-AH149))*AH149</f>
        <v>35.066619544089065</v>
      </c>
      <c r="AI165" s="70">
        <f>((SUM(AI150:AI157)+AI143)/(960.9-AI149))*AI149</f>
        <v>40.00872727272727</v>
      </c>
      <c r="AJ165" s="70">
        <f>((SUM(AJ150:AJ158)+AJ143)/(792-AJ149))*AJ149</f>
        <v>51.891933240611962</v>
      </c>
      <c r="AK165" s="70">
        <f>((SUM(AK150:AK158)+AK143)/792)*AK149</f>
        <v>0</v>
      </c>
      <c r="AL165" s="179">
        <f>((SUM(AL150:AL158)+AL143)/(786.6-AL149))*AL149</f>
        <v>46.228559417040351</v>
      </c>
      <c r="AM165" s="70">
        <f>((SUM(AM150:AM162)+AM143)/(717.8-AM149))*AM149</f>
        <v>54.800158353127479</v>
      </c>
      <c r="AN165" s="179">
        <f>((SUM(AN150:AN162)+AN143+AN140)/(760.5-AN149))*AN149</f>
        <v>59.533980582524272</v>
      </c>
      <c r="AO165" s="70">
        <f>((SUM(AO150:AO162)+AO143+AO140)/(708.4-AO149))*AO149</f>
        <v>56.428413284132844</v>
      </c>
      <c r="AP165" s="70">
        <f>((SUM(AP150:AP162)+AP143+AP140)/(888.4-AP149))*AP149</f>
        <v>55.021292585170336</v>
      </c>
      <c r="AQ165" s="179">
        <f>((SUM(AQ150:AQ162)+AQ143+AQ140)/(863.4-AQ149))*AQ149</f>
        <v>42.348736277763599</v>
      </c>
      <c r="AR165" s="70">
        <f>((SUM(AR150:AR162)+AR143+AR140)/(986.2-AR149))*AR149</f>
        <v>47.018318252041482</v>
      </c>
      <c r="AS165" s="179">
        <f>((SUM(AS150:AS162)+AS143+AS140)/(1026.6-AS149))*AS149</f>
        <v>47.547010352841752</v>
      </c>
      <c r="AT165" s="70">
        <f>((SUM(AT150:AT162)+AT143+AT140)/(1205.1-AT149))*AT149</f>
        <v>47.576215447515786</v>
      </c>
      <c r="AU165" s="70">
        <f>((SUM(AU150:AU162)+AU143+AU140)/(1326.1-AU149))*AU149</f>
        <v>48.349249658935882</v>
      </c>
      <c r="AV165" s="70">
        <f>((SUM(AV150:AV162)+AV143+AV140)/(824-AV149))*AV149</f>
        <v>99.526881720430111</v>
      </c>
      <c r="AW165" s="70">
        <f>((SUM(AW150:AW162)+AW143+AW140)/(824-AW149))*AW149</f>
        <v>94.785044732274002</v>
      </c>
      <c r="AX165" s="70">
        <f t="shared" ref="AX165:AY165" si="47">((SUM(AX150:AX162)+AX143+AX140)/(824-AX149))*AX149</f>
        <v>94.785044732274002</v>
      </c>
      <c r="AY165" s="70">
        <f t="shared" si="47"/>
        <v>127.20223425863237</v>
      </c>
      <c r="AZ165" s="10" t="s">
        <v>306</v>
      </c>
      <c r="BC165" s="24"/>
      <c r="BH165" s="5" t="s">
        <v>227</v>
      </c>
      <c r="BQ165" s="10" t="s">
        <v>282</v>
      </c>
      <c r="BR165" s="10" t="s">
        <v>282</v>
      </c>
      <c r="BS165" s="19" t="s">
        <v>282</v>
      </c>
    </row>
    <row r="166" spans="1:86" x14ac:dyDescent="0.3">
      <c r="B166" s="10" t="s">
        <v>176</v>
      </c>
      <c r="U166" s="55">
        <v>-28</v>
      </c>
      <c r="V166" s="55">
        <v>-4.4000000000000004</v>
      </c>
      <c r="W166" s="55">
        <v>-4.9000000000000004</v>
      </c>
      <c r="X166" s="55">
        <v>-3.1</v>
      </c>
      <c r="Y166" s="55">
        <v>-1.8</v>
      </c>
      <c r="Z166" s="54">
        <v>-5.5</v>
      </c>
      <c r="AA166" s="56">
        <v>-1.6</v>
      </c>
      <c r="AB166" s="54">
        <v>-0.5</v>
      </c>
      <c r="AC166" s="54">
        <v>0</v>
      </c>
      <c r="AD166" s="54">
        <v>-0.8</v>
      </c>
      <c r="AE166" s="54">
        <v>0</v>
      </c>
      <c r="AF166" s="54">
        <v>0</v>
      </c>
      <c r="AG166" s="54">
        <v>0</v>
      </c>
      <c r="AH166" s="54">
        <v>0</v>
      </c>
      <c r="AI166" s="54">
        <v>0</v>
      </c>
      <c r="AJ166" s="70">
        <v>-5</v>
      </c>
      <c r="AK166" s="54">
        <v>0</v>
      </c>
      <c r="AL166" s="177">
        <v>2.8</v>
      </c>
      <c r="AM166" s="70">
        <v>-4.8</v>
      </c>
      <c r="AN166" s="177">
        <v>8</v>
      </c>
      <c r="AO166" s="54">
        <v>0</v>
      </c>
      <c r="AP166" s="54">
        <v>-5</v>
      </c>
      <c r="AQ166" s="177">
        <v>-80.099999999999994</v>
      </c>
      <c r="AR166" s="54">
        <v>0</v>
      </c>
      <c r="AS166" s="268">
        <v>0</v>
      </c>
      <c r="AT166" s="54">
        <v>0</v>
      </c>
      <c r="AU166" s="54"/>
      <c r="AZ166" s="10" t="s">
        <v>176</v>
      </c>
      <c r="BC166" s="24"/>
      <c r="BI166" s="5" t="s">
        <v>322</v>
      </c>
      <c r="BJ166" s="5"/>
      <c r="BK166" s="5" t="s">
        <v>346</v>
      </c>
      <c r="BL166" s="5"/>
      <c r="BM166" s="5" t="s">
        <v>241</v>
      </c>
      <c r="BN166" s="10" t="s">
        <v>196</v>
      </c>
      <c r="BO166" s="5" t="s">
        <v>269</v>
      </c>
      <c r="BP166" s="5" t="s">
        <v>300</v>
      </c>
    </row>
    <row r="167" spans="1:86" x14ac:dyDescent="0.3">
      <c r="AI167" s="54"/>
      <c r="AJ167" s="54"/>
      <c r="AK167" s="54"/>
      <c r="AL167" s="177"/>
      <c r="AM167" s="54"/>
      <c r="AN167" s="177"/>
      <c r="AO167" s="54"/>
      <c r="AP167" s="54"/>
    </row>
    <row r="168" spans="1:86" s="1" customFormat="1" x14ac:dyDescent="0.3">
      <c r="A168" s="79" t="s">
        <v>30</v>
      </c>
      <c r="B168" s="80"/>
      <c r="C168" s="80"/>
      <c r="D168" s="80"/>
      <c r="E168" s="81">
        <f t="shared" ref="E168:AO168" si="48">SUM(E140:E165)-E149</f>
        <v>869.2</v>
      </c>
      <c r="F168" s="81">
        <f t="shared" si="48"/>
        <v>814.30000000000007</v>
      </c>
      <c r="G168" s="81">
        <f t="shared" si="48"/>
        <v>808</v>
      </c>
      <c r="H168" s="81">
        <f t="shared" si="48"/>
        <v>693.69999999999993</v>
      </c>
      <c r="I168" s="81">
        <f t="shared" si="48"/>
        <v>781</v>
      </c>
      <c r="J168" s="81">
        <f t="shared" si="48"/>
        <v>630.5</v>
      </c>
      <c r="K168" s="81">
        <f t="shared" si="48"/>
        <v>559.95000000000005</v>
      </c>
      <c r="L168" s="81">
        <f t="shared" si="48"/>
        <v>402.29999999999995</v>
      </c>
      <c r="M168" s="81">
        <f t="shared" si="48"/>
        <v>340.3</v>
      </c>
      <c r="N168" s="81">
        <f t="shared" si="48"/>
        <v>255.70000000000002</v>
      </c>
      <c r="O168" s="81">
        <f t="shared" si="48"/>
        <v>245.1</v>
      </c>
      <c r="P168" s="81">
        <f t="shared" si="48"/>
        <v>240.7</v>
      </c>
      <c r="Q168" s="81">
        <f t="shared" si="48"/>
        <v>309.5</v>
      </c>
      <c r="R168" s="81">
        <f t="shared" si="48"/>
        <v>296.2</v>
      </c>
      <c r="S168" s="81">
        <f t="shared" si="48"/>
        <v>295.5</v>
      </c>
      <c r="T168" s="81">
        <f t="shared" si="48"/>
        <v>246.30193038900262</v>
      </c>
      <c r="U168" s="81">
        <f t="shared" si="48"/>
        <v>103.68898819434486</v>
      </c>
      <c r="V168" s="81">
        <f t="shared" si="48"/>
        <v>118.10730706153494</v>
      </c>
      <c r="W168" s="81">
        <f t="shared" si="48"/>
        <v>44.932507745779027</v>
      </c>
      <c r="X168" s="81">
        <f t="shared" si="48"/>
        <v>63.212276551336139</v>
      </c>
      <c r="Y168" s="81">
        <f t="shared" si="48"/>
        <v>7.6241075366600057</v>
      </c>
      <c r="Z168" s="81">
        <f t="shared" si="48"/>
        <v>31.440683661007373</v>
      </c>
      <c r="AA168" s="81">
        <f t="shared" si="48"/>
        <v>50.563929125478083</v>
      </c>
      <c r="AB168" s="81">
        <f t="shared" si="48"/>
        <v>63.358214155634322</v>
      </c>
      <c r="AC168" s="81">
        <f t="shared" si="48"/>
        <v>155.93624535315985</v>
      </c>
      <c r="AD168" s="81">
        <f t="shared" si="48"/>
        <v>160.61942945752409</v>
      </c>
      <c r="AE168" s="81">
        <f t="shared" si="48"/>
        <v>173.85044280442801</v>
      </c>
      <c r="AF168" s="81">
        <f t="shared" si="48"/>
        <v>214.44234527687297</v>
      </c>
      <c r="AG168" s="81">
        <f t="shared" si="48"/>
        <v>275.03415107659725</v>
      </c>
      <c r="AH168" s="81">
        <f t="shared" si="48"/>
        <v>352.06661954408901</v>
      </c>
      <c r="AI168" s="81">
        <f t="shared" si="48"/>
        <v>475.20872727272729</v>
      </c>
      <c r="AJ168" s="81">
        <f t="shared" si="48"/>
        <v>561.59184256249182</v>
      </c>
      <c r="AK168" s="81">
        <f t="shared" si="48"/>
        <v>0</v>
      </c>
      <c r="AL168" s="180">
        <f t="shared" si="48"/>
        <v>502.75889371243204</v>
      </c>
      <c r="AM168" s="90">
        <f t="shared" si="48"/>
        <v>452.47517239553628</v>
      </c>
      <c r="AN168" s="180">
        <f t="shared" si="48"/>
        <v>503.58302593915062</v>
      </c>
      <c r="AO168" s="90">
        <f t="shared" si="48"/>
        <v>469.7284132841329</v>
      </c>
      <c r="AP168" s="90">
        <f t="shared" ref="AP168:AV168" si="49">SUM(AP140:AP165)-AP149</f>
        <v>538.99423109136205</v>
      </c>
      <c r="AQ168" s="90">
        <f t="shared" si="49"/>
        <v>463.06541746948267</v>
      </c>
      <c r="AR168" s="90">
        <f t="shared" si="49"/>
        <v>579.61831825204138</v>
      </c>
      <c r="AS168" s="90">
        <f t="shared" si="49"/>
        <v>600.14701035284179</v>
      </c>
      <c r="AT168" s="90">
        <f t="shared" si="49"/>
        <v>706.77621544751582</v>
      </c>
      <c r="AU168" s="90">
        <f t="shared" si="49"/>
        <v>801.44924965893586</v>
      </c>
      <c r="AV168" s="90">
        <f t="shared" si="49"/>
        <v>1025.1268817204302</v>
      </c>
      <c r="AW168" s="90">
        <f t="shared" ref="AW168" si="50">SUM(AW140:AW165)-AW149</f>
        <v>1039.985044732274</v>
      </c>
      <c r="AX168" s="90">
        <f>SUM(AX140:AX165)-AX149</f>
        <v>1039.985044732274</v>
      </c>
      <c r="AY168" s="90">
        <f>SUM(AY140:AY165)-AY149</f>
        <v>1225.9022342586325</v>
      </c>
      <c r="AZ168" s="80" t="s">
        <v>30</v>
      </c>
      <c r="BA168" s="80"/>
      <c r="BB168" s="80"/>
      <c r="BC168" s="80"/>
      <c r="BD168" s="80"/>
      <c r="BE168" s="11"/>
      <c r="BF168" s="11"/>
      <c r="BG168" s="29"/>
      <c r="BH168" s="29"/>
      <c r="BI168" s="11"/>
      <c r="BJ168" s="11"/>
      <c r="BK168" s="11"/>
      <c r="BL168" s="11"/>
      <c r="BM168" s="11"/>
      <c r="BN168" s="11"/>
      <c r="BO168" s="11"/>
      <c r="BP168" s="11"/>
      <c r="BQ168" s="11"/>
      <c r="BR168" s="11"/>
      <c r="BS168" s="30"/>
    </row>
    <row r="169" spans="1:86" s="6" customFormat="1" x14ac:dyDescent="0.3">
      <c r="A169" s="31" t="s">
        <v>232</v>
      </c>
      <c r="B169" s="7"/>
      <c r="C169" s="7"/>
      <c r="D169" s="7"/>
      <c r="E169" s="60">
        <v>282.8</v>
      </c>
      <c r="F169" s="60">
        <v>278</v>
      </c>
      <c r="G169" s="60">
        <v>273.10000000000002</v>
      </c>
      <c r="H169" s="60">
        <v>355.1</v>
      </c>
      <c r="I169" s="60">
        <v>304.8</v>
      </c>
      <c r="J169" s="60">
        <v>403.8</v>
      </c>
      <c r="K169" s="60">
        <v>197.05</v>
      </c>
      <c r="L169" s="60">
        <v>206.6</v>
      </c>
      <c r="M169" s="60">
        <v>269.60000000000002</v>
      </c>
      <c r="N169" s="60">
        <v>345</v>
      </c>
      <c r="O169" s="60">
        <v>342.8</v>
      </c>
      <c r="P169" s="60">
        <v>369.2</v>
      </c>
      <c r="Q169" s="60">
        <v>0</v>
      </c>
      <c r="R169" s="60">
        <v>-0.1</v>
      </c>
      <c r="S169" s="60">
        <v>33.9</v>
      </c>
      <c r="T169" s="60">
        <v>84.15</v>
      </c>
      <c r="U169" s="60">
        <v>238</v>
      </c>
      <c r="V169" s="60">
        <v>262</v>
      </c>
      <c r="W169" s="60">
        <v>178.4</v>
      </c>
      <c r="X169" s="60">
        <v>169</v>
      </c>
      <c r="Y169" s="60">
        <f>39.9+7.4+76.1+44.6+19.5</f>
        <v>187.5</v>
      </c>
      <c r="Z169" s="60">
        <f>36.8+6.8+84.5+50.8+21.5</f>
        <v>200.39999999999998</v>
      </c>
      <c r="AA169" s="60">
        <f>29.6+19.5+41.9+78.8</f>
        <v>169.8</v>
      </c>
      <c r="AB169" s="60">
        <f>31.8+18.7+42.1</f>
        <v>92.6</v>
      </c>
      <c r="AC169" s="60">
        <f>58.9</f>
        <v>58.9</v>
      </c>
      <c r="AD169" s="60">
        <f>62.9</f>
        <v>62.9</v>
      </c>
      <c r="AE169" s="60">
        <v>63.4</v>
      </c>
      <c r="AF169" s="65">
        <v>69.099999999999994</v>
      </c>
      <c r="AG169" s="65">
        <v>54.1</v>
      </c>
      <c r="AH169" s="65">
        <f>49.8</f>
        <v>49.8</v>
      </c>
      <c r="AI169" s="7">
        <f>278.8+48.1</f>
        <v>326.90000000000003</v>
      </c>
      <c r="AJ169" s="7">
        <f>35+6.1+12.5+12.5</f>
        <v>66.099999999999994</v>
      </c>
      <c r="AK169" s="60"/>
      <c r="AL169" s="182">
        <f>42+10+10+10</f>
        <v>72</v>
      </c>
      <c r="AM169" s="134">
        <v>51.7</v>
      </c>
      <c r="AN169" s="182">
        <v>69.5</v>
      </c>
      <c r="AO169" s="134">
        <v>65.400000000000006</v>
      </c>
      <c r="AP169" s="134">
        <v>25</v>
      </c>
      <c r="AQ169" s="248">
        <v>25</v>
      </c>
      <c r="AR169" s="248">
        <v>24.8</v>
      </c>
      <c r="AS169" s="248">
        <v>17</v>
      </c>
      <c r="AT169" s="248">
        <v>16.899999999999999</v>
      </c>
      <c r="AU169" s="248">
        <v>9</v>
      </c>
      <c r="AV169" s="248">
        <v>10</v>
      </c>
      <c r="AW169" s="248">
        <v>0</v>
      </c>
      <c r="AX169" s="248">
        <v>0</v>
      </c>
      <c r="AY169" s="248">
        <v>1</v>
      </c>
      <c r="AZ169" s="78" t="s">
        <v>389</v>
      </c>
      <c r="BA169" s="7"/>
      <c r="BB169" s="7"/>
      <c r="BC169" s="7"/>
      <c r="BD169" s="7"/>
      <c r="BE169" s="7"/>
      <c r="BF169" s="7"/>
      <c r="BG169" s="7"/>
      <c r="BH169" s="7"/>
      <c r="BI169" s="7"/>
      <c r="BJ169" s="7" t="s">
        <v>134</v>
      </c>
      <c r="BK169" s="7" t="s">
        <v>360</v>
      </c>
      <c r="BL169" s="7"/>
      <c r="BM169" s="7" t="s">
        <v>262</v>
      </c>
      <c r="BN169" s="9"/>
      <c r="BO169" s="7" t="s">
        <v>244</v>
      </c>
      <c r="BP169" s="7" t="s">
        <v>74</v>
      </c>
      <c r="BQ169" s="7"/>
      <c r="BR169" s="7"/>
      <c r="BS169" s="38"/>
    </row>
    <row r="170" spans="1:86" s="8" customFormat="1" x14ac:dyDescent="0.3">
      <c r="A170" s="9" t="s">
        <v>233</v>
      </c>
      <c r="B170" s="9"/>
      <c r="C170" s="9"/>
      <c r="D170" s="129"/>
      <c r="E170" s="61">
        <f t="shared" ref="E170:AO170" si="51">E169+E168</f>
        <v>1152</v>
      </c>
      <c r="F170" s="61">
        <f t="shared" si="51"/>
        <v>1092.3000000000002</v>
      </c>
      <c r="G170" s="61">
        <f t="shared" si="51"/>
        <v>1081.0999999999999</v>
      </c>
      <c r="H170" s="61">
        <f t="shared" si="51"/>
        <v>1048.8</v>
      </c>
      <c r="I170" s="61">
        <f t="shared" si="51"/>
        <v>1085.8</v>
      </c>
      <c r="J170" s="61">
        <f t="shared" si="51"/>
        <v>1034.3</v>
      </c>
      <c r="K170" s="61">
        <f t="shared" si="51"/>
        <v>757</v>
      </c>
      <c r="L170" s="61">
        <f t="shared" si="51"/>
        <v>608.9</v>
      </c>
      <c r="M170" s="61">
        <f t="shared" si="51"/>
        <v>609.90000000000009</v>
      </c>
      <c r="N170" s="61">
        <f t="shared" si="51"/>
        <v>600.70000000000005</v>
      </c>
      <c r="O170" s="61">
        <f t="shared" si="51"/>
        <v>587.9</v>
      </c>
      <c r="P170" s="61">
        <f t="shared" si="51"/>
        <v>609.9</v>
      </c>
      <c r="Q170" s="61">
        <f t="shared" si="51"/>
        <v>309.5</v>
      </c>
      <c r="R170" s="61">
        <f t="shared" si="51"/>
        <v>296.09999999999997</v>
      </c>
      <c r="S170" s="61">
        <f t="shared" si="51"/>
        <v>329.4</v>
      </c>
      <c r="T170" s="61">
        <f t="shared" si="51"/>
        <v>330.45193038900265</v>
      </c>
      <c r="U170" s="61">
        <f t="shared" si="51"/>
        <v>341.68898819434486</v>
      </c>
      <c r="V170" s="61">
        <f t="shared" si="51"/>
        <v>380.10730706153493</v>
      </c>
      <c r="W170" s="61">
        <f t="shared" si="51"/>
        <v>223.33250774577903</v>
      </c>
      <c r="X170" s="61">
        <f t="shared" si="51"/>
        <v>232.21227655133615</v>
      </c>
      <c r="Y170" s="61">
        <f t="shared" si="51"/>
        <v>195.12410753666001</v>
      </c>
      <c r="Z170" s="61">
        <f t="shared" si="51"/>
        <v>231.84068366100735</v>
      </c>
      <c r="AA170" s="61">
        <f t="shared" si="51"/>
        <v>220.36392912547808</v>
      </c>
      <c r="AB170" s="61">
        <f t="shared" si="51"/>
        <v>155.95821415563432</v>
      </c>
      <c r="AC170" s="61">
        <f t="shared" si="51"/>
        <v>214.83624535315985</v>
      </c>
      <c r="AD170" s="61">
        <f t="shared" si="51"/>
        <v>223.5194294575241</v>
      </c>
      <c r="AE170" s="61">
        <f t="shared" si="51"/>
        <v>237.25044280442802</v>
      </c>
      <c r="AF170" s="61">
        <f t="shared" si="51"/>
        <v>283.54234527687299</v>
      </c>
      <c r="AG170" s="61">
        <f t="shared" si="51"/>
        <v>329.13415107659728</v>
      </c>
      <c r="AH170" s="61">
        <f t="shared" si="51"/>
        <v>401.86661954408902</v>
      </c>
      <c r="AI170" s="61">
        <f t="shared" si="51"/>
        <v>802.10872727272726</v>
      </c>
      <c r="AJ170" s="112">
        <f t="shared" si="51"/>
        <v>627.69184256249184</v>
      </c>
      <c r="AK170" s="61">
        <f t="shared" si="51"/>
        <v>0</v>
      </c>
      <c r="AL170" s="199">
        <f t="shared" si="51"/>
        <v>574.75889371243204</v>
      </c>
      <c r="AM170" s="113">
        <f t="shared" si="51"/>
        <v>504.17517239553626</v>
      </c>
      <c r="AN170" s="199">
        <f t="shared" si="51"/>
        <v>573.08302593915062</v>
      </c>
      <c r="AO170" s="113">
        <f t="shared" si="51"/>
        <v>535.12841328413288</v>
      </c>
      <c r="AP170" s="113">
        <f t="shared" ref="AP170:AW170" si="52">AP169+AP168</f>
        <v>563.99423109136205</v>
      </c>
      <c r="AQ170" s="113">
        <f t="shared" si="52"/>
        <v>488.06541746948267</v>
      </c>
      <c r="AR170" s="113">
        <f t="shared" si="52"/>
        <v>604.41831825204133</v>
      </c>
      <c r="AS170" s="113">
        <f t="shared" si="52"/>
        <v>617.14701035284179</v>
      </c>
      <c r="AT170" s="113">
        <f t="shared" si="52"/>
        <v>723.6762154475158</v>
      </c>
      <c r="AU170" s="113">
        <f t="shared" si="52"/>
        <v>810.44924965893586</v>
      </c>
      <c r="AV170" s="113">
        <f t="shared" si="52"/>
        <v>1035.1268817204302</v>
      </c>
      <c r="AW170" s="113">
        <f t="shared" si="52"/>
        <v>1039.985044732274</v>
      </c>
      <c r="AX170" s="113">
        <f t="shared" ref="AX170:AY170" si="53">AX169+AX168</f>
        <v>1039.985044732274</v>
      </c>
      <c r="AY170" s="113">
        <f t="shared" si="53"/>
        <v>1226.9022342586325</v>
      </c>
      <c r="AZ170" s="9" t="s">
        <v>31</v>
      </c>
      <c r="BA170" s="9"/>
      <c r="BB170" s="9"/>
      <c r="BC170" s="9"/>
      <c r="BD170" s="9"/>
      <c r="BE170" s="9"/>
      <c r="BF170" s="9"/>
      <c r="BG170" s="9"/>
      <c r="BH170" s="9"/>
      <c r="BI170" s="9"/>
      <c r="BJ170" s="9"/>
      <c r="BK170" s="9"/>
      <c r="BL170" s="9"/>
      <c r="BM170" s="9"/>
      <c r="BN170" s="9"/>
      <c r="BO170" s="9"/>
      <c r="BP170" s="9"/>
      <c r="BQ170" s="9"/>
      <c r="BR170" s="9"/>
      <c r="BS170" s="33"/>
    </row>
    <row r="171" spans="1:86" x14ac:dyDescent="0.3">
      <c r="A171" s="80" t="s">
        <v>366</v>
      </c>
      <c r="B171" s="80"/>
      <c r="C171" s="80"/>
      <c r="D171" s="130"/>
      <c r="E171" s="128">
        <v>332.4</v>
      </c>
      <c r="F171" s="128">
        <v>355.1</v>
      </c>
      <c r="G171" s="128">
        <v>350.3</v>
      </c>
      <c r="H171" s="128">
        <v>394.1</v>
      </c>
      <c r="I171" s="128">
        <v>451.2</v>
      </c>
      <c r="J171" s="128">
        <v>458.4</v>
      </c>
      <c r="K171" s="128">
        <v>468.4</v>
      </c>
      <c r="L171" s="128">
        <v>429.6</v>
      </c>
      <c r="M171" s="128">
        <v>361.5</v>
      </c>
      <c r="N171" s="128">
        <v>341.6</v>
      </c>
      <c r="O171" s="128">
        <v>331.3</v>
      </c>
      <c r="P171" s="128">
        <v>346.8</v>
      </c>
      <c r="Q171" s="128">
        <v>316.7</v>
      </c>
      <c r="R171" s="128">
        <v>286.60000000000002</v>
      </c>
      <c r="S171" s="128">
        <v>332.2</v>
      </c>
      <c r="T171" s="128">
        <v>335.1</v>
      </c>
      <c r="U171" s="128">
        <v>328.6</v>
      </c>
      <c r="V171" s="128">
        <v>352.4</v>
      </c>
      <c r="W171" s="128">
        <v>238.9</v>
      </c>
      <c r="X171" s="128">
        <v>232.5</v>
      </c>
      <c r="Y171" s="128">
        <v>224.2</v>
      </c>
      <c r="Z171" s="128">
        <v>217.2</v>
      </c>
      <c r="AA171" s="128">
        <v>238.6</v>
      </c>
      <c r="AB171" s="128">
        <v>241.96</v>
      </c>
      <c r="AC171" s="128">
        <v>241.1</v>
      </c>
      <c r="AD171" s="128">
        <v>240.7</v>
      </c>
      <c r="AE171" s="128">
        <v>255.9</v>
      </c>
      <c r="AF171" s="128">
        <v>273.89999999999998</v>
      </c>
      <c r="AG171" s="128">
        <v>280.7</v>
      </c>
      <c r="AH171" s="128">
        <v>311.7</v>
      </c>
      <c r="AI171" s="80">
        <v>294.89999999999998</v>
      </c>
      <c r="AJ171" s="80">
        <v>394.5</v>
      </c>
      <c r="AK171" s="128">
        <v>91</v>
      </c>
      <c r="AL171" s="200">
        <v>417</v>
      </c>
      <c r="AM171" s="90">
        <v>367.2</v>
      </c>
      <c r="AN171" s="180">
        <v>393</v>
      </c>
      <c r="AO171" s="90">
        <v>377.8</v>
      </c>
      <c r="AP171" s="90">
        <f>305.2+199.5</f>
        <v>504.7</v>
      </c>
      <c r="AQ171" s="246">
        <v>457.4</v>
      </c>
      <c r="AR171" s="246">
        <v>438</v>
      </c>
      <c r="AS171" s="246">
        <v>380</v>
      </c>
      <c r="AT171" s="246">
        <v>410.1</v>
      </c>
      <c r="AU171" s="246">
        <v>432</v>
      </c>
      <c r="AV171" s="246">
        <v>414</v>
      </c>
      <c r="AW171" s="246">
        <v>672</v>
      </c>
      <c r="AX171" s="246">
        <v>672</v>
      </c>
      <c r="AY171" s="246">
        <v>723</v>
      </c>
      <c r="AZ171" s="80" t="s">
        <v>404</v>
      </c>
      <c r="BA171" s="84"/>
      <c r="BB171" s="84"/>
      <c r="BC171" s="84"/>
      <c r="BD171" s="84"/>
      <c r="BE171" s="29"/>
      <c r="BF171" s="5"/>
      <c r="BI171" s="5"/>
      <c r="BJ171" s="5" t="s">
        <v>375</v>
      </c>
      <c r="BK171" s="5" t="s">
        <v>347</v>
      </c>
      <c r="BL171" s="5"/>
      <c r="BM171" s="5" t="s">
        <v>194</v>
      </c>
      <c r="BN171" s="5"/>
      <c r="BO171" s="5" t="s">
        <v>180</v>
      </c>
      <c r="BP171" s="5" t="s">
        <v>113</v>
      </c>
      <c r="BQ171" s="5"/>
      <c r="BR171" s="5"/>
      <c r="BS171" s="192"/>
      <c r="BT171" s="152"/>
      <c r="BU171" s="152"/>
      <c r="BV171" s="152"/>
      <c r="BW171" s="152"/>
      <c r="BX171" s="152"/>
      <c r="BY171" s="152"/>
      <c r="BZ171" s="152"/>
      <c r="CA171" s="152"/>
      <c r="CB171" s="152"/>
      <c r="CC171" s="152"/>
      <c r="CD171" s="152"/>
      <c r="CE171" s="152"/>
      <c r="CF171" s="152"/>
      <c r="CG171" s="152"/>
      <c r="CH171" s="152"/>
    </row>
    <row r="172" spans="1:86" x14ac:dyDescent="0.3">
      <c r="A172" s="91"/>
      <c r="B172" s="89"/>
      <c r="C172" s="89"/>
      <c r="D172" s="89"/>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89"/>
      <c r="AN172" s="89"/>
      <c r="AO172" s="56"/>
      <c r="AP172" s="56"/>
      <c r="AQ172" s="89"/>
      <c r="AR172" s="89"/>
      <c r="AS172" s="89"/>
      <c r="AT172" s="89"/>
      <c r="AU172" s="89"/>
      <c r="AV172" s="89"/>
      <c r="AW172" s="89"/>
      <c r="AX172" s="89"/>
      <c r="AY172" s="89"/>
      <c r="AZ172" s="89"/>
      <c r="BA172" s="89"/>
      <c r="BB172" s="89"/>
      <c r="BC172" s="89"/>
      <c r="BD172" s="89"/>
      <c r="BE172" s="5"/>
      <c r="BF172" s="5"/>
      <c r="BI172" s="5"/>
      <c r="BJ172" s="5"/>
      <c r="BK172" s="5"/>
      <c r="BL172" s="5"/>
      <c r="BM172" s="5"/>
      <c r="BN172" s="5"/>
      <c r="BO172" s="5"/>
      <c r="BP172" s="5"/>
      <c r="BQ172" s="5"/>
      <c r="BR172" s="5"/>
      <c r="BS172" s="192"/>
      <c r="BT172" s="152"/>
      <c r="BU172" s="152"/>
      <c r="BV172" s="152"/>
      <c r="BW172" s="152"/>
      <c r="BX172" s="152"/>
      <c r="BY172" s="152"/>
      <c r="BZ172" s="152"/>
      <c r="CA172" s="152"/>
      <c r="CB172" s="152"/>
      <c r="CC172" s="152"/>
      <c r="CD172" s="152"/>
      <c r="CE172" s="152"/>
      <c r="CF172" s="152"/>
      <c r="CG172" s="152"/>
      <c r="CH172" s="152"/>
    </row>
    <row r="173" spans="1:86" s="1" customFormat="1" x14ac:dyDescent="0.3">
      <c r="A173" s="79" t="s">
        <v>1</v>
      </c>
      <c r="B173" s="80"/>
      <c r="C173" s="80"/>
      <c r="D173" s="80"/>
      <c r="E173" s="95">
        <f t="shared" ref="E173:AW173" si="54">E40+E55+E85+E120+E132+E168+E171+E91+E96+E101</f>
        <v>2744.9</v>
      </c>
      <c r="F173" s="95">
        <f t="shared" si="54"/>
        <v>2928.5</v>
      </c>
      <c r="G173" s="95">
        <f t="shared" si="54"/>
        <v>3121.1000000000004</v>
      </c>
      <c r="H173" s="95">
        <f t="shared" si="54"/>
        <v>3197.4999999999995</v>
      </c>
      <c r="I173" s="95">
        <f t="shared" si="54"/>
        <v>2202.7999999999997</v>
      </c>
      <c r="J173" s="95">
        <f t="shared" si="54"/>
        <v>1744.6</v>
      </c>
      <c r="K173" s="95">
        <f t="shared" si="54"/>
        <v>1695.85</v>
      </c>
      <c r="L173" s="95">
        <f t="shared" si="54"/>
        <v>1536.4</v>
      </c>
      <c r="M173" s="95">
        <f t="shared" si="54"/>
        <v>1383.7</v>
      </c>
      <c r="N173" s="95">
        <f t="shared" si="54"/>
        <v>1222.9000000000001</v>
      </c>
      <c r="O173" s="95">
        <f t="shared" si="54"/>
        <v>1398.85</v>
      </c>
      <c r="P173" s="95">
        <f t="shared" si="54"/>
        <v>1464.5</v>
      </c>
      <c r="Q173" s="95">
        <f t="shared" si="54"/>
        <v>1911</v>
      </c>
      <c r="R173" s="95">
        <f t="shared" si="54"/>
        <v>1848</v>
      </c>
      <c r="S173" s="95">
        <f t="shared" si="54"/>
        <v>1950.6000000000001</v>
      </c>
      <c r="T173" s="95">
        <f t="shared" si="54"/>
        <v>1544.9019303890027</v>
      </c>
      <c r="U173" s="95">
        <f t="shared" si="54"/>
        <v>1759.488988194345</v>
      </c>
      <c r="V173" s="95">
        <f t="shared" si="54"/>
        <v>1693.2573070615349</v>
      </c>
      <c r="W173" s="95">
        <f t="shared" si="54"/>
        <v>1414.6325077457793</v>
      </c>
      <c r="X173" s="95">
        <f t="shared" si="54"/>
        <v>1276.6722765513362</v>
      </c>
      <c r="Y173" s="95">
        <f t="shared" si="54"/>
        <v>1213.9641075366599</v>
      </c>
      <c r="Z173" s="95">
        <f t="shared" si="54"/>
        <v>1433.6264153683246</v>
      </c>
      <c r="AA173" s="95">
        <f t="shared" si="54"/>
        <v>1358.9312897202735</v>
      </c>
      <c r="AB173" s="95">
        <f t="shared" si="54"/>
        <v>1767.2310380759002</v>
      </c>
      <c r="AC173" s="95">
        <f t="shared" si="54"/>
        <v>1901.788849941554</v>
      </c>
      <c r="AD173" s="95">
        <f t="shared" si="54"/>
        <v>1904.6494294575241</v>
      </c>
      <c r="AE173" s="95">
        <f t="shared" si="54"/>
        <v>1941.4504428044279</v>
      </c>
      <c r="AF173" s="95">
        <f t="shared" si="54"/>
        <v>1871.242345276873</v>
      </c>
      <c r="AG173" s="95">
        <f t="shared" si="54"/>
        <v>2109.1191510765975</v>
      </c>
      <c r="AH173" s="95">
        <f t="shared" si="54"/>
        <v>2489.7525609405975</v>
      </c>
      <c r="AI173" s="95">
        <f t="shared" si="54"/>
        <v>2950.1087272727273</v>
      </c>
      <c r="AJ173" s="95">
        <f t="shared" si="54"/>
        <v>3580.8918425624915</v>
      </c>
      <c r="AK173" s="95">
        <f t="shared" si="54"/>
        <v>6912.1999999999989</v>
      </c>
      <c r="AL173" s="95">
        <f t="shared" si="54"/>
        <v>3652.7588937124319</v>
      </c>
      <c r="AM173" s="95">
        <f t="shared" si="54"/>
        <v>3079.7272438860859</v>
      </c>
      <c r="AN173" s="95">
        <f t="shared" si="54"/>
        <v>3268.1966443602746</v>
      </c>
      <c r="AO173" s="95">
        <f t="shared" si="54"/>
        <v>3211.7525026528992</v>
      </c>
      <c r="AP173" s="95">
        <f t="shared" si="54"/>
        <v>3674.135385777025</v>
      </c>
      <c r="AQ173" s="95">
        <f t="shared" si="54"/>
        <v>3454.3056961666234</v>
      </c>
      <c r="AR173" s="95">
        <f t="shared" si="54"/>
        <v>3915.6219212429883</v>
      </c>
      <c r="AS173" s="95">
        <f t="shared" si="54"/>
        <v>3818.3295964379163</v>
      </c>
      <c r="AT173" s="95">
        <f t="shared" si="54"/>
        <v>4336.2031228271944</v>
      </c>
      <c r="AU173" s="95">
        <f t="shared" si="54"/>
        <v>4589.2649283372075</v>
      </c>
      <c r="AV173" s="95">
        <f t="shared" si="54"/>
        <v>5279.2398604804812</v>
      </c>
      <c r="AW173" s="95">
        <f t="shared" si="54"/>
        <v>5616.367590356982</v>
      </c>
      <c r="AX173" s="95">
        <f>AX40+AX55+AX85+AX120+AX132+AX168+AX171+AX91+AX96+AX101</f>
        <v>5619.4856062671361</v>
      </c>
      <c r="AY173" s="95">
        <f>AY40+AY55+AY85+AY120+AY132+AY168+AY171+AY91+AY96+AY101</f>
        <v>8031.1594342467824</v>
      </c>
      <c r="AZ173" s="80" t="s">
        <v>1</v>
      </c>
      <c r="BA173" s="80"/>
      <c r="BB173" s="80"/>
      <c r="BC173" s="80"/>
      <c r="BD173" s="80"/>
      <c r="BE173" s="11"/>
      <c r="BF173" s="11"/>
      <c r="BG173" s="29"/>
      <c r="BH173" s="29"/>
      <c r="BI173" s="11"/>
      <c r="BJ173" s="11"/>
      <c r="BK173" s="11"/>
      <c r="BL173" s="11"/>
      <c r="BM173" s="11"/>
      <c r="BN173" s="11"/>
      <c r="BO173" s="11"/>
      <c r="BP173" s="11"/>
      <c r="BQ173" s="11"/>
      <c r="BR173" s="11"/>
      <c r="BS173" s="30"/>
    </row>
    <row r="174" spans="1:86" s="1" customFormat="1" x14ac:dyDescent="0.3">
      <c r="A174" s="103" t="s">
        <v>129</v>
      </c>
      <c r="B174" s="103"/>
      <c r="C174" s="103"/>
      <c r="D174" s="103"/>
      <c r="E174" s="104">
        <f t="shared" ref="E174:Q174" si="55">E133+E80+E63+E62+E61+E60+E59+E57</f>
        <v>0</v>
      </c>
      <c r="F174" s="104">
        <f t="shared" si="55"/>
        <v>0</v>
      </c>
      <c r="G174" s="104">
        <f t="shared" si="55"/>
        <v>0</v>
      </c>
      <c r="H174" s="104">
        <f t="shared" si="55"/>
        <v>0</v>
      </c>
      <c r="I174" s="104">
        <f t="shared" si="55"/>
        <v>0</v>
      </c>
      <c r="J174" s="104">
        <f t="shared" si="55"/>
        <v>0</v>
      </c>
      <c r="K174" s="104">
        <f t="shared" si="55"/>
        <v>0</v>
      </c>
      <c r="L174" s="104">
        <f t="shared" si="55"/>
        <v>0</v>
      </c>
      <c r="M174" s="104">
        <f t="shared" si="55"/>
        <v>0</v>
      </c>
      <c r="N174" s="104">
        <f t="shared" si="55"/>
        <v>0</v>
      </c>
      <c r="O174" s="104">
        <f t="shared" si="55"/>
        <v>0</v>
      </c>
      <c r="P174" s="104">
        <f t="shared" si="55"/>
        <v>0</v>
      </c>
      <c r="Q174" s="104">
        <f t="shared" si="55"/>
        <v>0</v>
      </c>
      <c r="R174" s="213">
        <f t="shared" ref="R174:AO174" si="56">R133+R134+R80+R63+R62+R61+R60+R59+R57</f>
        <v>0</v>
      </c>
      <c r="S174" s="213">
        <f t="shared" si="56"/>
        <v>214.1</v>
      </c>
      <c r="T174" s="213">
        <f t="shared" si="56"/>
        <v>205.5</v>
      </c>
      <c r="U174" s="213">
        <f t="shared" si="56"/>
        <v>240.60000000000002</v>
      </c>
      <c r="V174" s="213">
        <f t="shared" si="56"/>
        <v>256</v>
      </c>
      <c r="W174" s="213">
        <f t="shared" si="56"/>
        <v>154</v>
      </c>
      <c r="X174" s="213">
        <f t="shared" si="56"/>
        <v>169.6</v>
      </c>
      <c r="Y174" s="213">
        <f t="shared" si="56"/>
        <v>175.1</v>
      </c>
      <c r="Z174" s="213">
        <f t="shared" si="56"/>
        <v>189.8</v>
      </c>
      <c r="AA174" s="213">
        <f t="shared" si="56"/>
        <v>192.42000000000002</v>
      </c>
      <c r="AB174" s="213">
        <f t="shared" si="56"/>
        <v>234.1</v>
      </c>
      <c r="AC174" s="213">
        <f t="shared" si="56"/>
        <v>293.89999999999998</v>
      </c>
      <c r="AD174" s="213">
        <f t="shared" si="56"/>
        <v>287.5</v>
      </c>
      <c r="AE174" s="213">
        <f t="shared" si="56"/>
        <v>291.26666666666665</v>
      </c>
      <c r="AF174" s="213">
        <f t="shared" si="56"/>
        <v>292.10000000000002</v>
      </c>
      <c r="AG174" s="213">
        <f t="shared" si="56"/>
        <v>290.60000000000002</v>
      </c>
      <c r="AH174" s="213">
        <f t="shared" si="56"/>
        <v>269</v>
      </c>
      <c r="AI174" s="213">
        <f t="shared" si="56"/>
        <v>291.10000000000002</v>
      </c>
      <c r="AJ174" s="213">
        <f t="shared" si="56"/>
        <v>8028.3</v>
      </c>
      <c r="AK174" s="213">
        <f t="shared" si="56"/>
        <v>21945.200000000001</v>
      </c>
      <c r="AL174" s="213">
        <f t="shared" si="56"/>
        <v>312</v>
      </c>
      <c r="AM174" s="213">
        <f t="shared" si="56"/>
        <v>434.4</v>
      </c>
      <c r="AN174" s="239">
        <f t="shared" si="56"/>
        <v>150.9</v>
      </c>
      <c r="AO174" s="213">
        <f t="shared" si="56"/>
        <v>210</v>
      </c>
      <c r="AP174" s="213">
        <f>AP133+AP134+AP80+AP63+AP62+AP61+AP60+AP59+AP57+AP64</f>
        <v>278.2</v>
      </c>
      <c r="AQ174" s="213">
        <f t="shared" ref="AQ174:AW174" si="57">AQ133+AQ134+AQ80+AQ63+AQ62+AQ61+AQ60+AQ59+AQ57+AQ64+AQ65+AQ66+AQ67+AQ58</f>
        <v>291</v>
      </c>
      <c r="AR174" s="213">
        <f t="shared" si="57"/>
        <v>315</v>
      </c>
      <c r="AS174" s="213">
        <f t="shared" si="57"/>
        <v>1640.8</v>
      </c>
      <c r="AT174" s="213">
        <f t="shared" si="57"/>
        <v>365.9</v>
      </c>
      <c r="AU174" s="213">
        <f t="shared" si="57"/>
        <v>359.3</v>
      </c>
      <c r="AV174" s="213">
        <f t="shared" si="57"/>
        <v>446.5</v>
      </c>
      <c r="AW174" s="213">
        <f t="shared" si="57"/>
        <v>-1851.5</v>
      </c>
      <c r="AX174" s="213">
        <f>AX133+AX134+AX80+AX63+AX62+AX61+AX60+AX59+AX57+AX64+AX65+AX66+AX67+AX58</f>
        <v>469.5</v>
      </c>
      <c r="AY174" s="213">
        <f>AY133+AY134+AY80+AY63+AY62+AY61+AY60+AY59+AY57+AY64+AY65+AY66+AY67+AY58</f>
        <v>179.9</v>
      </c>
      <c r="AZ174" s="103" t="s">
        <v>129</v>
      </c>
      <c r="BA174" s="103"/>
      <c r="BB174" s="103"/>
      <c r="BC174" s="103"/>
      <c r="BD174" s="11"/>
      <c r="BE174" s="11"/>
      <c r="BF174" s="11"/>
      <c r="BG174" s="29"/>
      <c r="BH174" s="29"/>
      <c r="BI174" s="11"/>
      <c r="BJ174" s="11"/>
      <c r="BK174" s="11"/>
      <c r="BL174" s="11"/>
      <c r="BM174" s="11"/>
      <c r="BN174" s="11"/>
      <c r="BO174" s="11"/>
      <c r="BP174" s="11"/>
      <c r="BQ174" s="11"/>
      <c r="BR174" s="11"/>
      <c r="BS174" s="30"/>
    </row>
    <row r="175" spans="1:86" s="1" customFormat="1" x14ac:dyDescent="0.3">
      <c r="A175" s="92"/>
      <c r="B175" s="93"/>
      <c r="C175" s="93"/>
      <c r="D175" s="93"/>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116"/>
      <c r="AB175" s="210"/>
      <c r="AC175" s="210"/>
      <c r="AD175" s="116"/>
      <c r="AE175" s="210"/>
      <c r="AF175" s="210"/>
      <c r="AG175" s="210"/>
      <c r="AH175" s="210"/>
      <c r="AI175" s="210"/>
      <c r="AJ175" s="211"/>
      <c r="AK175" s="211"/>
      <c r="AL175" s="210"/>
      <c r="AM175" s="210"/>
      <c r="AN175" s="210"/>
      <c r="AO175" s="77"/>
      <c r="AP175" s="77"/>
      <c r="AQ175" s="93"/>
      <c r="AR175" s="93"/>
      <c r="AS175" s="93"/>
      <c r="AT175" s="93"/>
      <c r="AU175" s="93"/>
      <c r="AV175" s="93"/>
      <c r="AW175" s="93"/>
      <c r="AX175" s="93"/>
      <c r="AY175" s="93"/>
      <c r="AZ175" s="212"/>
      <c r="BA175" s="93"/>
      <c r="BB175" s="93"/>
      <c r="BC175" s="189"/>
      <c r="BD175" s="93"/>
      <c r="BE175" s="136"/>
      <c r="BF175" s="11"/>
      <c r="BG175" s="139"/>
      <c r="BH175" s="29"/>
      <c r="BI175" s="11"/>
      <c r="BJ175" s="11"/>
      <c r="BK175" s="11"/>
      <c r="BL175" s="11"/>
      <c r="BM175" s="11"/>
      <c r="BN175" s="11"/>
      <c r="BO175" s="11"/>
      <c r="BP175" s="11"/>
      <c r="BQ175" s="11"/>
      <c r="BR175" s="11"/>
      <c r="BS175" s="30"/>
    </row>
    <row r="176" spans="1:86" x14ac:dyDescent="0.3">
      <c r="A176" s="18" t="s">
        <v>367</v>
      </c>
      <c r="E176" s="74"/>
      <c r="F176" s="74"/>
      <c r="G176" s="74"/>
      <c r="H176" s="74"/>
      <c r="I176" s="74"/>
      <c r="J176" s="74"/>
      <c r="K176" s="74"/>
      <c r="L176" s="74"/>
      <c r="M176" s="74"/>
      <c r="N176" s="74"/>
      <c r="O176" s="74"/>
      <c r="P176" s="74"/>
      <c r="Q176" s="74"/>
      <c r="R176" s="74"/>
      <c r="S176" s="74"/>
      <c r="T176" s="74"/>
      <c r="U176" s="75">
        <v>18.97</v>
      </c>
      <c r="V176" s="75">
        <v>9.6</v>
      </c>
      <c r="W176" s="74">
        <v>22.6</v>
      </c>
      <c r="X176" s="75">
        <v>19.899999999999999</v>
      </c>
      <c r="Y176" s="74">
        <v>17.8</v>
      </c>
      <c r="Z176" s="74">
        <v>16.3</v>
      </c>
      <c r="AA176" s="76">
        <f>15.6+0.355</f>
        <v>15.955</v>
      </c>
      <c r="AB176" s="74">
        <f>9.026+7.443</f>
        <v>16.469000000000001</v>
      </c>
      <c r="AC176" s="74">
        <v>16.8</v>
      </c>
      <c r="AD176" s="75">
        <v>16</v>
      </c>
      <c r="AE176" s="74">
        <v>14.7</v>
      </c>
      <c r="AF176" s="74"/>
      <c r="AG176" s="74"/>
      <c r="AH176" s="74"/>
      <c r="AI176" s="74"/>
      <c r="AJ176" s="203"/>
      <c r="AK176" s="54"/>
      <c r="AL176" s="54">
        <v>19.3</v>
      </c>
      <c r="AM176" s="54">
        <v>20.8</v>
      </c>
      <c r="AN176" s="177">
        <v>20.5</v>
      </c>
      <c r="AO176" s="54">
        <v>19.8</v>
      </c>
      <c r="AP176" s="54">
        <v>15.9</v>
      </c>
      <c r="AQ176" s="177">
        <v>14.9</v>
      </c>
      <c r="AR176" s="268">
        <v>18</v>
      </c>
      <c r="AS176" s="54">
        <v>18</v>
      </c>
      <c r="AT176" s="54">
        <v>18.899999999999999</v>
      </c>
      <c r="AU176" s="54">
        <v>22.9</v>
      </c>
      <c r="AV176" s="5">
        <v>26.8</v>
      </c>
      <c r="AW176" s="5">
        <v>26.8</v>
      </c>
      <c r="AX176" s="5">
        <v>26.8</v>
      </c>
      <c r="AY176" s="5">
        <v>62.1</v>
      </c>
      <c r="AZ176" s="10" t="s">
        <v>405</v>
      </c>
      <c r="BI176" s="5"/>
      <c r="BJ176" s="5" t="s">
        <v>355</v>
      </c>
      <c r="BK176" s="5" t="s">
        <v>361</v>
      </c>
      <c r="BL176" s="5" t="s">
        <v>372</v>
      </c>
      <c r="BM176" s="5" t="s">
        <v>324</v>
      </c>
      <c r="BO176" s="10" t="s">
        <v>337</v>
      </c>
      <c r="BP176" s="10" t="s">
        <v>114</v>
      </c>
    </row>
    <row r="177" spans="1:71" x14ac:dyDescent="0.3">
      <c r="E177" s="74"/>
      <c r="F177" s="74"/>
      <c r="G177" s="74"/>
      <c r="H177" s="74"/>
      <c r="I177" s="74"/>
      <c r="J177" s="74"/>
      <c r="K177" s="74"/>
      <c r="L177" s="74"/>
      <c r="M177" s="74"/>
      <c r="N177" s="74"/>
      <c r="O177" s="74"/>
      <c r="P177" s="74"/>
      <c r="Q177" s="74"/>
      <c r="R177" s="74"/>
      <c r="S177" s="74"/>
      <c r="T177" s="74"/>
      <c r="U177" s="75"/>
      <c r="V177" s="75"/>
      <c r="W177" s="74"/>
      <c r="X177" s="75"/>
      <c r="Y177" s="74"/>
      <c r="Z177" s="74"/>
      <c r="AA177" s="76"/>
      <c r="AB177" s="74"/>
      <c r="AC177" s="74"/>
      <c r="AD177" s="75"/>
      <c r="AE177" s="74"/>
      <c r="AF177" s="74"/>
      <c r="AG177" s="74"/>
      <c r="AH177" s="74"/>
      <c r="AI177" s="74"/>
      <c r="AJ177" s="203"/>
      <c r="AK177" s="54"/>
      <c r="AL177" s="54"/>
      <c r="AM177" s="54"/>
      <c r="AN177" s="177"/>
      <c r="AO177" s="54"/>
      <c r="AP177" s="54"/>
      <c r="AQ177" s="177"/>
      <c r="AR177" s="124"/>
      <c r="AS177" s="54"/>
      <c r="AT177" s="54"/>
      <c r="AU177" s="54"/>
      <c r="AV177" s="5">
        <v>0</v>
      </c>
      <c r="AW177" s="5">
        <v>0</v>
      </c>
      <c r="AX177" s="5">
        <v>0</v>
      </c>
      <c r="AY177" s="5">
        <v>21.6</v>
      </c>
      <c r="AZ177" s="10" t="s">
        <v>443</v>
      </c>
      <c r="BI177" s="5"/>
      <c r="BJ177" s="5"/>
      <c r="BK177" s="5"/>
      <c r="BL177" s="5"/>
      <c r="BM177" s="5"/>
    </row>
    <row r="178" spans="1:71" s="1" customFormat="1" x14ac:dyDescent="0.3">
      <c r="A178" s="34"/>
      <c r="B178" s="10" t="s">
        <v>368</v>
      </c>
      <c r="C178" s="11"/>
      <c r="D178" s="11"/>
      <c r="E178" s="58"/>
      <c r="F178" s="58"/>
      <c r="G178" s="58"/>
      <c r="H178" s="58"/>
      <c r="I178" s="58"/>
      <c r="J178" s="58"/>
      <c r="K178" s="58"/>
      <c r="L178" s="58"/>
      <c r="M178" s="58"/>
      <c r="N178" s="58"/>
      <c r="O178" s="58"/>
      <c r="P178" s="58"/>
      <c r="Q178" s="58"/>
      <c r="R178" s="58"/>
      <c r="S178" s="58"/>
      <c r="T178" s="58"/>
      <c r="U178" s="59"/>
      <c r="V178" s="59"/>
      <c r="W178" s="54"/>
      <c r="X178" s="55"/>
      <c r="Y178" s="54"/>
      <c r="Z178" s="54">
        <v>7.7</v>
      </c>
      <c r="AA178" s="56">
        <v>0.35499999999999998</v>
      </c>
      <c r="AB178" s="54">
        <v>9</v>
      </c>
      <c r="AC178" s="54"/>
      <c r="AD178" s="55"/>
      <c r="AE178" s="54"/>
      <c r="AF178" s="54"/>
      <c r="AG178" s="54"/>
      <c r="AH178" s="54"/>
      <c r="AI178" s="54"/>
      <c r="AJ178" s="54"/>
      <c r="AK178" s="54"/>
      <c r="AL178" s="54"/>
      <c r="AM178" s="54"/>
      <c r="AN178" s="177"/>
      <c r="AO178" s="54"/>
      <c r="AP178" s="54">
        <v>19.3</v>
      </c>
      <c r="AQ178" s="177">
        <v>31.8</v>
      </c>
      <c r="AR178" s="124">
        <v>31.3</v>
      </c>
      <c r="AS178" s="54">
        <v>31</v>
      </c>
      <c r="AT178" s="54">
        <f>10.4+40+6.9</f>
        <v>57.3</v>
      </c>
      <c r="AU178" s="54">
        <f>10+8.5</f>
        <v>18.5</v>
      </c>
      <c r="AV178" s="5">
        <f>7+14.1</f>
        <v>21.1</v>
      </c>
      <c r="AW178" s="5">
        <f>7.6+12.6</f>
        <v>20.2</v>
      </c>
      <c r="AX178" s="5">
        <v>0</v>
      </c>
      <c r="AY178" s="5"/>
      <c r="AZ178" s="10" t="s">
        <v>426</v>
      </c>
      <c r="BA178" s="10"/>
      <c r="BB178" s="11"/>
      <c r="BC178" s="11"/>
      <c r="BD178" s="11"/>
      <c r="BE178" s="11"/>
      <c r="BF178" s="11"/>
      <c r="BG178" s="5"/>
      <c r="BH178" s="5"/>
      <c r="BI178" s="5"/>
      <c r="BJ178" s="5"/>
      <c r="BK178" s="5" t="s">
        <v>307</v>
      </c>
      <c r="BL178" s="10"/>
      <c r="BM178" s="10"/>
      <c r="BN178" s="10"/>
      <c r="BO178" s="10"/>
      <c r="BP178" s="10"/>
      <c r="BQ178" s="11"/>
      <c r="BR178" s="11"/>
      <c r="BS178" s="30"/>
    </row>
    <row r="179" spans="1:71" s="1" customFormat="1" x14ac:dyDescent="0.3">
      <c r="A179" s="34"/>
      <c r="B179" s="10"/>
      <c r="C179" s="11"/>
      <c r="D179" s="11"/>
      <c r="E179" s="58"/>
      <c r="F179" s="58"/>
      <c r="G179" s="58"/>
      <c r="H179" s="58"/>
      <c r="I179" s="58"/>
      <c r="J179" s="58"/>
      <c r="K179" s="58"/>
      <c r="L179" s="58"/>
      <c r="M179" s="58"/>
      <c r="N179" s="58"/>
      <c r="O179" s="58"/>
      <c r="P179" s="58"/>
      <c r="Q179" s="58"/>
      <c r="R179" s="58"/>
      <c r="S179" s="58"/>
      <c r="T179" s="58"/>
      <c r="U179" s="59"/>
      <c r="V179" s="59"/>
      <c r="W179" s="54"/>
      <c r="X179" s="55"/>
      <c r="Y179" s="54"/>
      <c r="Z179" s="54"/>
      <c r="AA179" s="56"/>
      <c r="AB179" s="54"/>
      <c r="AC179" s="54"/>
      <c r="AD179" s="55"/>
      <c r="AE179" s="54"/>
      <c r="AF179" s="54"/>
      <c r="AG179" s="54"/>
      <c r="AH179" s="54"/>
      <c r="AI179" s="54"/>
      <c r="AJ179" s="54"/>
      <c r="AK179" s="54"/>
      <c r="AL179" s="54">
        <f>1.2+0.5</f>
        <v>1.7</v>
      </c>
      <c r="AM179" s="54">
        <f>0.7+0.8</f>
        <v>1.5</v>
      </c>
      <c r="AN179" s="177">
        <f>0.4+0.5</f>
        <v>0.9</v>
      </c>
      <c r="AO179" s="54">
        <f>0.4+0.5</f>
        <v>0.9</v>
      </c>
      <c r="AP179" s="54">
        <f>0.4+0.5</f>
        <v>0.9</v>
      </c>
      <c r="AQ179" s="54">
        <v>0</v>
      </c>
      <c r="AR179" s="177">
        <v>0</v>
      </c>
      <c r="AS179" s="54">
        <v>0</v>
      </c>
      <c r="AT179" s="54">
        <v>0</v>
      </c>
      <c r="AU179" s="54">
        <v>0</v>
      </c>
      <c r="AV179" s="10">
        <v>0</v>
      </c>
      <c r="AW179" s="10">
        <v>0</v>
      </c>
      <c r="AX179" s="10"/>
      <c r="AY179" s="10"/>
      <c r="AZ179" s="10" t="s">
        <v>409</v>
      </c>
      <c r="BA179" s="10"/>
      <c r="BB179" s="11"/>
      <c r="BC179" s="11"/>
      <c r="BD179" s="11"/>
      <c r="BE179" s="11"/>
      <c r="BF179" s="11"/>
      <c r="BG179" s="5"/>
      <c r="BH179" s="5"/>
      <c r="BI179" s="5"/>
      <c r="BJ179" s="5"/>
      <c r="BK179" s="5"/>
      <c r="BL179" s="10"/>
      <c r="BM179" s="10"/>
      <c r="BN179" s="10"/>
      <c r="BO179" s="10"/>
      <c r="BP179" s="10"/>
      <c r="BQ179" s="11"/>
      <c r="BR179" s="11"/>
      <c r="BS179" s="30"/>
    </row>
    <row r="180" spans="1:71" s="1" customFormat="1" x14ac:dyDescent="0.3">
      <c r="A180" s="34"/>
      <c r="B180" s="10"/>
      <c r="C180" s="11"/>
      <c r="D180" s="11"/>
      <c r="E180" s="58"/>
      <c r="F180" s="58"/>
      <c r="G180" s="58"/>
      <c r="H180" s="58"/>
      <c r="I180" s="58"/>
      <c r="J180" s="58"/>
      <c r="K180" s="58"/>
      <c r="L180" s="58"/>
      <c r="M180" s="58"/>
      <c r="N180" s="58"/>
      <c r="O180" s="58"/>
      <c r="P180" s="58"/>
      <c r="Q180" s="58"/>
      <c r="R180" s="58"/>
      <c r="S180" s="58"/>
      <c r="T180" s="58"/>
      <c r="U180" s="59"/>
      <c r="V180" s="59"/>
      <c r="W180" s="54"/>
      <c r="X180" s="55"/>
      <c r="Y180" s="54"/>
      <c r="Z180" s="54"/>
      <c r="AA180" s="56"/>
      <c r="AB180" s="54"/>
      <c r="AC180" s="54"/>
      <c r="AD180" s="55"/>
      <c r="AE180" s="54"/>
      <c r="AF180" s="54"/>
      <c r="AG180" s="54"/>
      <c r="AH180" s="54"/>
      <c r="AI180" s="54"/>
      <c r="AJ180" s="54"/>
      <c r="AK180" s="54"/>
      <c r="AL180" s="54">
        <v>9.3000000000000007</v>
      </c>
      <c r="AM180" s="54">
        <v>9.3000000000000007</v>
      </c>
      <c r="AN180" s="177">
        <v>5.5</v>
      </c>
      <c r="AO180" s="54">
        <v>5.3</v>
      </c>
      <c r="AP180" s="54">
        <v>0</v>
      </c>
      <c r="AQ180" s="54">
        <v>0</v>
      </c>
      <c r="AR180" s="125">
        <v>0</v>
      </c>
      <c r="AS180" s="54">
        <v>0</v>
      </c>
      <c r="AT180" s="54">
        <v>0</v>
      </c>
      <c r="AU180" s="54">
        <v>0</v>
      </c>
      <c r="AV180" s="10">
        <v>0</v>
      </c>
      <c r="AW180" s="10">
        <v>0</v>
      </c>
      <c r="AX180" s="10"/>
      <c r="AY180" s="10"/>
      <c r="AZ180" s="10" t="s">
        <v>147</v>
      </c>
      <c r="BA180" s="10"/>
      <c r="BB180" s="11"/>
      <c r="BC180" s="11"/>
      <c r="BD180" s="11"/>
      <c r="BE180" s="11"/>
      <c r="BF180" s="11"/>
      <c r="BG180" s="5"/>
      <c r="BH180" s="5"/>
      <c r="BI180" s="5"/>
      <c r="BJ180" s="5"/>
      <c r="BK180" s="5"/>
      <c r="BL180" s="10"/>
      <c r="BM180" s="10"/>
      <c r="BN180" s="10"/>
      <c r="BO180" s="10"/>
      <c r="BP180" s="10"/>
      <c r="BQ180" s="11"/>
      <c r="BR180" s="11"/>
      <c r="BS180" s="30"/>
    </row>
    <row r="181" spans="1:71" s="1" customFormat="1" x14ac:dyDescent="0.3">
      <c r="A181" s="11"/>
      <c r="B181" s="10"/>
      <c r="C181" s="11"/>
      <c r="D181" s="214"/>
      <c r="E181" s="206"/>
      <c r="F181" s="206"/>
      <c r="G181" s="206"/>
      <c r="H181" s="206"/>
      <c r="I181" s="206"/>
      <c r="J181" s="206"/>
      <c r="K181" s="206"/>
      <c r="L181" s="206"/>
      <c r="M181" s="206"/>
      <c r="N181" s="206"/>
      <c r="O181" s="206"/>
      <c r="P181" s="206"/>
      <c r="Q181" s="206"/>
      <c r="R181" s="206"/>
      <c r="S181" s="206"/>
      <c r="T181" s="206"/>
      <c r="U181" s="207"/>
      <c r="V181" s="207"/>
      <c r="W181" s="87"/>
      <c r="X181" s="209"/>
      <c r="Y181" s="87"/>
      <c r="Z181" s="87"/>
      <c r="AA181" s="208"/>
      <c r="AB181" s="87"/>
      <c r="AC181" s="87"/>
      <c r="AD181" s="209"/>
      <c r="AE181" s="87"/>
      <c r="AF181" s="87"/>
      <c r="AG181" s="87"/>
      <c r="AH181" s="87"/>
      <c r="AI181" s="87"/>
      <c r="AJ181" s="87"/>
      <c r="AK181" s="87"/>
      <c r="AL181" s="206">
        <f t="shared" ref="AL181:AV181" si="58">SUM(AL176:AL180)</f>
        <v>30.3</v>
      </c>
      <c r="AM181" s="206">
        <f t="shared" si="58"/>
        <v>31.6</v>
      </c>
      <c r="AN181" s="240">
        <f t="shared" si="58"/>
        <v>26.9</v>
      </c>
      <c r="AO181" s="58">
        <f t="shared" si="58"/>
        <v>26</v>
      </c>
      <c r="AP181" s="58">
        <f t="shared" si="58"/>
        <v>36.1</v>
      </c>
      <c r="AQ181" s="58">
        <f t="shared" si="58"/>
        <v>46.7</v>
      </c>
      <c r="AR181" s="174">
        <f t="shared" si="58"/>
        <v>49.3</v>
      </c>
      <c r="AS181" s="58">
        <f t="shared" si="58"/>
        <v>49</v>
      </c>
      <c r="AT181" s="58">
        <f t="shared" si="58"/>
        <v>76.199999999999989</v>
      </c>
      <c r="AU181" s="58">
        <f t="shared" si="58"/>
        <v>41.4</v>
      </c>
      <c r="AV181" s="58">
        <f t="shared" si="58"/>
        <v>47.900000000000006</v>
      </c>
      <c r="AW181" s="58">
        <f>SUM(AW176:AW180)</f>
        <v>47</v>
      </c>
      <c r="AX181" s="58">
        <f>SUM(AX176:AX180)</f>
        <v>26.8</v>
      </c>
      <c r="AY181" s="58">
        <f>SUM(AY176:AY180)</f>
        <v>83.7</v>
      </c>
      <c r="AZ181" s="11" t="s">
        <v>146</v>
      </c>
      <c r="BA181" s="10"/>
      <c r="BB181" s="11"/>
      <c r="BC181" s="11"/>
      <c r="BD181" s="11"/>
      <c r="BE181" s="11"/>
      <c r="BF181" s="11"/>
      <c r="BG181" s="5"/>
      <c r="BH181" s="5"/>
      <c r="BI181" s="5"/>
      <c r="BJ181" s="5"/>
      <c r="BK181" s="5"/>
      <c r="BL181" s="10"/>
      <c r="BM181" s="10"/>
      <c r="BN181" s="10"/>
      <c r="BO181" s="10"/>
      <c r="BP181" s="10"/>
      <c r="BQ181" s="11"/>
      <c r="BR181" s="11"/>
      <c r="BS181" s="30"/>
    </row>
    <row r="182" spans="1:71" x14ac:dyDescent="0.3">
      <c r="A182" s="89"/>
      <c r="B182" s="89"/>
      <c r="C182" s="89"/>
      <c r="D182" s="89"/>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56"/>
      <c r="AP182" s="56"/>
      <c r="AQ182" s="284"/>
      <c r="AR182" s="116"/>
      <c r="AZ182" s="289"/>
      <c r="BC182" s="288"/>
      <c r="BD182" s="288"/>
    </row>
    <row r="183" spans="1:71" x14ac:dyDescent="0.3">
      <c r="A183" s="18" t="s">
        <v>369</v>
      </c>
      <c r="E183" s="54">
        <v>180.4</v>
      </c>
      <c r="F183" s="54">
        <v>204.7</v>
      </c>
      <c r="G183" s="54">
        <v>224.85</v>
      </c>
      <c r="H183" s="54">
        <v>227.5</v>
      </c>
      <c r="I183" s="54">
        <v>253.95</v>
      </c>
      <c r="J183" s="54">
        <v>295.10000000000002</v>
      </c>
      <c r="K183" s="54">
        <v>335.5</v>
      </c>
      <c r="L183" s="54">
        <v>410.8</v>
      </c>
      <c r="M183" s="54">
        <v>429.6</v>
      </c>
      <c r="N183" s="54">
        <v>532</v>
      </c>
      <c r="O183" s="54">
        <v>559.5</v>
      </c>
      <c r="P183" s="54">
        <v>545.9</v>
      </c>
      <c r="Q183" s="54">
        <v>564.1</v>
      </c>
      <c r="R183" s="54">
        <v>705.8</v>
      </c>
      <c r="S183" s="54">
        <v>760.4</v>
      </c>
      <c r="T183" s="54">
        <v>851.9</v>
      </c>
      <c r="U183" s="55">
        <v>757.8</v>
      </c>
      <c r="V183" s="55">
        <v>713.7</v>
      </c>
      <c r="W183" s="54">
        <v>774.3</v>
      </c>
      <c r="X183" s="55">
        <v>649.70000000000005</v>
      </c>
      <c r="Y183" s="54">
        <v>651.79999999999995</v>
      </c>
      <c r="Z183" s="54">
        <v>783.2</v>
      </c>
      <c r="AA183" s="56">
        <v>755.6</v>
      </c>
      <c r="AB183" s="54">
        <v>973.8</v>
      </c>
      <c r="AC183" s="54">
        <v>979.56</v>
      </c>
      <c r="AD183" s="55">
        <v>1001.9</v>
      </c>
      <c r="AE183" s="54">
        <v>772.6</v>
      </c>
      <c r="AF183" s="54">
        <v>853.6</v>
      </c>
      <c r="AG183" s="54">
        <v>933.9</v>
      </c>
      <c r="AH183" s="54">
        <v>1096.4000000000001</v>
      </c>
      <c r="AI183" s="54">
        <v>1253</v>
      </c>
      <c r="AJ183" s="54">
        <v>1536</v>
      </c>
      <c r="AK183" s="54">
        <v>555</v>
      </c>
      <c r="AL183" s="54">
        <v>1599</v>
      </c>
      <c r="AM183" s="54">
        <v>1487</v>
      </c>
      <c r="AN183" s="54">
        <v>1493.4</v>
      </c>
      <c r="AO183" s="54">
        <v>1551.3</v>
      </c>
      <c r="AP183" s="54">
        <v>1610</v>
      </c>
      <c r="AQ183" s="54">
        <v>1682.9</v>
      </c>
      <c r="AR183" s="268">
        <v>1849</v>
      </c>
      <c r="AS183" s="54">
        <v>1871.5</v>
      </c>
      <c r="AT183" s="54">
        <v>2090</v>
      </c>
      <c r="AU183" s="54">
        <v>2166</v>
      </c>
      <c r="AV183" s="10">
        <v>2213</v>
      </c>
      <c r="AW183" s="10">
        <v>2245</v>
      </c>
      <c r="AX183" s="10">
        <v>2245</v>
      </c>
      <c r="AY183" s="10">
        <v>2420</v>
      </c>
      <c r="AZ183" s="10" t="s">
        <v>369</v>
      </c>
      <c r="BE183" s="11"/>
      <c r="BJ183" s="10" t="s">
        <v>135</v>
      </c>
      <c r="BK183" s="10" t="s">
        <v>365</v>
      </c>
      <c r="BL183" s="10" t="s">
        <v>247</v>
      </c>
      <c r="BM183" s="10" t="s">
        <v>263</v>
      </c>
      <c r="BN183" s="10" t="s">
        <v>207</v>
      </c>
      <c r="BO183" s="10" t="s">
        <v>338</v>
      </c>
      <c r="BP183" s="10" t="s">
        <v>115</v>
      </c>
      <c r="BQ183" s="10" t="s">
        <v>281</v>
      </c>
    </row>
    <row r="184" spans="1:71" x14ac:dyDescent="0.3">
      <c r="A184" s="18" t="s">
        <v>370</v>
      </c>
      <c r="E184" s="54">
        <v>406.2</v>
      </c>
      <c r="F184" s="54">
        <v>431</v>
      </c>
      <c r="G184" s="54">
        <v>469.9</v>
      </c>
      <c r="H184" s="54">
        <v>516.9</v>
      </c>
      <c r="I184" s="54">
        <v>529.4</v>
      </c>
      <c r="J184" s="54">
        <v>534.5</v>
      </c>
      <c r="K184" s="54">
        <v>635.4</v>
      </c>
      <c r="L184" s="54">
        <v>721.8</v>
      </c>
      <c r="M184" s="54">
        <v>649.29999999999995</v>
      </c>
      <c r="N184" s="54">
        <v>701.6</v>
      </c>
      <c r="O184" s="54">
        <v>804.7</v>
      </c>
      <c r="P184" s="54">
        <v>913.3</v>
      </c>
      <c r="Q184" s="54">
        <v>1084.2</v>
      </c>
      <c r="R184" s="54">
        <v>1138.8</v>
      </c>
      <c r="S184" s="54">
        <v>1458.8</v>
      </c>
      <c r="T184" s="54">
        <v>1406.5</v>
      </c>
      <c r="U184" s="55">
        <v>1604.5</v>
      </c>
      <c r="V184" s="55">
        <v>969.2</v>
      </c>
      <c r="W184" s="54">
        <v>965.8</v>
      </c>
      <c r="X184" s="55">
        <v>996</v>
      </c>
      <c r="Y184" s="66"/>
      <c r="Z184" s="66"/>
      <c r="AI184" s="54"/>
      <c r="AJ184" s="54"/>
      <c r="AK184" s="54"/>
      <c r="AL184" s="54"/>
      <c r="AM184" s="54"/>
      <c r="AN184" s="54"/>
      <c r="AO184" s="54"/>
      <c r="AP184" s="54"/>
      <c r="AQ184" s="54"/>
      <c r="AR184" s="177"/>
      <c r="AS184" s="54"/>
      <c r="AT184" s="54"/>
      <c r="AU184" s="54"/>
      <c r="AZ184" s="10" t="s">
        <v>370</v>
      </c>
    </row>
    <row r="185" spans="1:71" x14ac:dyDescent="0.3">
      <c r="A185" s="18" t="s">
        <v>82</v>
      </c>
      <c r="E185" s="54">
        <v>161.6</v>
      </c>
      <c r="F185" s="54">
        <v>177.2</v>
      </c>
      <c r="G185" s="54">
        <v>191.35</v>
      </c>
      <c r="H185" s="54">
        <v>252.8</v>
      </c>
      <c r="I185" s="54">
        <v>218.65</v>
      </c>
      <c r="J185" s="54">
        <v>193.6</v>
      </c>
      <c r="K185" s="54">
        <v>289.5</v>
      </c>
      <c r="L185" s="54">
        <v>299.10000000000002</v>
      </c>
      <c r="M185" s="54">
        <v>294.5</v>
      </c>
      <c r="N185" s="54">
        <v>330.4</v>
      </c>
      <c r="O185" s="54">
        <v>417.5</v>
      </c>
      <c r="P185" s="54">
        <v>417.7</v>
      </c>
      <c r="Q185" s="54">
        <v>440.9</v>
      </c>
      <c r="R185" s="54">
        <v>547.79999999999995</v>
      </c>
      <c r="S185" s="54">
        <v>535.6</v>
      </c>
      <c r="T185" s="54">
        <v>544.5</v>
      </c>
      <c r="U185" s="55">
        <v>588.4</v>
      </c>
      <c r="V185" s="55">
        <v>710.4</v>
      </c>
      <c r="W185" s="54">
        <v>559.9</v>
      </c>
      <c r="X185" s="55">
        <v>596.4</v>
      </c>
      <c r="Y185" s="66"/>
      <c r="Z185" s="66"/>
      <c r="AI185" s="54"/>
      <c r="AJ185" s="54"/>
      <c r="AK185" s="54"/>
      <c r="AL185" s="54"/>
      <c r="AM185" s="54"/>
      <c r="AN185" s="54"/>
      <c r="AO185" s="54"/>
      <c r="AP185" s="54"/>
      <c r="AQ185" s="267"/>
      <c r="AR185" s="305"/>
      <c r="AS185" s="54"/>
      <c r="AT185" s="54"/>
      <c r="AU185" s="54"/>
      <c r="AZ185" s="10" t="s">
        <v>82</v>
      </c>
    </row>
    <row r="186" spans="1:71" s="1" customFormat="1" x14ac:dyDescent="0.3">
      <c r="A186" s="34" t="s">
        <v>83</v>
      </c>
      <c r="B186" s="11"/>
      <c r="C186" s="11"/>
      <c r="D186" s="11"/>
      <c r="E186" s="58">
        <f t="shared" ref="E186:AH186" si="59">SUM(E183:E185)</f>
        <v>748.2</v>
      </c>
      <c r="F186" s="58">
        <f t="shared" si="59"/>
        <v>812.90000000000009</v>
      </c>
      <c r="G186" s="58">
        <f t="shared" si="59"/>
        <v>886.1</v>
      </c>
      <c r="H186" s="58">
        <f t="shared" si="59"/>
        <v>997.2</v>
      </c>
      <c r="I186" s="58">
        <f t="shared" si="59"/>
        <v>1001.9999999999999</v>
      </c>
      <c r="J186" s="58">
        <f t="shared" si="59"/>
        <v>1023.2</v>
      </c>
      <c r="K186" s="58">
        <f t="shared" si="59"/>
        <v>1260.4000000000001</v>
      </c>
      <c r="L186" s="58">
        <f t="shared" si="59"/>
        <v>1431.6999999999998</v>
      </c>
      <c r="M186" s="58">
        <f t="shared" si="59"/>
        <v>1373.4</v>
      </c>
      <c r="N186" s="58">
        <f t="shared" si="59"/>
        <v>1564</v>
      </c>
      <c r="O186" s="58">
        <f t="shared" si="59"/>
        <v>1781.7</v>
      </c>
      <c r="P186" s="58">
        <f t="shared" si="59"/>
        <v>1876.8999999999999</v>
      </c>
      <c r="Q186" s="58">
        <f t="shared" si="59"/>
        <v>2089.2000000000003</v>
      </c>
      <c r="R186" s="58">
        <f t="shared" si="59"/>
        <v>2392.3999999999996</v>
      </c>
      <c r="S186" s="58">
        <f t="shared" si="59"/>
        <v>2754.7999999999997</v>
      </c>
      <c r="T186" s="58">
        <f t="shared" si="59"/>
        <v>2802.9</v>
      </c>
      <c r="U186" s="59">
        <f t="shared" si="59"/>
        <v>2950.7000000000003</v>
      </c>
      <c r="V186" s="59">
        <f t="shared" si="59"/>
        <v>2393.3000000000002</v>
      </c>
      <c r="W186" s="58">
        <f t="shared" si="59"/>
        <v>2300</v>
      </c>
      <c r="X186" s="59">
        <f t="shared" si="59"/>
        <v>2242.1</v>
      </c>
      <c r="Y186" s="58">
        <f t="shared" si="59"/>
        <v>651.79999999999995</v>
      </c>
      <c r="Z186" s="58">
        <f t="shared" si="59"/>
        <v>783.2</v>
      </c>
      <c r="AA186" s="77">
        <f t="shared" si="59"/>
        <v>755.6</v>
      </c>
      <c r="AB186" s="58">
        <f t="shared" si="59"/>
        <v>973.8</v>
      </c>
      <c r="AC186" s="58">
        <f t="shared" si="59"/>
        <v>979.56</v>
      </c>
      <c r="AD186" s="59">
        <f t="shared" si="59"/>
        <v>1001.9</v>
      </c>
      <c r="AE186" s="58">
        <f t="shared" si="59"/>
        <v>772.6</v>
      </c>
      <c r="AF186" s="58">
        <f t="shared" si="59"/>
        <v>853.6</v>
      </c>
      <c r="AG186" s="58">
        <f t="shared" si="59"/>
        <v>933.9</v>
      </c>
      <c r="AH186" s="58">
        <f t="shared" si="59"/>
        <v>1096.4000000000001</v>
      </c>
      <c r="AI186" s="58">
        <f t="shared" ref="AI186:AN186" si="60">SUM(AI183:AI185)</f>
        <v>1253</v>
      </c>
      <c r="AJ186" s="58">
        <f t="shared" si="60"/>
        <v>1536</v>
      </c>
      <c r="AK186" s="58">
        <f t="shared" si="60"/>
        <v>555</v>
      </c>
      <c r="AL186" s="58">
        <f t="shared" si="60"/>
        <v>1599</v>
      </c>
      <c r="AM186" s="58">
        <f t="shared" si="60"/>
        <v>1487</v>
      </c>
      <c r="AN186" s="58">
        <f t="shared" si="60"/>
        <v>1493.4</v>
      </c>
      <c r="AO186" s="58">
        <f t="shared" ref="AO186:AY186" si="61">SUM(AO183:AO185)</f>
        <v>1551.3</v>
      </c>
      <c r="AP186" s="58">
        <f t="shared" si="61"/>
        <v>1610</v>
      </c>
      <c r="AQ186" s="58">
        <f t="shared" si="61"/>
        <v>1682.9</v>
      </c>
      <c r="AR186" s="174">
        <f t="shared" si="61"/>
        <v>1849</v>
      </c>
      <c r="AS186" s="58">
        <f t="shared" si="61"/>
        <v>1871.5</v>
      </c>
      <c r="AT186" s="58">
        <f t="shared" si="61"/>
        <v>2090</v>
      </c>
      <c r="AU186" s="58">
        <f t="shared" si="61"/>
        <v>2166</v>
      </c>
      <c r="AV186" s="58">
        <f t="shared" si="61"/>
        <v>2213</v>
      </c>
      <c r="AW186" s="58">
        <f t="shared" si="61"/>
        <v>2245</v>
      </c>
      <c r="AX186" s="58">
        <f t="shared" si="61"/>
        <v>2245</v>
      </c>
      <c r="AY186" s="58">
        <f t="shared" si="61"/>
        <v>2420</v>
      </c>
      <c r="AZ186" s="11" t="s">
        <v>83</v>
      </c>
      <c r="BA186" s="11"/>
      <c r="BB186" s="11"/>
      <c r="BC186" s="11"/>
      <c r="BD186" s="11"/>
      <c r="BE186" s="11"/>
      <c r="BF186" s="11"/>
      <c r="BG186" s="5"/>
      <c r="BH186" s="29"/>
      <c r="BI186" s="11"/>
      <c r="BJ186" s="11"/>
      <c r="BK186" s="11"/>
      <c r="BL186" s="11"/>
      <c r="BM186" s="11"/>
      <c r="BN186" s="11"/>
      <c r="BO186" s="11"/>
      <c r="BP186" s="11"/>
      <c r="BQ186" s="11"/>
      <c r="BR186" s="11"/>
      <c r="BS186" s="30"/>
    </row>
    <row r="187" spans="1:71" x14ac:dyDescent="0.3">
      <c r="AI187" s="54"/>
      <c r="AJ187" s="54"/>
      <c r="AK187" s="54"/>
      <c r="AL187" s="70"/>
      <c r="AM187" s="70"/>
      <c r="AN187" s="70"/>
      <c r="AO187" s="70"/>
      <c r="AP187" s="242"/>
      <c r="AQ187" s="285"/>
      <c r="AR187" s="285"/>
      <c r="AS187" s="242"/>
      <c r="AT187" s="242"/>
      <c r="AU187" s="242"/>
      <c r="AV187" s="137"/>
      <c r="AW187" s="137"/>
      <c r="AX187" s="137"/>
      <c r="AY187" s="137"/>
      <c r="AZ187" s="53"/>
      <c r="BE187" s="11"/>
    </row>
    <row r="188" spans="1:71" x14ac:dyDescent="0.3">
      <c r="A188" s="18" t="s">
        <v>84</v>
      </c>
      <c r="AI188" s="54"/>
      <c r="AJ188" s="54"/>
      <c r="AK188" s="54"/>
      <c r="AL188" s="54"/>
      <c r="AM188" s="54"/>
      <c r="AN188" s="54"/>
      <c r="AO188" s="54"/>
      <c r="AP188" s="54"/>
      <c r="AR188" s="307">
        <f>AR173+AR183</f>
        <v>5764.6219212429878</v>
      </c>
      <c r="AS188" s="54"/>
      <c r="AT188" s="54"/>
      <c r="AU188" s="54"/>
      <c r="AZ188" s="10" t="s">
        <v>84</v>
      </c>
    </row>
    <row r="189" spans="1:71" x14ac:dyDescent="0.3">
      <c r="B189" s="10" t="s">
        <v>85</v>
      </c>
      <c r="E189" s="54">
        <v>0</v>
      </c>
      <c r="F189" s="54">
        <v>0</v>
      </c>
      <c r="G189" s="54">
        <v>0</v>
      </c>
      <c r="H189" s="54">
        <v>0</v>
      </c>
      <c r="I189" s="54">
        <v>0</v>
      </c>
      <c r="J189" s="54">
        <v>0</v>
      </c>
      <c r="K189" s="54">
        <v>0</v>
      </c>
      <c r="L189" s="54">
        <v>0</v>
      </c>
      <c r="M189" s="54">
        <v>0</v>
      </c>
      <c r="N189" s="54">
        <v>0</v>
      </c>
      <c r="O189" s="54">
        <v>0</v>
      </c>
      <c r="P189" s="54">
        <v>0</v>
      </c>
      <c r="Q189" s="54">
        <v>0</v>
      </c>
      <c r="R189" s="54">
        <v>0</v>
      </c>
      <c r="S189" s="54">
        <v>0</v>
      </c>
      <c r="T189" s="54">
        <v>0</v>
      </c>
      <c r="U189" s="55">
        <v>141.1</v>
      </c>
      <c r="V189" s="55">
        <v>120.2</v>
      </c>
      <c r="W189" s="54">
        <v>114.4</v>
      </c>
      <c r="X189" s="55">
        <v>0</v>
      </c>
      <c r="AI189" s="54"/>
      <c r="AJ189" s="54"/>
      <c r="AK189" s="54"/>
      <c r="AL189" s="54"/>
      <c r="AM189" s="54"/>
      <c r="AN189" s="54"/>
      <c r="AO189" s="54"/>
      <c r="AP189" s="54"/>
      <c r="AQ189" s="259"/>
      <c r="AR189" s="259"/>
      <c r="AS189" s="54"/>
      <c r="AT189" s="54"/>
      <c r="AU189" s="54"/>
      <c r="BA189" s="10" t="s">
        <v>85</v>
      </c>
    </row>
    <row r="190" spans="1:71" x14ac:dyDescent="0.3">
      <c r="B190" s="10" t="s">
        <v>86</v>
      </c>
      <c r="E190" s="54">
        <v>0</v>
      </c>
      <c r="F190" s="54">
        <v>0</v>
      </c>
      <c r="G190" s="54">
        <v>0</v>
      </c>
      <c r="H190" s="54">
        <v>0</v>
      </c>
      <c r="I190" s="54">
        <v>0</v>
      </c>
      <c r="J190" s="54">
        <v>0</v>
      </c>
      <c r="K190" s="54">
        <v>0</v>
      </c>
      <c r="L190" s="54">
        <v>0</v>
      </c>
      <c r="M190" s="54">
        <v>0</v>
      </c>
      <c r="N190" s="54">
        <v>0</v>
      </c>
      <c r="O190" s="54">
        <f>SUM(AL176:AL179)</f>
        <v>21</v>
      </c>
      <c r="P190" s="54">
        <v>0</v>
      </c>
      <c r="Q190" s="54">
        <v>0</v>
      </c>
      <c r="R190" s="54">
        <v>0</v>
      </c>
      <c r="S190" s="54">
        <v>0</v>
      </c>
      <c r="T190" s="54">
        <v>0</v>
      </c>
      <c r="U190" s="55">
        <v>14.7</v>
      </c>
      <c r="V190" s="55">
        <v>17.2</v>
      </c>
      <c r="W190" s="54">
        <v>13.4</v>
      </c>
      <c r="X190" s="55">
        <v>0</v>
      </c>
      <c r="AI190" s="54"/>
      <c r="AJ190" s="54"/>
      <c r="AK190" s="54"/>
      <c r="AL190" s="54"/>
      <c r="AM190" s="54"/>
      <c r="AN190" s="54"/>
      <c r="AO190" s="54"/>
      <c r="AP190" s="54"/>
      <c r="AQ190" s="177"/>
      <c r="AR190" s="177"/>
      <c r="AS190" s="54"/>
      <c r="AT190" s="54"/>
      <c r="AU190" s="54"/>
      <c r="BA190" s="10" t="s">
        <v>86</v>
      </c>
    </row>
    <row r="191" spans="1:71" x14ac:dyDescent="0.3">
      <c r="B191" s="10" t="s">
        <v>87</v>
      </c>
      <c r="E191" s="54">
        <v>0</v>
      </c>
      <c r="F191" s="54">
        <v>0</v>
      </c>
      <c r="G191" s="54">
        <v>0</v>
      </c>
      <c r="H191" s="54">
        <v>0</v>
      </c>
      <c r="I191" s="54">
        <v>0</v>
      </c>
      <c r="J191" s="54">
        <v>0</v>
      </c>
      <c r="K191" s="54">
        <v>0</v>
      </c>
      <c r="L191" s="54">
        <v>0</v>
      </c>
      <c r="N191" s="54">
        <v>0</v>
      </c>
      <c r="O191" s="54">
        <v>0</v>
      </c>
      <c r="P191" s="54">
        <v>0</v>
      </c>
      <c r="Q191" s="54">
        <v>0</v>
      </c>
      <c r="R191" s="54">
        <v>10.4</v>
      </c>
      <c r="S191" s="54">
        <v>12.3</v>
      </c>
      <c r="T191" s="54">
        <v>12.3</v>
      </c>
      <c r="U191" s="55">
        <v>9.6</v>
      </c>
      <c r="V191" s="55">
        <v>0</v>
      </c>
      <c r="W191" s="54">
        <v>0</v>
      </c>
      <c r="X191" s="55">
        <v>0</v>
      </c>
      <c r="AI191" s="54"/>
      <c r="AJ191" s="54"/>
      <c r="AK191" s="54"/>
      <c r="AL191" s="54"/>
      <c r="AM191" s="54"/>
      <c r="AN191" s="54"/>
      <c r="AO191" s="54"/>
      <c r="AP191" s="54"/>
      <c r="AQ191" s="177"/>
      <c r="AR191" s="177"/>
      <c r="AS191" s="54"/>
      <c r="AT191" s="54"/>
      <c r="AU191" s="54"/>
      <c r="BA191" s="10" t="s">
        <v>87</v>
      </c>
    </row>
    <row r="192" spans="1:71" x14ac:dyDescent="0.3">
      <c r="B192" s="10" t="s">
        <v>88</v>
      </c>
      <c r="E192" s="54">
        <v>158.1</v>
      </c>
      <c r="F192" s="54">
        <v>158.5</v>
      </c>
      <c r="G192" s="54">
        <v>169.3</v>
      </c>
      <c r="H192" s="54">
        <v>165.7</v>
      </c>
      <c r="I192" s="54">
        <v>170.7</v>
      </c>
      <c r="J192" s="54">
        <v>143.19999999999999</v>
      </c>
      <c r="K192" s="54">
        <v>183.3</v>
      </c>
      <c r="L192" s="54">
        <v>187.7</v>
      </c>
      <c r="M192" s="54">
        <v>178</v>
      </c>
      <c r="N192" s="54">
        <v>192</v>
      </c>
      <c r="O192" s="54">
        <v>267.8</v>
      </c>
      <c r="P192" s="54">
        <v>255.7</v>
      </c>
      <c r="Q192" s="54">
        <v>305.39999999999998</v>
      </c>
      <c r="R192" s="54">
        <v>390.6</v>
      </c>
      <c r="S192" s="54">
        <v>352.4</v>
      </c>
      <c r="T192" s="54">
        <v>352.2</v>
      </c>
      <c r="U192" s="55">
        <v>395.2</v>
      </c>
      <c r="V192" s="55">
        <v>418.5</v>
      </c>
      <c r="W192" s="54">
        <v>411</v>
      </c>
      <c r="X192" s="55">
        <v>389.1</v>
      </c>
      <c r="Y192" s="54">
        <v>395.7</v>
      </c>
      <c r="Z192" s="54">
        <v>425.9</v>
      </c>
      <c r="AA192" s="56">
        <v>421.8</v>
      </c>
      <c r="AB192" s="54">
        <v>470.1</v>
      </c>
      <c r="AC192" s="54">
        <v>525.29999999999995</v>
      </c>
      <c r="AD192" s="55">
        <v>494.4</v>
      </c>
      <c r="AE192" s="54">
        <v>624</v>
      </c>
      <c r="AF192" s="54">
        <v>566.6</v>
      </c>
      <c r="AG192" s="54">
        <v>564.1</v>
      </c>
      <c r="AH192" s="54">
        <v>480.1</v>
      </c>
      <c r="AI192" s="54">
        <v>531.1</v>
      </c>
      <c r="AJ192" s="54">
        <v>585.20000000000005</v>
      </c>
      <c r="AK192" s="54">
        <v>165.7</v>
      </c>
      <c r="AL192" s="54">
        <v>588</v>
      </c>
      <c r="AM192" s="54">
        <v>595.20000000000005</v>
      </c>
      <c r="AN192" s="54">
        <v>592.4</v>
      </c>
      <c r="AO192" s="54">
        <v>560.70000000000005</v>
      </c>
      <c r="AP192" s="54">
        <v>610</v>
      </c>
      <c r="AQ192" s="204">
        <v>572.6</v>
      </c>
      <c r="AR192" s="204">
        <v>609</v>
      </c>
      <c r="AS192" s="54">
        <v>612</v>
      </c>
      <c r="AT192" s="54">
        <v>673</v>
      </c>
      <c r="AU192" s="54">
        <v>705</v>
      </c>
      <c r="AV192" s="10">
        <v>750</v>
      </c>
      <c r="AW192" s="10">
        <v>753</v>
      </c>
      <c r="AX192" s="5">
        <v>753</v>
      </c>
      <c r="AY192" s="5">
        <v>903.7</v>
      </c>
      <c r="BA192" s="10" t="s">
        <v>88</v>
      </c>
      <c r="BJ192" s="10" t="s">
        <v>73</v>
      </c>
      <c r="BK192" s="10" t="s">
        <v>345</v>
      </c>
      <c r="BL192" s="10" t="s">
        <v>139</v>
      </c>
      <c r="BM192" s="10" t="s">
        <v>264</v>
      </c>
      <c r="BO192" s="10" t="s">
        <v>339</v>
      </c>
      <c r="BP192" s="10" t="s">
        <v>28</v>
      </c>
      <c r="BQ192" s="10" t="s">
        <v>344</v>
      </c>
    </row>
    <row r="193" spans="1:81" x14ac:dyDescent="0.3">
      <c r="AI193" s="54"/>
      <c r="AJ193" s="54"/>
      <c r="AK193" s="54"/>
      <c r="AL193" s="54"/>
      <c r="AM193" s="54"/>
      <c r="AN193" s="54"/>
      <c r="AO193" s="54"/>
      <c r="AP193" s="54"/>
      <c r="AR193" s="204"/>
      <c r="AS193" s="54"/>
      <c r="AT193" s="54"/>
      <c r="AU193" s="54"/>
      <c r="AW193" s="331"/>
      <c r="AX193" s="5"/>
      <c r="AY193" s="5"/>
    </row>
    <row r="194" spans="1:81" s="1" customFormat="1" x14ac:dyDescent="0.3">
      <c r="A194" s="34" t="s">
        <v>89</v>
      </c>
      <c r="B194" s="11"/>
      <c r="C194" s="11"/>
      <c r="D194" s="11"/>
      <c r="E194" s="58">
        <f t="shared" ref="E194:AH194" si="62">SUM(E189:E192)</f>
        <v>158.1</v>
      </c>
      <c r="F194" s="58">
        <f t="shared" si="62"/>
        <v>158.5</v>
      </c>
      <c r="G194" s="58">
        <f t="shared" si="62"/>
        <v>169.3</v>
      </c>
      <c r="H194" s="58">
        <f t="shared" si="62"/>
        <v>165.7</v>
      </c>
      <c r="I194" s="58">
        <f t="shared" si="62"/>
        <v>170.7</v>
      </c>
      <c r="J194" s="58">
        <f t="shared" si="62"/>
        <v>143.19999999999999</v>
      </c>
      <c r="K194" s="58">
        <f t="shared" si="62"/>
        <v>183.3</v>
      </c>
      <c r="L194" s="58">
        <f t="shared" si="62"/>
        <v>187.7</v>
      </c>
      <c r="M194" s="58">
        <f t="shared" si="62"/>
        <v>178</v>
      </c>
      <c r="N194" s="58">
        <f t="shared" si="62"/>
        <v>192</v>
      </c>
      <c r="O194" s="58">
        <f t="shared" si="62"/>
        <v>288.8</v>
      </c>
      <c r="P194" s="58">
        <f t="shared" si="62"/>
        <v>255.7</v>
      </c>
      <c r="Q194" s="58">
        <f t="shared" si="62"/>
        <v>305.39999999999998</v>
      </c>
      <c r="R194" s="58">
        <f t="shared" si="62"/>
        <v>401</v>
      </c>
      <c r="S194" s="58">
        <f t="shared" si="62"/>
        <v>364.7</v>
      </c>
      <c r="T194" s="58">
        <f t="shared" si="62"/>
        <v>364.5</v>
      </c>
      <c r="U194" s="59">
        <f t="shared" si="62"/>
        <v>560.59999999999991</v>
      </c>
      <c r="V194" s="59">
        <f t="shared" si="62"/>
        <v>555.9</v>
      </c>
      <c r="W194" s="58">
        <f t="shared" si="62"/>
        <v>538.79999999999995</v>
      </c>
      <c r="X194" s="59">
        <f t="shared" si="62"/>
        <v>389.1</v>
      </c>
      <c r="Y194" s="58">
        <f t="shared" si="62"/>
        <v>395.7</v>
      </c>
      <c r="Z194" s="58">
        <f t="shared" si="62"/>
        <v>425.9</v>
      </c>
      <c r="AA194" s="77">
        <f t="shared" si="62"/>
        <v>421.8</v>
      </c>
      <c r="AB194" s="58">
        <f t="shared" si="62"/>
        <v>470.1</v>
      </c>
      <c r="AC194" s="58">
        <f t="shared" si="62"/>
        <v>525.29999999999995</v>
      </c>
      <c r="AD194" s="59">
        <f t="shared" si="62"/>
        <v>494.4</v>
      </c>
      <c r="AE194" s="58">
        <f t="shared" si="62"/>
        <v>624</v>
      </c>
      <c r="AF194" s="58">
        <f t="shared" si="62"/>
        <v>566.6</v>
      </c>
      <c r="AG194" s="58">
        <f t="shared" si="62"/>
        <v>564.1</v>
      </c>
      <c r="AH194" s="58">
        <f t="shared" si="62"/>
        <v>480.1</v>
      </c>
      <c r="AI194" s="58">
        <f t="shared" ref="AI194:AN194" si="63">SUM(AI189:AI192)</f>
        <v>531.1</v>
      </c>
      <c r="AJ194" s="58">
        <f t="shared" si="63"/>
        <v>585.20000000000005</v>
      </c>
      <c r="AK194" s="58">
        <f t="shared" si="63"/>
        <v>165.7</v>
      </c>
      <c r="AL194" s="58">
        <f t="shared" si="63"/>
        <v>588</v>
      </c>
      <c r="AM194" s="58">
        <f t="shared" si="63"/>
        <v>595.20000000000005</v>
      </c>
      <c r="AN194" s="58">
        <f t="shared" si="63"/>
        <v>592.4</v>
      </c>
      <c r="AO194" s="58">
        <f t="shared" ref="AO194:AV194" si="64">SUM(AO189:AO192)</f>
        <v>560.70000000000005</v>
      </c>
      <c r="AP194" s="58">
        <f t="shared" si="64"/>
        <v>610</v>
      </c>
      <c r="AQ194" s="58">
        <f t="shared" si="64"/>
        <v>572.6</v>
      </c>
      <c r="AR194" s="174">
        <f t="shared" si="64"/>
        <v>609</v>
      </c>
      <c r="AS194" s="58">
        <f t="shared" si="64"/>
        <v>612</v>
      </c>
      <c r="AT194" s="58">
        <f t="shared" si="64"/>
        <v>673</v>
      </c>
      <c r="AU194" s="58">
        <f t="shared" si="64"/>
        <v>705</v>
      </c>
      <c r="AV194" s="58">
        <f t="shared" si="64"/>
        <v>750</v>
      </c>
      <c r="AW194" s="58">
        <v>753</v>
      </c>
      <c r="AX194" s="29">
        <f>AX192</f>
        <v>753</v>
      </c>
      <c r="AY194" s="29">
        <f>AY192</f>
        <v>903.7</v>
      </c>
      <c r="AZ194" s="11" t="s">
        <v>89</v>
      </c>
      <c r="BA194" s="11"/>
      <c r="BB194" s="11"/>
      <c r="BC194" s="11"/>
      <c r="BD194" s="11"/>
      <c r="BE194" s="11"/>
      <c r="BF194" s="11"/>
      <c r="BG194" s="29">
        <v>200</v>
      </c>
      <c r="BH194" s="29"/>
      <c r="BI194" s="11"/>
      <c r="BJ194" s="11"/>
      <c r="BK194" s="11"/>
      <c r="BL194" s="11"/>
      <c r="BM194" s="11"/>
      <c r="BN194" s="11"/>
      <c r="BO194" s="11"/>
      <c r="BP194" s="11"/>
      <c r="BQ194" s="11"/>
      <c r="BR194" s="11"/>
      <c r="BS194" s="30"/>
    </row>
    <row r="195" spans="1:81" x14ac:dyDescent="0.3">
      <c r="AI195" s="54">
        <f t="shared" ref="AI195:AV195" si="65">AI194+AI186</f>
        <v>1784.1</v>
      </c>
      <c r="AJ195" s="54">
        <f t="shared" si="65"/>
        <v>2121.1999999999998</v>
      </c>
      <c r="AK195" s="54">
        <f t="shared" si="65"/>
        <v>720.7</v>
      </c>
      <c r="AL195" s="54">
        <f t="shared" si="65"/>
        <v>2187</v>
      </c>
      <c r="AM195" s="54">
        <f t="shared" si="65"/>
        <v>2082.1999999999998</v>
      </c>
      <c r="AN195" s="54">
        <f t="shared" si="65"/>
        <v>2085.8000000000002</v>
      </c>
      <c r="AO195" s="54">
        <f t="shared" si="65"/>
        <v>2112</v>
      </c>
      <c r="AP195" s="54">
        <f t="shared" si="65"/>
        <v>2220</v>
      </c>
      <c r="AQ195" s="54">
        <f t="shared" si="65"/>
        <v>2255.5</v>
      </c>
      <c r="AR195" s="177">
        <f t="shared" si="65"/>
        <v>2458</v>
      </c>
      <c r="AS195" s="54">
        <f t="shared" si="65"/>
        <v>2483.5</v>
      </c>
      <c r="AT195" s="54">
        <f t="shared" si="65"/>
        <v>2763</v>
      </c>
      <c r="AU195" s="54">
        <f t="shared" si="65"/>
        <v>2871</v>
      </c>
      <c r="AV195" s="54">
        <f t="shared" si="65"/>
        <v>2963</v>
      </c>
      <c r="AW195" s="54">
        <f>AW194+AW186</f>
        <v>2998</v>
      </c>
      <c r="AX195" s="54">
        <f>AX194+AX186</f>
        <v>2998</v>
      </c>
      <c r="AY195" s="54">
        <f>AY194+AY186</f>
        <v>3323.7</v>
      </c>
      <c r="AZ195" s="10" t="s">
        <v>119</v>
      </c>
      <c r="BG195" s="5">
        <f>BG194/4</f>
        <v>50</v>
      </c>
    </row>
    <row r="196" spans="1:81" x14ac:dyDescent="0.3">
      <c r="AI196" s="54"/>
      <c r="AJ196" s="54"/>
      <c r="AK196" s="54"/>
      <c r="AL196" s="54"/>
      <c r="AM196" s="54"/>
      <c r="AN196" s="54"/>
      <c r="AO196" s="54"/>
      <c r="AP196" s="54"/>
      <c r="AS196" s="54"/>
      <c r="AT196" s="54"/>
      <c r="AU196" s="54"/>
      <c r="BG196" s="5">
        <f>BG195/11</f>
        <v>4.5454545454545459</v>
      </c>
    </row>
    <row r="197" spans="1:81" s="1" customFormat="1" x14ac:dyDescent="0.3">
      <c r="A197" s="34" t="s">
        <v>90</v>
      </c>
      <c r="B197" s="11"/>
      <c r="C197" s="11"/>
      <c r="D197" s="11"/>
      <c r="E197" s="58">
        <f t="shared" ref="E197:AK197" si="66">E173+E183+E194</f>
        <v>3083.4</v>
      </c>
      <c r="F197" s="58">
        <f t="shared" si="66"/>
        <v>3291.7</v>
      </c>
      <c r="G197" s="58">
        <f t="shared" si="66"/>
        <v>3515.2500000000005</v>
      </c>
      <c r="H197" s="58">
        <f t="shared" si="66"/>
        <v>3590.6999999999994</v>
      </c>
      <c r="I197" s="58">
        <f t="shared" si="66"/>
        <v>2627.4499999999994</v>
      </c>
      <c r="J197" s="58">
        <f t="shared" si="66"/>
        <v>2182.8999999999996</v>
      </c>
      <c r="K197" s="58">
        <f t="shared" si="66"/>
        <v>2214.65</v>
      </c>
      <c r="L197" s="58">
        <f t="shared" si="66"/>
        <v>2134.9</v>
      </c>
      <c r="M197" s="58">
        <f t="shared" si="66"/>
        <v>1991.3000000000002</v>
      </c>
      <c r="N197" s="58">
        <f t="shared" si="66"/>
        <v>1946.9</v>
      </c>
      <c r="O197" s="58">
        <f t="shared" si="66"/>
        <v>2247.15</v>
      </c>
      <c r="P197" s="58">
        <f t="shared" si="66"/>
        <v>2266.1</v>
      </c>
      <c r="Q197" s="58">
        <f t="shared" si="66"/>
        <v>2780.5</v>
      </c>
      <c r="R197" s="58">
        <f t="shared" si="66"/>
        <v>2954.8</v>
      </c>
      <c r="S197" s="58">
        <f t="shared" si="66"/>
        <v>3075.7</v>
      </c>
      <c r="T197" s="58">
        <f t="shared" si="66"/>
        <v>2761.3019303890028</v>
      </c>
      <c r="U197" s="59">
        <f t="shared" si="66"/>
        <v>3077.8889881943446</v>
      </c>
      <c r="V197" s="59">
        <f t="shared" si="66"/>
        <v>2962.8573070615353</v>
      </c>
      <c r="W197" s="58">
        <f t="shared" si="66"/>
        <v>2727.732507745779</v>
      </c>
      <c r="X197" s="59">
        <f t="shared" si="66"/>
        <v>2315.4722765513361</v>
      </c>
      <c r="Y197" s="58">
        <f t="shared" si="66"/>
        <v>2261.4641075366599</v>
      </c>
      <c r="Z197" s="58">
        <f t="shared" si="66"/>
        <v>2642.726415368325</v>
      </c>
      <c r="AA197" s="56">
        <f t="shared" si="66"/>
        <v>2536.3312897202736</v>
      </c>
      <c r="AB197" s="58">
        <f t="shared" si="66"/>
        <v>3211.1310380759001</v>
      </c>
      <c r="AC197" s="58">
        <f t="shared" si="66"/>
        <v>3406.6488499415536</v>
      </c>
      <c r="AD197" s="59">
        <f t="shared" si="66"/>
        <v>3400.9494294575243</v>
      </c>
      <c r="AE197" s="58">
        <f t="shared" si="66"/>
        <v>3338.0504428044278</v>
      </c>
      <c r="AF197" s="58">
        <f t="shared" si="66"/>
        <v>3291.4423452768729</v>
      </c>
      <c r="AG197" s="58">
        <f t="shared" si="66"/>
        <v>3607.1191510765975</v>
      </c>
      <c r="AH197" s="58">
        <f t="shared" si="66"/>
        <v>4066.2525609405975</v>
      </c>
      <c r="AI197" s="58">
        <f t="shared" si="66"/>
        <v>4734.2087272727276</v>
      </c>
      <c r="AJ197" s="111">
        <f t="shared" si="66"/>
        <v>5702.0918425624914</v>
      </c>
      <c r="AK197" s="111">
        <f t="shared" si="66"/>
        <v>7632.8999999999987</v>
      </c>
      <c r="AL197" s="111">
        <f t="shared" ref="AL197:AR197" si="67">AL173+AL183+AL194+AL181</f>
        <v>5870.0588937124321</v>
      </c>
      <c r="AM197" s="111">
        <f t="shared" si="67"/>
        <v>5193.5272438860857</v>
      </c>
      <c r="AN197" s="111">
        <f t="shared" si="67"/>
        <v>5380.896644360274</v>
      </c>
      <c r="AO197" s="111">
        <f t="shared" si="67"/>
        <v>5349.7525026528992</v>
      </c>
      <c r="AP197" s="111">
        <f t="shared" si="67"/>
        <v>5930.2353857770249</v>
      </c>
      <c r="AQ197" s="111">
        <f t="shared" si="67"/>
        <v>5756.5056961666241</v>
      </c>
      <c r="AR197" s="185">
        <f t="shared" si="67"/>
        <v>6422.921921242988</v>
      </c>
      <c r="AS197" s="111">
        <f t="shared" ref="AS197:AY197" si="68">AS173+AS183+AS194+AS181</f>
        <v>6350.8295964379158</v>
      </c>
      <c r="AT197" s="111">
        <f t="shared" si="68"/>
        <v>7175.4031228271942</v>
      </c>
      <c r="AU197" s="111">
        <f t="shared" si="68"/>
        <v>7501.6649283372071</v>
      </c>
      <c r="AV197" s="111">
        <f t="shared" si="68"/>
        <v>8290.1398604804799</v>
      </c>
      <c r="AW197" s="111">
        <f t="shared" si="68"/>
        <v>8661.367590356982</v>
      </c>
      <c r="AX197" s="111">
        <f t="shared" si="68"/>
        <v>8644.2856062671344</v>
      </c>
      <c r="AY197" s="111">
        <f t="shared" si="68"/>
        <v>11438.559434246785</v>
      </c>
      <c r="AZ197" s="11" t="s">
        <v>145</v>
      </c>
      <c r="BA197" s="11"/>
      <c r="BB197" s="11"/>
      <c r="BC197" s="11"/>
      <c r="BD197" s="11"/>
      <c r="BE197" s="11"/>
      <c r="BF197" s="11"/>
      <c r="BG197" s="29"/>
      <c r="BH197" s="29"/>
      <c r="BI197" s="11"/>
      <c r="BJ197" s="11"/>
      <c r="BK197" s="11"/>
      <c r="BL197" s="11"/>
      <c r="BM197" s="11"/>
      <c r="BN197" s="11"/>
      <c r="BO197" s="11"/>
      <c r="BP197" s="11"/>
      <c r="BQ197" s="11"/>
      <c r="BR197" s="11"/>
      <c r="BS197" s="30"/>
    </row>
    <row r="198" spans="1:81" x14ac:dyDescent="0.3">
      <c r="AI198" s="54"/>
      <c r="AJ198" s="54"/>
      <c r="AK198" s="54"/>
      <c r="AL198" s="54"/>
      <c r="AM198" s="70"/>
      <c r="AN198" s="70"/>
      <c r="AO198" s="70"/>
      <c r="AP198" s="70"/>
      <c r="AQ198" s="261"/>
      <c r="AR198" s="261"/>
      <c r="AS198" s="70"/>
      <c r="AT198" s="70"/>
      <c r="AU198" s="70"/>
      <c r="AV198" s="53"/>
      <c r="AW198" s="53"/>
      <c r="AX198" s="53"/>
      <c r="AY198" s="53"/>
    </row>
    <row r="199" spans="1:81" ht="13.5" x14ac:dyDescent="0.35">
      <c r="A199" s="18" t="s">
        <v>447</v>
      </c>
      <c r="E199" s="27">
        <v>0.31409999999999999</v>
      </c>
      <c r="F199" s="5">
        <v>0.34200000000000003</v>
      </c>
      <c r="G199" s="5">
        <v>0.37790000000000001</v>
      </c>
      <c r="H199" s="5">
        <v>0.42009999999999997</v>
      </c>
      <c r="I199" s="5">
        <v>0.45140000000000002</v>
      </c>
      <c r="J199" s="5">
        <v>0.47399999999999998</v>
      </c>
      <c r="K199" s="5">
        <v>0.4965</v>
      </c>
      <c r="L199" s="5">
        <v>0.51429999999999998</v>
      </c>
      <c r="M199" s="5">
        <v>0.5252</v>
      </c>
      <c r="N199" s="5">
        <v>0.54359999999999997</v>
      </c>
      <c r="O199" s="5">
        <v>0.56379999999999997</v>
      </c>
      <c r="P199" s="5">
        <v>0.58589999999999998</v>
      </c>
      <c r="Q199" s="5">
        <v>0.59970000000000001</v>
      </c>
      <c r="R199" s="5">
        <v>0.62350000000000005</v>
      </c>
      <c r="S199" s="5">
        <v>0.65400000000000003</v>
      </c>
      <c r="T199" s="5">
        <v>0.67620000000000002</v>
      </c>
      <c r="U199" s="5">
        <v>0.68810000000000004</v>
      </c>
      <c r="V199" s="5">
        <v>0.7087</v>
      </c>
      <c r="W199" s="5">
        <v>0.72209999999999996</v>
      </c>
      <c r="X199" s="5">
        <v>0.73799999999999999</v>
      </c>
      <c r="Y199" s="5">
        <v>0.74150000000000005</v>
      </c>
      <c r="Z199" s="5">
        <v>0.749</v>
      </c>
      <c r="AA199" s="5">
        <v>0.76700000000000002</v>
      </c>
      <c r="AB199" s="5">
        <v>0.78610000000000002</v>
      </c>
      <c r="AC199" s="5">
        <v>0.79630000000000001</v>
      </c>
      <c r="AD199" s="5">
        <v>0.81389999999999996</v>
      </c>
      <c r="AE199" s="5">
        <v>0.8337</v>
      </c>
      <c r="AF199" s="5">
        <v>0.85960000000000003</v>
      </c>
      <c r="AG199" s="5">
        <v>0.8881</v>
      </c>
      <c r="AH199" s="5">
        <v>0.91169999999999995</v>
      </c>
      <c r="AI199" s="5">
        <v>0.9425</v>
      </c>
      <c r="AJ199" s="5">
        <v>0.94130000000000003</v>
      </c>
      <c r="AK199" s="10">
        <f>AJ199</f>
        <v>0.94130000000000003</v>
      </c>
      <c r="AL199" s="5">
        <v>0.95820000000000005</v>
      </c>
      <c r="AM199" s="5">
        <v>0.97960000000000003</v>
      </c>
      <c r="AN199" s="5">
        <v>1</v>
      </c>
      <c r="AO199" s="5">
        <v>1.0159</v>
      </c>
      <c r="AP199" s="5">
        <v>1.0318000000000001</v>
      </c>
      <c r="AQ199" s="5">
        <v>1.0374000000000001</v>
      </c>
      <c r="AR199" s="5">
        <v>1.0444</v>
      </c>
      <c r="AS199" s="222">
        <v>1.0626</v>
      </c>
      <c r="AT199" s="5">
        <v>1.0863</v>
      </c>
      <c r="AU199" s="5">
        <v>1.1049</v>
      </c>
      <c r="AV199" s="5">
        <v>1.1282000000000001</v>
      </c>
      <c r="AW199" s="5">
        <v>1.1576</v>
      </c>
      <c r="AX199" s="5">
        <v>1.2186999999999999</v>
      </c>
      <c r="AY199" s="5">
        <v>1.2481</v>
      </c>
      <c r="AZ199" s="10" t="str">
        <f>A199</f>
        <v>GDP deflator to 2012$ (from FY21 OMB Historical Tables)</v>
      </c>
      <c r="BE199" s="5"/>
    </row>
    <row r="200" spans="1:81" x14ac:dyDescent="0.3">
      <c r="A200" s="18" t="s">
        <v>448</v>
      </c>
      <c r="B200" s="5"/>
      <c r="C200" s="5"/>
      <c r="D200" s="5"/>
      <c r="E200" s="55">
        <f t="shared" ref="E200:AU200" si="69">E199/$AV$199</f>
        <v>0.2784080836731076</v>
      </c>
      <c r="F200" s="55">
        <f t="shared" si="69"/>
        <v>0.3031377415351888</v>
      </c>
      <c r="G200" s="55">
        <f t="shared" si="69"/>
        <v>0.33495834071973052</v>
      </c>
      <c r="H200" s="55">
        <f t="shared" si="69"/>
        <v>0.37236305619570992</v>
      </c>
      <c r="I200" s="55">
        <f t="shared" si="69"/>
        <v>0.40010636411983691</v>
      </c>
      <c r="J200" s="55">
        <f t="shared" si="69"/>
        <v>0.42013827335578791</v>
      </c>
      <c r="K200" s="55">
        <f t="shared" si="69"/>
        <v>0.44008154582520825</v>
      </c>
      <c r="L200" s="55">
        <f t="shared" si="69"/>
        <v>0.455858890267683</v>
      </c>
      <c r="M200" s="55">
        <f t="shared" si="69"/>
        <v>0.46552029781953552</v>
      </c>
      <c r="N200" s="55">
        <f t="shared" si="69"/>
        <v>0.48182946286119477</v>
      </c>
      <c r="O200" s="55">
        <f t="shared" si="69"/>
        <v>0.49973408970040767</v>
      </c>
      <c r="P200" s="55">
        <f t="shared" si="69"/>
        <v>0.51932281510370493</v>
      </c>
      <c r="Q200" s="55">
        <f t="shared" si="69"/>
        <v>0.53155468888494939</v>
      </c>
      <c r="R200" s="55">
        <f t="shared" si="69"/>
        <v>0.5526502393192696</v>
      </c>
      <c r="S200" s="55">
        <f t="shared" si="69"/>
        <v>0.57968445311115047</v>
      </c>
      <c r="T200" s="55">
        <f t="shared" si="69"/>
        <v>0.59936181528097854</v>
      </c>
      <c r="U200" s="55">
        <f t="shared" si="69"/>
        <v>0.60990959049813864</v>
      </c>
      <c r="V200" s="55">
        <f t="shared" si="69"/>
        <v>0.62816876440347447</v>
      </c>
      <c r="W200" s="55">
        <f t="shared" si="69"/>
        <v>0.64004609111859589</v>
      </c>
      <c r="X200" s="55">
        <f t="shared" si="69"/>
        <v>0.65413933699698634</v>
      </c>
      <c r="Y200" s="55">
        <f t="shared" si="69"/>
        <v>0.65724162382556284</v>
      </c>
      <c r="Z200" s="55">
        <f t="shared" si="69"/>
        <v>0.66388938131536956</v>
      </c>
      <c r="AA200" s="55">
        <f t="shared" si="69"/>
        <v>0.67984399929090578</v>
      </c>
      <c r="AB200" s="55">
        <f t="shared" si="69"/>
        <v>0.69677362169828039</v>
      </c>
      <c r="AC200" s="55">
        <f t="shared" si="69"/>
        <v>0.70581457188441765</v>
      </c>
      <c r="AD200" s="55">
        <f t="shared" si="69"/>
        <v>0.72141464279383083</v>
      </c>
      <c r="AE200" s="55">
        <f t="shared" si="69"/>
        <v>0.7389647225669207</v>
      </c>
      <c r="AF200" s="55">
        <f t="shared" si="69"/>
        <v>0.76192164509838678</v>
      </c>
      <c r="AG200" s="55">
        <f t="shared" si="69"/>
        <v>0.78718312355965248</v>
      </c>
      <c r="AH200" s="55">
        <f t="shared" si="69"/>
        <v>0.80810140046091106</v>
      </c>
      <c r="AI200" s="55">
        <f t="shared" si="69"/>
        <v>0.83540152455238426</v>
      </c>
      <c r="AJ200" s="55">
        <f t="shared" si="69"/>
        <v>0.83433788335401515</v>
      </c>
      <c r="AK200" s="55">
        <f t="shared" si="69"/>
        <v>0.83433788335401515</v>
      </c>
      <c r="AL200" s="55">
        <f t="shared" si="69"/>
        <v>0.84931749689771319</v>
      </c>
      <c r="AM200" s="55">
        <f t="shared" si="69"/>
        <v>0.86828576493529508</v>
      </c>
      <c r="AN200" s="55">
        <f t="shared" si="69"/>
        <v>0.8863676653075695</v>
      </c>
      <c r="AO200" s="55">
        <f t="shared" si="69"/>
        <v>0.90046091118595983</v>
      </c>
      <c r="AP200" s="55">
        <f t="shared" si="69"/>
        <v>0.91455415706435028</v>
      </c>
      <c r="AQ200" s="55">
        <f t="shared" si="69"/>
        <v>0.91951781599007265</v>
      </c>
      <c r="AR200" s="55">
        <f t="shared" si="69"/>
        <v>0.92572238964722564</v>
      </c>
      <c r="AS200" s="55">
        <f t="shared" si="69"/>
        <v>0.94185428115582337</v>
      </c>
      <c r="AT200" s="55">
        <f t="shared" si="69"/>
        <v>0.96286119482361276</v>
      </c>
      <c r="AU200" s="55">
        <f t="shared" si="69"/>
        <v>0.97934763339833353</v>
      </c>
      <c r="AV200" s="55">
        <f>AV199/$AV$199</f>
        <v>1</v>
      </c>
      <c r="AW200" s="55">
        <f t="shared" ref="AW200:AY200" si="70">AW199/$AV$199</f>
        <v>1.0260592093600425</v>
      </c>
      <c r="AX200" s="55">
        <f t="shared" si="70"/>
        <v>1.0802162737103349</v>
      </c>
      <c r="AY200" s="55">
        <f t="shared" si="70"/>
        <v>1.1062754830703776</v>
      </c>
      <c r="AZ200" s="10" t="str">
        <f>A200</f>
        <v>GDP deflator to 2020$ (from FY21 OMB Historical Tables)</v>
      </c>
    </row>
    <row r="201" spans="1:81" ht="12.75" x14ac:dyDescent="0.35">
      <c r="A201" s="317" t="s">
        <v>449</v>
      </c>
      <c r="B201" s="5"/>
      <c r="C201" s="5"/>
      <c r="D201" s="5"/>
      <c r="E201" s="5"/>
      <c r="F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L201" s="5"/>
      <c r="AM201" s="5"/>
      <c r="AN201" s="5"/>
      <c r="AO201" s="5"/>
      <c r="AP201" s="5"/>
      <c r="AQ201" s="5"/>
      <c r="AR201" s="5"/>
      <c r="AS201" s="5"/>
      <c r="AT201" s="5"/>
      <c r="AU201" s="5"/>
      <c r="AV201" s="5"/>
      <c r="AW201" s="5"/>
      <c r="AX201" s="5"/>
      <c r="AY201" s="5"/>
    </row>
    <row r="202" spans="1:81" x14ac:dyDescent="0.3">
      <c r="A202" s="152" t="s">
        <v>401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41" t="s">
        <v>454</v>
      </c>
    </row>
    <row r="203" spans="1:81" x14ac:dyDescent="0.3">
      <c r="AU203" s="5"/>
      <c r="AV203" s="5"/>
      <c r="AW203" s="5"/>
      <c r="AX203" s="5"/>
      <c r="AY203" s="5"/>
    </row>
    <row r="204" spans="1:81" x14ac:dyDescent="0.3">
      <c r="A204" s="218" t="s">
        <v>421</v>
      </c>
      <c r="B204" s="5"/>
      <c r="C204" s="5"/>
      <c r="D204" s="5"/>
      <c r="E204" s="5"/>
      <c r="F204" s="5"/>
      <c r="G204" s="5"/>
      <c r="H204" s="5"/>
      <c r="I204" s="36">
        <f>H219-I219</f>
        <v>3081.5134907537786</v>
      </c>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row r="205" spans="1:81" ht="10.5" thickBot="1" x14ac:dyDescent="0.35">
      <c r="A205" s="27"/>
      <c r="B205" s="5"/>
      <c r="C205" s="5"/>
      <c r="D205" s="5"/>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312"/>
      <c r="AU205" s="312"/>
      <c r="AV205" s="5"/>
      <c r="AW205" s="5"/>
      <c r="AX205" s="5"/>
      <c r="AY205" s="5"/>
    </row>
    <row r="206" spans="1:81" ht="10.5" thickBot="1" x14ac:dyDescent="0.35">
      <c r="A206" s="42" t="s">
        <v>400</v>
      </c>
      <c r="B206" s="35"/>
      <c r="C206" s="35"/>
      <c r="D206" s="12"/>
      <c r="E206" s="216">
        <v>1978</v>
      </c>
      <c r="F206" s="216">
        <f t="shared" ref="F206:V206" si="71">E206+1</f>
        <v>1979</v>
      </c>
      <c r="G206" s="216">
        <f t="shared" si="71"/>
        <v>1980</v>
      </c>
      <c r="H206" s="216">
        <f t="shared" si="71"/>
        <v>1981</v>
      </c>
      <c r="I206" s="216">
        <f t="shared" si="71"/>
        <v>1982</v>
      </c>
      <c r="J206" s="216">
        <f t="shared" si="71"/>
        <v>1983</v>
      </c>
      <c r="K206" s="216">
        <f t="shared" si="71"/>
        <v>1984</v>
      </c>
      <c r="L206" s="216">
        <f t="shared" si="71"/>
        <v>1985</v>
      </c>
      <c r="M206" s="216">
        <f t="shared" si="71"/>
        <v>1986</v>
      </c>
      <c r="N206" s="216">
        <f t="shared" si="71"/>
        <v>1987</v>
      </c>
      <c r="O206" s="216">
        <f t="shared" si="71"/>
        <v>1988</v>
      </c>
      <c r="P206" s="216">
        <f t="shared" si="71"/>
        <v>1989</v>
      </c>
      <c r="Q206" s="216">
        <f t="shared" si="71"/>
        <v>1990</v>
      </c>
      <c r="R206" s="216">
        <f t="shared" si="71"/>
        <v>1991</v>
      </c>
      <c r="S206" s="216">
        <f>R206+1</f>
        <v>1992</v>
      </c>
      <c r="T206" s="216">
        <f t="shared" si="71"/>
        <v>1993</v>
      </c>
      <c r="U206" s="216">
        <f t="shared" si="71"/>
        <v>1994</v>
      </c>
      <c r="V206" s="216">
        <f t="shared" si="71"/>
        <v>1995</v>
      </c>
      <c r="W206" s="216">
        <f>V206+1</f>
        <v>1996</v>
      </c>
      <c r="X206" s="216">
        <f>W206+1</f>
        <v>1997</v>
      </c>
      <c r="Y206" s="216">
        <v>1998</v>
      </c>
      <c r="Z206" s="216">
        <f t="shared" ref="Z206:AE206" si="72">Y206+1</f>
        <v>1999</v>
      </c>
      <c r="AA206" s="216">
        <f t="shared" si="72"/>
        <v>2000</v>
      </c>
      <c r="AB206" s="216">
        <f t="shared" si="72"/>
        <v>2001</v>
      </c>
      <c r="AC206" s="216">
        <f t="shared" si="72"/>
        <v>2002</v>
      </c>
      <c r="AD206" s="216">
        <f t="shared" si="72"/>
        <v>2003</v>
      </c>
      <c r="AE206" s="216">
        <f t="shared" si="72"/>
        <v>2004</v>
      </c>
      <c r="AF206" s="216">
        <v>2005</v>
      </c>
      <c r="AG206" s="216">
        <v>2006</v>
      </c>
      <c r="AH206" s="217">
        <v>2007</v>
      </c>
      <c r="AI206" s="217">
        <v>2008</v>
      </c>
      <c r="AJ206" s="217">
        <v>2009</v>
      </c>
      <c r="AK206" s="217" t="s">
        <v>206</v>
      </c>
      <c r="AL206" s="217">
        <v>2010</v>
      </c>
      <c r="AM206" s="217">
        <v>2011</v>
      </c>
      <c r="AN206" s="251">
        <v>2012</v>
      </c>
      <c r="AO206" s="252">
        <v>2013</v>
      </c>
      <c r="AP206" s="256">
        <v>2014</v>
      </c>
      <c r="AQ206" s="255">
        <v>2015</v>
      </c>
      <c r="AR206" s="244">
        <v>2016</v>
      </c>
      <c r="AS206" s="257">
        <v>2017</v>
      </c>
      <c r="AT206" s="313">
        <v>2018</v>
      </c>
      <c r="AU206" s="313">
        <v>2019</v>
      </c>
      <c r="AV206" s="314">
        <v>2020</v>
      </c>
      <c r="AW206" s="314">
        <v>2021</v>
      </c>
      <c r="AX206" s="314" t="s">
        <v>461</v>
      </c>
      <c r="AY206" s="314" t="s">
        <v>460</v>
      </c>
      <c r="BA206" s="44" t="s">
        <v>465</v>
      </c>
      <c r="BB206" s="35"/>
      <c r="BC206" s="35"/>
      <c r="BD206" s="299"/>
      <c r="BE206" s="35"/>
      <c r="BF206" s="301"/>
      <c r="BG206" s="45" t="s">
        <v>423</v>
      </c>
      <c r="BH206" s="46"/>
      <c r="BI206" s="35"/>
      <c r="BJ206" s="35"/>
      <c r="BK206" s="35"/>
      <c r="BL206" s="35"/>
      <c r="BM206" s="35"/>
      <c r="BN206" s="35"/>
      <c r="BO206" s="35"/>
      <c r="BP206" s="35"/>
      <c r="BQ206" s="35"/>
      <c r="BR206" s="35"/>
      <c r="BS206" s="47"/>
      <c r="BT206" s="3"/>
      <c r="BU206" s="3"/>
      <c r="BV206" s="3"/>
      <c r="BW206" s="3"/>
      <c r="BX206" s="3"/>
      <c r="BY206" s="3"/>
      <c r="BZ206" s="3"/>
      <c r="CA206" s="3"/>
      <c r="CB206" s="3"/>
      <c r="CC206" s="3"/>
    </row>
    <row r="207" spans="1:81" ht="10.5" thickTop="1" x14ac:dyDescent="0.3">
      <c r="A207" s="48"/>
      <c r="B207" s="35" t="s">
        <v>91</v>
      </c>
      <c r="C207" s="35"/>
      <c r="D207" s="12"/>
      <c r="E207" s="67">
        <f>E168/E$200</f>
        <v>3122.0357847819168</v>
      </c>
      <c r="F207" s="67">
        <f>F168/F$200</f>
        <v>2686.2376023391816</v>
      </c>
      <c r="G207" s="67">
        <f t="shared" ref="G207:AJ207" si="73">G168/G$200</f>
        <v>2412.2402752050807</v>
      </c>
      <c r="H207" s="67">
        <f t="shared" si="73"/>
        <v>1862.9667698167104</v>
      </c>
      <c r="I207" s="67">
        <f t="shared" si="73"/>
        <v>1951.980948161276</v>
      </c>
      <c r="J207" s="67">
        <f t="shared" si="73"/>
        <v>1500.6964135021099</v>
      </c>
      <c r="K207" s="67">
        <f t="shared" si="73"/>
        <v>1272.3778247734142</v>
      </c>
      <c r="L207" s="67">
        <f t="shared" si="73"/>
        <v>882.5099358351157</v>
      </c>
      <c r="M207" s="67">
        <f t="shared" si="73"/>
        <v>731.01001523229252</v>
      </c>
      <c r="N207" s="67">
        <f t="shared" si="73"/>
        <v>530.68568800588673</v>
      </c>
      <c r="O207" s="67">
        <f t="shared" si="73"/>
        <v>490.4608371763037</v>
      </c>
      <c r="P207" s="67">
        <f t="shared" si="73"/>
        <v>463.4882061785288</v>
      </c>
      <c r="Q207" s="67">
        <f t="shared" si="73"/>
        <v>582.25429381357355</v>
      </c>
      <c r="R207" s="67">
        <f t="shared" si="73"/>
        <v>535.96285485164401</v>
      </c>
      <c r="S207" s="67">
        <f t="shared" si="73"/>
        <v>509.76009174311929</v>
      </c>
      <c r="T207" s="67">
        <f t="shared" si="73"/>
        <v>410.940310359173</v>
      </c>
      <c r="U207" s="67">
        <f t="shared" si="73"/>
        <v>170.00714500924263</v>
      </c>
      <c r="V207" s="67">
        <f t="shared" si="73"/>
        <v>188.01843350758253</v>
      </c>
      <c r="W207" s="67">
        <f t="shared" si="73"/>
        <v>70.201987590067731</v>
      </c>
      <c r="X207" s="67">
        <f t="shared" si="73"/>
        <v>96.634268841758043</v>
      </c>
      <c r="Y207" s="67">
        <f t="shared" si="73"/>
        <v>11.600159302575616</v>
      </c>
      <c r="Z207" s="67">
        <f t="shared" si="73"/>
        <v>47.358316830905906</v>
      </c>
      <c r="AA207" s="67">
        <f t="shared" si="73"/>
        <v>74.375782059145223</v>
      </c>
      <c r="AB207" s="67">
        <f t="shared" si="73"/>
        <v>90.930844943883287</v>
      </c>
      <c r="AC207" s="67">
        <f t="shared" si="73"/>
        <v>220.93089540052108</v>
      </c>
      <c r="AD207" s="67">
        <f t="shared" si="73"/>
        <v>222.64509192035717</v>
      </c>
      <c r="AE207" s="67">
        <f t="shared" si="73"/>
        <v>235.2621681323686</v>
      </c>
      <c r="AF207" s="67">
        <f t="shared" si="73"/>
        <v>281.44934148600288</v>
      </c>
      <c r="AG207" s="67">
        <f t="shared" si="73"/>
        <v>349.39030429525621</v>
      </c>
      <c r="AH207" s="67">
        <f t="shared" si="73"/>
        <v>435.67133944240572</v>
      </c>
      <c r="AI207" s="67">
        <f t="shared" si="73"/>
        <v>568.83871205208595</v>
      </c>
      <c r="AJ207" s="67">
        <f t="shared" si="73"/>
        <v>673.09881735791282</v>
      </c>
      <c r="AK207" s="67">
        <f t="shared" ref="AK207:AQ207" si="74">AK168/AK$200</f>
        <v>0</v>
      </c>
      <c r="AL207" s="67">
        <f t="shared" si="74"/>
        <v>591.95635972277796</v>
      </c>
      <c r="AM207" s="67">
        <f t="shared" si="74"/>
        <v>521.11319875116794</v>
      </c>
      <c r="AN207" s="67">
        <f t="shared" si="74"/>
        <v>568.14236986454978</v>
      </c>
      <c r="AO207" s="67">
        <f>AO168/AO$200</f>
        <v>521.65330826573359</v>
      </c>
      <c r="AP207" s="67">
        <f t="shared" si="74"/>
        <v>589.35190106345681</v>
      </c>
      <c r="AQ207" s="215">
        <f t="shared" si="74"/>
        <v>503.59591670432849</v>
      </c>
      <c r="AR207" s="215">
        <f t="shared" ref="AR207:AV207" si="75">AR168/AR$200</f>
        <v>626.12541808880997</v>
      </c>
      <c r="AS207" s="215">
        <f t="shared" si="75"/>
        <v>637.19730574070786</v>
      </c>
      <c r="AT207" s="303">
        <f t="shared" si="75"/>
        <v>734.03749081090621</v>
      </c>
      <c r="AU207" s="303">
        <f t="shared" si="75"/>
        <v>818.35011626863206</v>
      </c>
      <c r="AV207" s="303">
        <f t="shared" si="75"/>
        <v>1025.1268817204302</v>
      </c>
      <c r="AW207" s="303">
        <f>AW168/AW$200</f>
        <v>1013.5721557247336</v>
      </c>
      <c r="AX207" s="303">
        <f>AX168/AX$200</f>
        <v>962.75632023217497</v>
      </c>
      <c r="AY207" s="303">
        <f>AY168/AY$200</f>
        <v>1108.1346852740878</v>
      </c>
      <c r="BA207" s="49">
        <f>SUM(L207:AZ207)</f>
        <v>19094.59926960021</v>
      </c>
      <c r="BB207" s="35" t="s">
        <v>91</v>
      </c>
      <c r="BC207" s="35"/>
      <c r="BD207" s="300"/>
      <c r="BE207" s="35"/>
      <c r="BF207" s="302"/>
      <c r="BG207" s="85">
        <f>(P207-H207)/H207</f>
        <v>-0.75120962236802025</v>
      </c>
      <c r="BH207" s="46"/>
      <c r="BI207" s="35"/>
      <c r="BJ207" s="35"/>
      <c r="BK207" s="35"/>
      <c r="BL207" s="35"/>
      <c r="BM207" s="35"/>
      <c r="BN207" s="35"/>
      <c r="BO207" s="35"/>
      <c r="BP207" s="35"/>
      <c r="BQ207" s="35"/>
      <c r="BR207" s="35"/>
      <c r="BS207" s="47"/>
      <c r="BT207" s="3"/>
      <c r="BU207" s="3"/>
      <c r="BV207" s="3"/>
      <c r="BW207" s="3"/>
      <c r="BX207" s="3"/>
      <c r="BY207" s="3"/>
      <c r="BZ207" s="3"/>
      <c r="CA207" s="3"/>
      <c r="CB207" s="3"/>
      <c r="CC207" s="3"/>
    </row>
    <row r="208" spans="1:81" x14ac:dyDescent="0.3">
      <c r="A208" s="48"/>
      <c r="B208" s="35" t="s">
        <v>92</v>
      </c>
      <c r="C208" s="35"/>
      <c r="D208" s="12"/>
      <c r="E208" s="67">
        <f>E171/E$200</f>
        <v>1193.9308500477555</v>
      </c>
      <c r="F208" s="67">
        <f t="shared" ref="F208:AO208" si="76">F171/F$200</f>
        <v>1171.4146783625731</v>
      </c>
      <c r="G208" s="67">
        <f t="shared" si="76"/>
        <v>1045.8016935697276</v>
      </c>
      <c r="H208" s="67">
        <f t="shared" si="76"/>
        <v>1058.3756724589387</v>
      </c>
      <c r="I208" s="67">
        <f t="shared" si="76"/>
        <v>1127.7001329198051</v>
      </c>
      <c r="J208" s="67">
        <f t="shared" si="76"/>
        <v>1091.0693670886078</v>
      </c>
      <c r="K208" s="67">
        <f t="shared" si="76"/>
        <v>1064.3481973816718</v>
      </c>
      <c r="L208" s="67">
        <f t="shared" si="76"/>
        <v>942.39688897530641</v>
      </c>
      <c r="M208" s="67">
        <f t="shared" si="76"/>
        <v>776.5504569687738</v>
      </c>
      <c r="N208" s="67">
        <f t="shared" si="76"/>
        <v>708.96453274466535</v>
      </c>
      <c r="O208" s="67">
        <f t="shared" si="76"/>
        <v>662.95257183398382</v>
      </c>
      <c r="P208" s="67">
        <f t="shared" si="76"/>
        <v>667.7927291346648</v>
      </c>
      <c r="Q208" s="67">
        <f t="shared" si="76"/>
        <v>595.79946639986667</v>
      </c>
      <c r="R208" s="67">
        <f t="shared" si="76"/>
        <v>518.59201283079403</v>
      </c>
      <c r="S208" s="67">
        <f t="shared" si="76"/>
        <v>573.07039755351684</v>
      </c>
      <c r="T208" s="67">
        <f t="shared" si="76"/>
        <v>559.0946761313221</v>
      </c>
      <c r="U208" s="67">
        <f t="shared" si="76"/>
        <v>538.76837668943472</v>
      </c>
      <c r="V208" s="67">
        <f t="shared" si="76"/>
        <v>560.99573867644983</v>
      </c>
      <c r="W208" s="67">
        <f t="shared" si="76"/>
        <v>373.25436920094177</v>
      </c>
      <c r="X208" s="67">
        <f t="shared" si="76"/>
        <v>355.42886178861789</v>
      </c>
      <c r="Y208" s="67">
        <f t="shared" si="76"/>
        <v>341.12264329062708</v>
      </c>
      <c r="Z208" s="67">
        <f t="shared" si="76"/>
        <v>327.16293724966624</v>
      </c>
      <c r="AA208" s="67">
        <f t="shared" si="76"/>
        <v>350.96286831812262</v>
      </c>
      <c r="AB208" s="67">
        <f t="shared" si="76"/>
        <v>347.25769240554644</v>
      </c>
      <c r="AC208" s="67">
        <f t="shared" si="76"/>
        <v>341.59113399472562</v>
      </c>
      <c r="AD208" s="67">
        <f t="shared" si="76"/>
        <v>333.65000614326084</v>
      </c>
      <c r="AE208" s="67">
        <f t="shared" si="76"/>
        <v>346.29528607412743</v>
      </c>
      <c r="AF208" s="67">
        <f t="shared" si="76"/>
        <v>359.48578408562122</v>
      </c>
      <c r="AG208" s="67">
        <f t="shared" si="76"/>
        <v>356.58792928724245</v>
      </c>
      <c r="AH208" s="67">
        <f t="shared" si="76"/>
        <v>385.71892069759792</v>
      </c>
      <c r="AI208" s="67">
        <f t="shared" si="76"/>
        <v>353.00390450928381</v>
      </c>
      <c r="AJ208" s="67">
        <f t="shared" si="76"/>
        <v>472.83002230957192</v>
      </c>
      <c r="AK208" s="67">
        <f t="shared" si="76"/>
        <v>109.06852225645385</v>
      </c>
      <c r="AL208" s="67">
        <f t="shared" si="76"/>
        <v>490.98246712586098</v>
      </c>
      <c r="AM208" s="67">
        <f t="shared" si="76"/>
        <v>422.90224581461825</v>
      </c>
      <c r="AN208" s="67">
        <f t="shared" si="76"/>
        <v>443.38260000000002</v>
      </c>
      <c r="AO208" s="67">
        <f t="shared" si="76"/>
        <v>419.56290973521021</v>
      </c>
      <c r="AP208" s="67">
        <f t="shared" ref="AP208:AU208" si="77">AP171/AP$200</f>
        <v>551.85359565807323</v>
      </c>
      <c r="AQ208" s="67">
        <f t="shared" si="77"/>
        <v>497.43462502409869</v>
      </c>
      <c r="AR208" s="67">
        <f t="shared" si="77"/>
        <v>473.14400612792036</v>
      </c>
      <c r="AS208" s="67">
        <f t="shared" si="77"/>
        <v>403.45943911161305</v>
      </c>
      <c r="AT208" s="304">
        <f t="shared" si="77"/>
        <v>425.91808892571117</v>
      </c>
      <c r="AU208" s="304">
        <f t="shared" si="77"/>
        <v>441.10996470268805</v>
      </c>
      <c r="AV208" s="304">
        <f>AV171/AV$200</f>
        <v>414</v>
      </c>
      <c r="AW208" s="304">
        <f>AW171/AW$200</f>
        <v>654.93296475466491</v>
      </c>
      <c r="AX208" s="304">
        <f>AX171/AX$200</f>
        <v>622.09764503159113</v>
      </c>
      <c r="AY208" s="304">
        <f>AY171/AY$200</f>
        <v>653.54426728627516</v>
      </c>
      <c r="BA208" s="49">
        <f>SUM(L208:AZ208)</f>
        <v>19172.723548848513</v>
      </c>
      <c r="BB208" s="35" t="s">
        <v>92</v>
      </c>
      <c r="BC208" s="35"/>
      <c r="BD208" s="300"/>
      <c r="BE208" s="35"/>
      <c r="BF208" s="302"/>
      <c r="BG208" s="85">
        <f>(P208-H208)/H208</f>
        <v>-0.36903998597853932</v>
      </c>
      <c r="BH208" s="46"/>
      <c r="BI208" s="35"/>
      <c r="BJ208" s="35"/>
      <c r="BK208" s="35"/>
      <c r="BL208" s="35"/>
      <c r="BM208" s="35"/>
      <c r="BN208" s="35"/>
      <c r="BO208" s="35"/>
      <c r="BP208" s="35"/>
      <c r="BQ208" s="35"/>
      <c r="BR208" s="35"/>
      <c r="BS208" s="47"/>
      <c r="BT208" s="3"/>
      <c r="BU208" s="3"/>
      <c r="BV208" s="3"/>
      <c r="BW208" s="3"/>
      <c r="BX208" s="3"/>
      <c r="BY208" s="3"/>
      <c r="BZ208" s="3"/>
      <c r="CA208" s="3"/>
      <c r="CB208" s="3"/>
      <c r="CC208" s="3"/>
    </row>
    <row r="209" spans="1:81" x14ac:dyDescent="0.3">
      <c r="A209" s="48"/>
      <c r="B209" s="35" t="s">
        <v>287</v>
      </c>
      <c r="C209" s="35"/>
      <c r="D209" s="12"/>
      <c r="E209" s="67">
        <f t="shared" ref="E209:AX209" si="78">E55/E200</f>
        <v>621.74918815663796</v>
      </c>
      <c r="F209" s="67">
        <f t="shared" si="78"/>
        <v>754.11263157894723</v>
      </c>
      <c r="G209" s="67">
        <f t="shared" si="78"/>
        <v>880.10944694363593</v>
      </c>
      <c r="H209" s="67">
        <f t="shared" si="78"/>
        <v>785.52368483694374</v>
      </c>
      <c r="I209" s="67">
        <f t="shared" si="78"/>
        <v>379.64904740806384</v>
      </c>
      <c r="J209" s="67">
        <f t="shared" si="78"/>
        <v>320.37071729957802</v>
      </c>
      <c r="K209" s="67">
        <f t="shared" si="78"/>
        <v>341.07315206445116</v>
      </c>
      <c r="L209" s="67">
        <f t="shared" si="78"/>
        <v>350.54707369239748</v>
      </c>
      <c r="M209" s="67">
        <f t="shared" si="78"/>
        <v>351.64954303122619</v>
      </c>
      <c r="N209" s="67">
        <f t="shared" si="78"/>
        <v>312.14363502575429</v>
      </c>
      <c r="O209" s="67">
        <f t="shared" si="78"/>
        <v>298.35867328840015</v>
      </c>
      <c r="P209" s="67">
        <f t="shared" si="78"/>
        <v>291.34094555384883</v>
      </c>
      <c r="Q209" s="67">
        <f t="shared" si="78"/>
        <v>356.12516258129074</v>
      </c>
      <c r="R209" s="67">
        <f t="shared" si="78"/>
        <v>409.84330392943065</v>
      </c>
      <c r="S209" s="67">
        <f t="shared" si="78"/>
        <v>442.48211009174315</v>
      </c>
      <c r="T209" s="67">
        <f t="shared" si="78"/>
        <v>515.88204673173618</v>
      </c>
      <c r="U209" s="67">
        <f t="shared" si="78"/>
        <v>618.7802354308966</v>
      </c>
      <c r="V209" s="67">
        <f t="shared" si="78"/>
        <v>665.90385212360661</v>
      </c>
      <c r="W209" s="67">
        <f t="shared" si="78"/>
        <v>565.42802935881468</v>
      </c>
      <c r="X209" s="67">
        <f t="shared" si="78"/>
        <v>602.92964769647699</v>
      </c>
      <c r="Y209" s="67">
        <f t="shared" si="78"/>
        <v>654.47772083614279</v>
      </c>
      <c r="Z209" s="67">
        <f t="shared" si="78"/>
        <v>726.62064687876534</v>
      </c>
      <c r="AA209" s="67">
        <f t="shared" si="78"/>
        <v>751.03606287229263</v>
      </c>
      <c r="AB209" s="67">
        <f t="shared" si="78"/>
        <v>805.76073266358458</v>
      </c>
      <c r="AC209" s="67">
        <f t="shared" si="78"/>
        <v>662.74149503532124</v>
      </c>
      <c r="AD209" s="67">
        <f t="shared" si="78"/>
        <v>683.24091411721349</v>
      </c>
      <c r="AE209" s="67">
        <f t="shared" si="78"/>
        <v>648.47479908840126</v>
      </c>
      <c r="AF209" s="67">
        <f t="shared" si="78"/>
        <v>541.69418793143518</v>
      </c>
      <c r="AG209" s="67">
        <f t="shared" si="78"/>
        <v>523.74677408446382</v>
      </c>
      <c r="AH209" s="67">
        <f t="shared" si="78"/>
        <v>504.54248404253531</v>
      </c>
      <c r="AI209" s="67">
        <f t="shared" si="78"/>
        <v>598.74377907306075</v>
      </c>
      <c r="AJ209" s="67">
        <f t="shared" si="78"/>
        <v>743.92040673954818</v>
      </c>
      <c r="AK209" s="67">
        <f t="shared" si="78"/>
        <v>805.76954279906988</v>
      </c>
      <c r="AL209" s="67">
        <f t="shared" si="78"/>
        <v>885.94324028393021</v>
      </c>
      <c r="AM209" s="67">
        <f t="shared" si="78"/>
        <v>773.68940017770763</v>
      </c>
      <c r="AN209" s="67">
        <f t="shared" si="78"/>
        <v>818.37046889987289</v>
      </c>
      <c r="AO209" s="67">
        <f t="shared" si="78"/>
        <v>694.60891901268531</v>
      </c>
      <c r="AP209" s="67">
        <f t="shared" si="78"/>
        <v>787.04055912283854</v>
      </c>
      <c r="AQ209" s="67">
        <f t="shared" si="78"/>
        <v>757.66996309286469</v>
      </c>
      <c r="AR209" s="67">
        <f t="shared" si="78"/>
        <v>886.39136395838261</v>
      </c>
      <c r="AS209" s="67">
        <f t="shared" si="78"/>
        <v>843.67473648146461</v>
      </c>
      <c r="AT209" s="304">
        <f t="shared" si="78"/>
        <v>989.05396709738329</v>
      </c>
      <c r="AU209" s="304">
        <f t="shared" si="78"/>
        <v>999.72233386843982</v>
      </c>
      <c r="AV209" s="304">
        <f t="shared" si="78"/>
        <v>1131.0264629847238</v>
      </c>
      <c r="AW209" s="304">
        <f t="shared" si="78"/>
        <v>1146.2320184338921</v>
      </c>
      <c r="AX209" s="304">
        <f t="shared" si="78"/>
        <v>1089.8002216205052</v>
      </c>
      <c r="AY209" s="304">
        <f t="shared" ref="AY209" si="79">AY55/AY200</f>
        <v>1545.5862867618857</v>
      </c>
      <c r="AZ209" s="2"/>
      <c r="BA209" s="49">
        <f>SUM(L209:AZ209)</f>
        <v>27780.993746494034</v>
      </c>
      <c r="BB209" s="35" t="s">
        <v>287</v>
      </c>
      <c r="BC209" s="35"/>
      <c r="BD209" s="300"/>
      <c r="BE209" s="35"/>
      <c r="BF209" s="302"/>
      <c r="BG209" s="85">
        <f>(P209-H209)/H209</f>
        <v>-0.62911246194400317</v>
      </c>
      <c r="BH209" s="46"/>
      <c r="BI209" s="35"/>
      <c r="BJ209" s="35"/>
      <c r="BK209" s="35"/>
      <c r="BL209" s="35"/>
      <c r="BM209" s="35"/>
      <c r="BN209" s="35"/>
      <c r="BO209" s="35"/>
      <c r="BP209" s="35"/>
      <c r="BQ209" s="35"/>
      <c r="BR209" s="35"/>
      <c r="BS209" s="47"/>
      <c r="BT209" s="3"/>
      <c r="BU209" s="3"/>
      <c r="BV209" s="3"/>
      <c r="BW209" s="3"/>
      <c r="BX209" s="3"/>
      <c r="BY209" s="3"/>
      <c r="BZ209" s="3"/>
      <c r="CA209" s="3"/>
      <c r="CB209" s="3"/>
      <c r="CC209" s="3"/>
    </row>
    <row r="210" spans="1:81" x14ac:dyDescent="0.3">
      <c r="A210" s="48"/>
      <c r="B210" s="35" t="s">
        <v>166</v>
      </c>
      <c r="C210" s="35"/>
      <c r="D210" s="12"/>
      <c r="E210" s="67">
        <f t="shared" ref="E210:AX210" si="80">E82/E200</f>
        <v>0</v>
      </c>
      <c r="F210" s="67">
        <f t="shared" si="80"/>
        <v>0</v>
      </c>
      <c r="G210" s="67">
        <f t="shared" si="80"/>
        <v>0</v>
      </c>
      <c r="H210" s="67">
        <f t="shared" si="80"/>
        <v>0</v>
      </c>
      <c r="I210" s="67">
        <f t="shared" si="80"/>
        <v>0</v>
      </c>
      <c r="J210" s="67">
        <f t="shared" si="80"/>
        <v>0</v>
      </c>
      <c r="K210" s="67">
        <f t="shared" si="80"/>
        <v>0</v>
      </c>
      <c r="L210" s="67">
        <f t="shared" si="80"/>
        <v>0</v>
      </c>
      <c r="M210" s="67">
        <f t="shared" si="80"/>
        <v>0</v>
      </c>
      <c r="N210" s="67">
        <f t="shared" si="80"/>
        <v>0</v>
      </c>
      <c r="O210" s="67">
        <f t="shared" si="80"/>
        <v>0</v>
      </c>
      <c r="P210" s="67">
        <f t="shared" si="80"/>
        <v>0</v>
      </c>
      <c r="Q210" s="67">
        <f t="shared" si="80"/>
        <v>0</v>
      </c>
      <c r="R210" s="67">
        <f t="shared" si="80"/>
        <v>0</v>
      </c>
      <c r="S210" s="67">
        <f t="shared" si="80"/>
        <v>0</v>
      </c>
      <c r="T210" s="67">
        <f t="shared" si="80"/>
        <v>0</v>
      </c>
      <c r="U210" s="67">
        <f t="shared" si="80"/>
        <v>15.740037785205638</v>
      </c>
      <c r="V210" s="67">
        <f t="shared" si="80"/>
        <v>14.008974178072531</v>
      </c>
      <c r="W210" s="67">
        <f t="shared" si="80"/>
        <v>22.342140977703924</v>
      </c>
      <c r="X210" s="67">
        <f t="shared" si="80"/>
        <v>22.625149051490517</v>
      </c>
      <c r="Y210" s="67">
        <f t="shared" si="80"/>
        <v>28.756547538772757</v>
      </c>
      <c r="Z210" s="67">
        <f t="shared" si="80"/>
        <v>37.626750333778375</v>
      </c>
      <c r="AA210" s="67">
        <f t="shared" si="80"/>
        <v>35.728784876140814</v>
      </c>
      <c r="AB210" s="67">
        <f t="shared" si="80"/>
        <v>38.175957257346397</v>
      </c>
      <c r="AC210" s="67">
        <f t="shared" si="80"/>
        <v>107.11028506844154</v>
      </c>
      <c r="AD210" s="67">
        <f t="shared" si="80"/>
        <v>127.52721464553386</v>
      </c>
      <c r="AE210" s="67">
        <f t="shared" si="80"/>
        <v>195.13786733837111</v>
      </c>
      <c r="AF210" s="67">
        <f t="shared" si="80"/>
        <v>218.92014890646814</v>
      </c>
      <c r="AG210" s="67">
        <f t="shared" si="80"/>
        <v>194.99909920054048</v>
      </c>
      <c r="AH210" s="67">
        <f t="shared" si="80"/>
        <v>234.50027421300871</v>
      </c>
      <c r="AI210" s="67">
        <f t="shared" si="80"/>
        <v>246.82741644562336</v>
      </c>
      <c r="AJ210" s="67">
        <f t="shared" si="80"/>
        <v>197.28218421332201</v>
      </c>
      <c r="AK210" s="67">
        <f t="shared" si="80"/>
        <v>51.537873154148521</v>
      </c>
      <c r="AL210" s="67">
        <f t="shared" si="80"/>
        <v>204.87038196618659</v>
      </c>
      <c r="AM210" s="67">
        <f t="shared" si="80"/>
        <v>110.33233973050226</v>
      </c>
      <c r="AN210" s="67">
        <f t="shared" si="80"/>
        <v>114.28666000000001</v>
      </c>
      <c r="AO210" s="67">
        <f t="shared" si="80"/>
        <v>106.38995964169703</v>
      </c>
      <c r="AP210" s="67">
        <f t="shared" si="80"/>
        <v>101.57955030044583</v>
      </c>
      <c r="AQ210" s="67">
        <f t="shared" si="80"/>
        <v>103.09751301330249</v>
      </c>
      <c r="AR210" s="67">
        <f t="shared" si="80"/>
        <v>109.10398314821907</v>
      </c>
      <c r="AS210" s="67">
        <f t="shared" si="80"/>
        <v>107.23527197440242</v>
      </c>
      <c r="AT210" s="304">
        <f t="shared" si="80"/>
        <v>119.43569916229403</v>
      </c>
      <c r="AU210" s="304">
        <f t="shared" si="80"/>
        <v>122.53054575074668</v>
      </c>
      <c r="AV210" s="304">
        <f t="shared" si="80"/>
        <v>150</v>
      </c>
      <c r="AW210" s="304">
        <f t="shared" si="80"/>
        <v>146.19039391845197</v>
      </c>
      <c r="AX210" s="304">
        <f t="shared" si="80"/>
        <v>138.86108148026588</v>
      </c>
      <c r="AY210" s="304">
        <f t="shared" ref="AY210" si="81">AY82/AY200</f>
        <v>168.13172021472639</v>
      </c>
      <c r="AZ210" s="2"/>
      <c r="BA210" s="49">
        <f t="shared" ref="BA210:BA212" si="82">SUM(L210:AZ210)</f>
        <v>3590.8918054852097</v>
      </c>
      <c r="BB210" s="35" t="s">
        <v>166</v>
      </c>
      <c r="BC210" s="35"/>
      <c r="BD210" s="300"/>
      <c r="BE210" s="35"/>
      <c r="BF210" s="302"/>
      <c r="BG210" s="85"/>
      <c r="BH210" s="46"/>
      <c r="BI210" s="35"/>
      <c r="BJ210" s="35"/>
      <c r="BK210" s="35"/>
      <c r="BL210" s="35"/>
      <c r="BM210" s="35"/>
      <c r="BN210" s="35"/>
      <c r="BO210" s="35"/>
      <c r="BP210" s="35"/>
      <c r="BQ210" s="35"/>
      <c r="BR210" s="35"/>
      <c r="BS210" s="47"/>
      <c r="BT210" s="3"/>
      <c r="BU210" s="3"/>
      <c r="BV210" s="3"/>
      <c r="BW210" s="3"/>
      <c r="BX210" s="3"/>
      <c r="BY210" s="3"/>
      <c r="BZ210" s="3"/>
      <c r="CA210" s="3"/>
      <c r="CB210" s="3"/>
      <c r="CC210" s="3"/>
    </row>
    <row r="211" spans="1:81" x14ac:dyDescent="0.3">
      <c r="A211" s="48"/>
      <c r="B211" s="35" t="s">
        <v>8</v>
      </c>
      <c r="C211" s="35"/>
      <c r="D211" s="12"/>
      <c r="E211" s="67">
        <f>E120/E200</f>
        <v>2172.3507163323779</v>
      </c>
      <c r="F211" s="67">
        <f t="shared" ref="F211:AO211" si="83">F120/F200</f>
        <v>2539.7695321637425</v>
      </c>
      <c r="G211" s="67">
        <f t="shared" si="83"/>
        <v>2485.9807885684045</v>
      </c>
      <c r="H211" s="67">
        <f t="shared" si="83"/>
        <v>2209.9399666746017</v>
      </c>
      <c r="I211" s="67">
        <f t="shared" si="83"/>
        <v>1001.9835622507754</v>
      </c>
      <c r="J211" s="67">
        <f t="shared" si="83"/>
        <v>723.57130801687777</v>
      </c>
      <c r="K211" s="67">
        <f t="shared" si="83"/>
        <v>581.36952668680772</v>
      </c>
      <c r="L211" s="67">
        <f t="shared" si="83"/>
        <v>560.9191911335796</v>
      </c>
      <c r="M211" s="67">
        <f t="shared" si="83"/>
        <v>448.53038842345779</v>
      </c>
      <c r="N211" s="67">
        <f t="shared" si="83"/>
        <v>377.7270051508462</v>
      </c>
      <c r="O211" s="67">
        <f t="shared" si="83"/>
        <v>304.66202554097202</v>
      </c>
      <c r="P211" s="67">
        <f t="shared" si="83"/>
        <v>309.24888206178531</v>
      </c>
      <c r="Q211" s="67">
        <f t="shared" si="83"/>
        <v>261.68520927130237</v>
      </c>
      <c r="R211" s="67">
        <f t="shared" si="83"/>
        <v>364.06389735364883</v>
      </c>
      <c r="S211" s="67">
        <f t="shared" si="83"/>
        <v>416.95097859327223</v>
      </c>
      <c r="T211" s="67">
        <f t="shared" si="83"/>
        <v>426.62043774031349</v>
      </c>
      <c r="U211" s="67">
        <f t="shared" si="83"/>
        <v>505.97663130358961</v>
      </c>
      <c r="V211" s="67">
        <f t="shared" si="83"/>
        <v>573.89036263581215</v>
      </c>
      <c r="W211" s="67">
        <f t="shared" si="83"/>
        <v>397.00265891150821</v>
      </c>
      <c r="X211" s="67">
        <f t="shared" si="83"/>
        <v>352.15738753387529</v>
      </c>
      <c r="Y211" s="67">
        <f t="shared" si="83"/>
        <v>445.27003371544163</v>
      </c>
      <c r="Z211" s="67">
        <f t="shared" si="83"/>
        <v>533.89918558077443</v>
      </c>
      <c r="AA211" s="67">
        <f t="shared" si="83"/>
        <v>416.69853715775758</v>
      </c>
      <c r="AB211" s="67">
        <f t="shared" si="83"/>
        <v>493.1300343467754</v>
      </c>
      <c r="AC211" s="67">
        <f t="shared" si="83"/>
        <v>501.30730377998248</v>
      </c>
      <c r="AD211" s="67">
        <f t="shared" si="83"/>
        <v>393.53235041159849</v>
      </c>
      <c r="AE211" s="67">
        <f t="shared" si="83"/>
        <v>353.60280676502344</v>
      </c>
      <c r="AF211" s="67">
        <f t="shared" si="83"/>
        <v>383.64563393891183</v>
      </c>
      <c r="AG211" s="67">
        <f t="shared" si="83"/>
        <v>340.69106754950337</v>
      </c>
      <c r="AH211" s="67">
        <f t="shared" si="83"/>
        <v>675.8384391886724</v>
      </c>
      <c r="AI211" s="67">
        <f t="shared" si="83"/>
        <v>812.59393667958284</v>
      </c>
      <c r="AJ211" s="67">
        <f t="shared" si="83"/>
        <v>990.97148689500364</v>
      </c>
      <c r="AK211" s="67">
        <f t="shared" si="83"/>
        <v>1910.3033144858821</v>
      </c>
      <c r="AL211" s="67">
        <f t="shared" si="83"/>
        <v>1129.9809472671702</v>
      </c>
      <c r="AM211" s="67">
        <f t="shared" si="83"/>
        <v>849.23284836101413</v>
      </c>
      <c r="AN211" s="67">
        <f t="shared" si="83"/>
        <v>893.90928233017951</v>
      </c>
      <c r="AO211" s="67">
        <f t="shared" si="83"/>
        <v>833.29234527347251</v>
      </c>
      <c r="AP211" s="67">
        <f t="shared" ref="AP211:AV211" si="84">AP120/AP200</f>
        <v>900.76419451164134</v>
      </c>
      <c r="AQ211" s="67">
        <f t="shared" si="84"/>
        <v>834.03018759768884</v>
      </c>
      <c r="AR211" s="67">
        <f t="shared" si="84"/>
        <v>912.94617530852929</v>
      </c>
      <c r="AS211" s="67">
        <f t="shared" si="84"/>
        <v>873.30329027276036</v>
      </c>
      <c r="AT211" s="304">
        <f t="shared" si="84"/>
        <v>944.58585036222757</v>
      </c>
      <c r="AU211" s="304">
        <f t="shared" si="84"/>
        <v>945.43965770642592</v>
      </c>
      <c r="AV211" s="304">
        <f t="shared" si="84"/>
        <v>1093.0292405866951</v>
      </c>
      <c r="AW211" s="304">
        <f t="shared" ref="AW211:AX211" si="85">AW120/AW200</f>
        <v>1076.4297196222544</v>
      </c>
      <c r="AX211" s="304">
        <f t="shared" si="85"/>
        <v>1022.4624956385671</v>
      </c>
      <c r="AY211" s="304">
        <f t="shared" ref="AY211" si="86">AY120/AY200</f>
        <v>1798.5691759627609</v>
      </c>
      <c r="AZ211" s="2"/>
      <c r="BA211" s="49">
        <f t="shared" si="82"/>
        <v>27658.89459695026</v>
      </c>
      <c r="BB211" s="35" t="s">
        <v>8</v>
      </c>
      <c r="BC211" s="35"/>
      <c r="BD211" s="300"/>
      <c r="BE211" s="35"/>
      <c r="BF211" s="302"/>
      <c r="BG211" s="85">
        <f>(P211-H211)/H211</f>
        <v>-0.86006457789569446</v>
      </c>
      <c r="BH211" s="46"/>
      <c r="BI211" s="35"/>
      <c r="BJ211" s="35"/>
      <c r="BK211" s="35"/>
      <c r="BL211" s="35"/>
      <c r="BM211" s="35"/>
      <c r="BN211" s="35"/>
      <c r="BO211" s="35"/>
      <c r="BP211" s="35"/>
      <c r="BQ211" s="35"/>
      <c r="BR211" s="35"/>
      <c r="BS211" s="47"/>
      <c r="BT211" s="3"/>
      <c r="BU211" s="3"/>
      <c r="BV211" s="3"/>
      <c r="BW211" s="3"/>
      <c r="BX211" s="3"/>
      <c r="BY211" s="3"/>
      <c r="BZ211" s="3"/>
      <c r="CA211" s="3"/>
      <c r="CB211" s="3"/>
      <c r="CC211" s="3"/>
    </row>
    <row r="212" spans="1:81" x14ac:dyDescent="0.3">
      <c r="A212" s="48"/>
      <c r="B212" s="35" t="s">
        <v>167</v>
      </c>
      <c r="C212" s="35"/>
      <c r="D212" s="12"/>
      <c r="E212" s="67">
        <f t="shared" ref="E212:AX212" si="87">(E35+E38)/E200</f>
        <v>2749.2017828716971</v>
      </c>
      <c r="F212" s="67">
        <f t="shared" si="87"/>
        <v>2509.0904093567246</v>
      </c>
      <c r="G212" s="67">
        <f t="shared" si="87"/>
        <v>2493.7429478698073</v>
      </c>
      <c r="H212" s="67">
        <f t="shared" si="87"/>
        <v>2670.2434182337543</v>
      </c>
      <c r="I212" s="67">
        <f t="shared" si="87"/>
        <v>1044.2223305272485</v>
      </c>
      <c r="J212" s="67">
        <f t="shared" si="87"/>
        <v>516.73464135021095</v>
      </c>
      <c r="K212" s="67">
        <f t="shared" si="87"/>
        <v>594.32167170191337</v>
      </c>
      <c r="L212" s="67">
        <f t="shared" si="87"/>
        <v>633.96811199688898</v>
      </c>
      <c r="M212" s="67">
        <f t="shared" si="87"/>
        <v>664.63267326732671</v>
      </c>
      <c r="N212" s="67">
        <f t="shared" si="87"/>
        <v>608.51405445180285</v>
      </c>
      <c r="O212" s="67">
        <f t="shared" si="87"/>
        <v>1042.7545583540264</v>
      </c>
      <c r="P212" s="67">
        <f t="shared" si="87"/>
        <v>1088.1478409284864</v>
      </c>
      <c r="Q212" s="67">
        <f t="shared" si="87"/>
        <v>1799.2504252126066</v>
      </c>
      <c r="R212" s="67">
        <f t="shared" si="87"/>
        <v>1515.4250200481156</v>
      </c>
      <c r="S212" s="67">
        <f t="shared" si="87"/>
        <v>1422.6705504587158</v>
      </c>
      <c r="T212" s="67">
        <f t="shared" si="87"/>
        <v>665.04069801833759</v>
      </c>
      <c r="U212" s="67">
        <f t="shared" si="87"/>
        <v>1035.5633192849878</v>
      </c>
      <c r="V212" s="67">
        <f t="shared" si="87"/>
        <v>692.72785381684787</v>
      </c>
      <c r="W212" s="67">
        <f t="shared" si="87"/>
        <v>781.97493421963725</v>
      </c>
      <c r="X212" s="67">
        <f t="shared" si="87"/>
        <v>521.90715447154469</v>
      </c>
      <c r="Y212" s="67">
        <f t="shared" si="87"/>
        <v>365.83197302764665</v>
      </c>
      <c r="Z212" s="67">
        <f t="shared" si="87"/>
        <v>486.76783978638201</v>
      </c>
      <c r="AA212" s="67">
        <f t="shared" si="87"/>
        <v>370.08490221642774</v>
      </c>
      <c r="AB212" s="67">
        <f t="shared" si="87"/>
        <v>761.05062460246791</v>
      </c>
      <c r="AC212" s="67">
        <f t="shared" si="87"/>
        <v>860.77848800703259</v>
      </c>
      <c r="AD212" s="67">
        <f t="shared" si="87"/>
        <v>763.81870745791889</v>
      </c>
      <c r="AE212" s="67">
        <f t="shared" si="87"/>
        <v>738.73621206669065</v>
      </c>
      <c r="AF212" s="67">
        <f t="shared" si="87"/>
        <v>509.89495114006519</v>
      </c>
      <c r="AG212" s="67">
        <f t="shared" si="87"/>
        <v>699.30996171602294</v>
      </c>
      <c r="AH212" s="67">
        <f t="shared" si="87"/>
        <v>705.97575957003414</v>
      </c>
      <c r="AI212" s="67">
        <f t="shared" si="87"/>
        <v>789.08163395225449</v>
      </c>
      <c r="AJ212" s="67">
        <f t="shared" si="87"/>
        <v>1022.1278657176247</v>
      </c>
      <c r="AK212" s="67">
        <f t="shared" si="87"/>
        <v>4073.4096674811435</v>
      </c>
      <c r="AL212" s="67">
        <f t="shared" si="87"/>
        <v>764.4962012106032</v>
      </c>
      <c r="AM212" s="67">
        <f t="shared" si="87"/>
        <v>487.6136602694977</v>
      </c>
      <c r="AN212" s="67">
        <f t="shared" si="87"/>
        <v>370.72651999999994</v>
      </c>
      <c r="AO212" s="67">
        <f t="shared" si="87"/>
        <v>555.71540505955318</v>
      </c>
      <c r="AP212" s="67">
        <f t="shared" si="87"/>
        <v>607.1811009885638</v>
      </c>
      <c r="AQ212" s="67">
        <f t="shared" si="87"/>
        <v>586.8293040293039</v>
      </c>
      <c r="AR212" s="67">
        <f t="shared" si="87"/>
        <v>673.31200689391039</v>
      </c>
      <c r="AS212" s="67">
        <f t="shared" si="87"/>
        <v>609.75462074157724</v>
      </c>
      <c r="AT212" s="304">
        <f t="shared" si="87"/>
        <v>641.00620454754676</v>
      </c>
      <c r="AU212" s="304">
        <f t="shared" si="87"/>
        <v>704.24431170241667</v>
      </c>
      <c r="AV212" s="304">
        <f t="shared" si="87"/>
        <v>696.9</v>
      </c>
      <c r="AW212" s="304">
        <f t="shared" si="87"/>
        <v>638.46218037318602</v>
      </c>
      <c r="AX212" s="304">
        <f t="shared" si="87"/>
        <v>606.45262985148122</v>
      </c>
      <c r="AY212" s="304">
        <f t="shared" ref="AY212" si="88">(AY35+AY38)/AY200</f>
        <v>707.96109286114893</v>
      </c>
      <c r="AZ212" s="2"/>
      <c r="BA212" s="49">
        <f t="shared" si="82"/>
        <v>33270.101019799826</v>
      </c>
      <c r="BB212" s="35" t="s">
        <v>469</v>
      </c>
      <c r="BC212" s="35"/>
      <c r="BD212" s="300"/>
      <c r="BE212" s="35"/>
      <c r="BF212" s="302"/>
      <c r="BG212" s="85">
        <f>(P212-H212)/H212</f>
        <v>-0.59249114387921709</v>
      </c>
      <c r="BH212" s="46"/>
      <c r="BI212" s="35"/>
      <c r="BJ212" s="35"/>
      <c r="BK212" s="35"/>
      <c r="BL212" s="35"/>
      <c r="BM212" s="35"/>
      <c r="BN212" s="35"/>
      <c r="BO212" s="35"/>
      <c r="BP212" s="35"/>
      <c r="BQ212" s="35"/>
      <c r="BR212" s="35"/>
      <c r="BS212" s="47"/>
      <c r="BT212" s="3"/>
      <c r="BU212" s="3"/>
      <c r="BV212" s="3"/>
      <c r="BW212" s="3"/>
      <c r="BX212" s="3"/>
      <c r="BY212" s="3"/>
      <c r="BZ212" s="3"/>
      <c r="CA212" s="3"/>
      <c r="CB212" s="3"/>
      <c r="CC212" s="3"/>
    </row>
    <row r="213" spans="1:81" x14ac:dyDescent="0.3">
      <c r="A213" s="48"/>
      <c r="B213" s="35" t="s">
        <v>335</v>
      </c>
      <c r="C213" s="35"/>
      <c r="D213" s="12"/>
      <c r="E213" s="67"/>
      <c r="F213" s="67"/>
      <c r="G213" s="67"/>
      <c r="H213" s="67"/>
      <c r="I213" s="67"/>
      <c r="J213" s="67"/>
      <c r="K213" s="67"/>
      <c r="L213" s="67"/>
      <c r="M213" s="67"/>
      <c r="N213" s="67"/>
      <c r="O213" s="67"/>
      <c r="P213" s="67"/>
      <c r="Q213" s="67"/>
      <c r="R213" s="67"/>
      <c r="S213" s="67"/>
      <c r="T213" s="67"/>
      <c r="U213" s="68"/>
      <c r="V213" s="68"/>
      <c r="W213" s="67"/>
      <c r="X213" s="68"/>
      <c r="Y213" s="67"/>
      <c r="Z213" s="67"/>
      <c r="AA213" s="69"/>
      <c r="AB213" s="67"/>
      <c r="AC213" s="67"/>
      <c r="AD213" s="67">
        <f t="shared" ref="AD213:AP213" si="89">AD132/AD200</f>
        <v>115.7448089445878</v>
      </c>
      <c r="AE213" s="67">
        <f t="shared" si="89"/>
        <v>109.7481348206789</v>
      </c>
      <c r="AF213" s="67">
        <f t="shared" si="89"/>
        <v>128.09716147045137</v>
      </c>
      <c r="AG213" s="67">
        <f t="shared" si="89"/>
        <v>185.34442067334763</v>
      </c>
      <c r="AH213" s="67">
        <f t="shared" si="89"/>
        <v>111.86714928156194</v>
      </c>
      <c r="AI213" s="67">
        <f t="shared" si="89"/>
        <v>119.58321485411142</v>
      </c>
      <c r="AJ213" s="67">
        <f t="shared" si="89"/>
        <v>147.54214384362052</v>
      </c>
      <c r="AK213" s="67">
        <f t="shared" si="89"/>
        <v>865.95612450865838</v>
      </c>
      <c r="AL213" s="67">
        <f t="shared" si="89"/>
        <v>198.3945940304738</v>
      </c>
      <c r="AM213" s="67">
        <f t="shared" si="89"/>
        <v>159.04902000816659</v>
      </c>
      <c r="AN213" s="67">
        <f t="shared" si="89"/>
        <v>153.66084000000001</v>
      </c>
      <c r="AO213" s="67">
        <f t="shared" si="89"/>
        <v>143.59312924500446</v>
      </c>
      <c r="AP213" s="67">
        <f t="shared" si="89"/>
        <v>160.95274277960843</v>
      </c>
      <c r="AQ213" s="67">
        <f t="shared" ref="AQ213:AV213" si="90">AQ132/AQ200</f>
        <v>156.49506458453826</v>
      </c>
      <c r="AR213" s="67">
        <f t="shared" si="90"/>
        <v>222.52891612409039</v>
      </c>
      <c r="AS213" s="67">
        <f t="shared" si="90"/>
        <v>243.77444005270092</v>
      </c>
      <c r="AT213" s="304">
        <f t="shared" si="90"/>
        <v>271.06710853355429</v>
      </c>
      <c r="AU213" s="304">
        <f t="shared" si="90"/>
        <v>270.07774459227085</v>
      </c>
      <c r="AV213" s="304">
        <f t="shared" si="90"/>
        <v>333</v>
      </c>
      <c r="AW213" s="304">
        <f t="shared" ref="AW213:AX213" si="91">AW132/AW200</f>
        <v>347.64075673807878</v>
      </c>
      <c r="AX213" s="304">
        <f t="shared" si="91"/>
        <v>330.21165176007224</v>
      </c>
      <c r="AY213" s="304">
        <f t="shared" ref="AY213" si="92">AY132/AY200</f>
        <v>451.51502283470876</v>
      </c>
      <c r="AZ213" s="2"/>
      <c r="BA213" s="49">
        <f>SUM(L213:AZ213)</f>
        <v>5225.8441896802851</v>
      </c>
      <c r="BB213" s="35" t="s">
        <v>335</v>
      </c>
      <c r="BC213" s="35"/>
      <c r="BD213" s="300"/>
      <c r="BE213" s="12"/>
      <c r="BF213" s="302"/>
      <c r="BG213" s="85"/>
      <c r="BH213" s="46"/>
      <c r="BI213" s="35"/>
      <c r="BJ213" s="35"/>
      <c r="BK213" s="35"/>
      <c r="BL213" s="35"/>
      <c r="BM213" s="35"/>
      <c r="BN213" s="35"/>
      <c r="BO213" s="35"/>
      <c r="BP213" s="35"/>
      <c r="BQ213" s="35"/>
      <c r="BR213" s="35"/>
      <c r="BS213" s="47"/>
      <c r="BT213" s="3"/>
      <c r="BU213" s="3"/>
      <c r="BV213" s="3"/>
      <c r="BW213" s="3"/>
      <c r="BX213" s="3"/>
      <c r="BY213" s="3"/>
      <c r="BZ213" s="3"/>
      <c r="CA213" s="3"/>
      <c r="CB213" s="3"/>
      <c r="CC213" s="3"/>
    </row>
    <row r="214" spans="1:81" x14ac:dyDescent="0.3">
      <c r="A214" s="48"/>
      <c r="B214" s="35" t="s">
        <v>118</v>
      </c>
      <c r="C214" s="35"/>
      <c r="D214" s="12"/>
      <c r="E214" s="67"/>
      <c r="F214" s="67"/>
      <c r="G214" s="67"/>
      <c r="H214" s="67"/>
      <c r="I214" s="67"/>
      <c r="J214" s="67"/>
      <c r="K214" s="67"/>
      <c r="L214" s="67"/>
      <c r="M214" s="67"/>
      <c r="N214" s="67"/>
      <c r="O214" s="67"/>
      <c r="P214" s="67"/>
      <c r="Q214" s="67"/>
      <c r="R214" s="67"/>
      <c r="S214" s="67"/>
      <c r="T214" s="67"/>
      <c r="U214" s="68"/>
      <c r="V214" s="68"/>
      <c r="W214" s="67"/>
      <c r="X214" s="68"/>
      <c r="Y214" s="67"/>
      <c r="Z214" s="67"/>
      <c r="AA214" s="69"/>
      <c r="AB214" s="67"/>
      <c r="AC214" s="67"/>
      <c r="AD214" s="67"/>
      <c r="AE214" s="67"/>
      <c r="AF214" s="67"/>
      <c r="AG214" s="67"/>
      <c r="AH214" s="67"/>
      <c r="AI214" s="67"/>
      <c r="AJ214" s="67">
        <f t="shared" ref="AJ214:AX214" si="93">AJ91/AJ200</f>
        <v>10.427430149792841</v>
      </c>
      <c r="AK214" s="67">
        <f t="shared" si="93"/>
        <v>466.11811324763624</v>
      </c>
      <c r="AL214" s="67">
        <f t="shared" si="93"/>
        <v>0</v>
      </c>
      <c r="AM214" s="67">
        <f t="shared" si="93"/>
        <v>206.84434463046142</v>
      </c>
      <c r="AN214" s="67">
        <f t="shared" si="93"/>
        <v>310.25500000000005</v>
      </c>
      <c r="AO214" s="67">
        <f t="shared" si="93"/>
        <v>278.30191948026385</v>
      </c>
      <c r="AP214" s="67">
        <f t="shared" si="93"/>
        <v>306.18197712735025</v>
      </c>
      <c r="AQ214" s="67">
        <f t="shared" si="93"/>
        <v>304.49654713707349</v>
      </c>
      <c r="AR214" s="67">
        <f t="shared" si="93"/>
        <v>314.45712370739182</v>
      </c>
      <c r="AS214" s="67">
        <f t="shared" si="93"/>
        <v>324.14780726519859</v>
      </c>
      <c r="AT214" s="304">
        <f t="shared" si="93"/>
        <v>367.03109638221491</v>
      </c>
      <c r="AU214" s="304">
        <f t="shared" si="93"/>
        <v>373.82027332790307</v>
      </c>
      <c r="AV214" s="304">
        <f t="shared" si="93"/>
        <v>425</v>
      </c>
      <c r="AW214" s="304">
        <f t="shared" si="93"/>
        <v>450.26641326883208</v>
      </c>
      <c r="AX214" s="304">
        <f t="shared" si="93"/>
        <v>429.54361204562247</v>
      </c>
      <c r="AY214" s="304">
        <f t="shared" ref="AY214" si="94">AY91/AY200</f>
        <v>632.75378575434661</v>
      </c>
      <c r="AZ214" s="2"/>
      <c r="BA214" s="49">
        <f>SUM(L214:AZ214)</f>
        <v>5199.6454435240876</v>
      </c>
      <c r="BB214" s="35" t="s">
        <v>118</v>
      </c>
      <c r="BC214" s="35"/>
      <c r="BD214" s="300"/>
      <c r="BE214" s="12"/>
      <c r="BF214" s="302"/>
      <c r="BG214" s="85"/>
      <c r="BH214" s="46"/>
      <c r="BI214" s="35"/>
      <c r="BJ214" s="35"/>
      <c r="BK214" s="35"/>
      <c r="BL214" s="35"/>
      <c r="BM214" s="35"/>
      <c r="BN214" s="35"/>
      <c r="BO214" s="35"/>
      <c r="BP214" s="35"/>
      <c r="BQ214" s="35"/>
      <c r="BR214" s="35"/>
      <c r="BS214" s="47"/>
      <c r="BT214" s="3"/>
      <c r="BU214" s="3"/>
      <c r="BV214" s="3"/>
      <c r="BW214" s="3"/>
      <c r="BX214" s="3"/>
      <c r="BY214" s="3"/>
      <c r="BZ214" s="3"/>
      <c r="CA214" s="3"/>
      <c r="CB214" s="3"/>
      <c r="CC214" s="3"/>
    </row>
    <row r="215" spans="1:81" x14ac:dyDescent="0.3">
      <c r="A215" s="48"/>
      <c r="B215" s="35" t="str">
        <f>BB215</f>
        <v>ARPA-C</v>
      </c>
      <c r="C215" s="35"/>
      <c r="D215" s="12"/>
      <c r="E215" s="67"/>
      <c r="F215" s="67"/>
      <c r="G215" s="67"/>
      <c r="H215" s="67"/>
      <c r="I215" s="67"/>
      <c r="J215" s="67"/>
      <c r="K215" s="67"/>
      <c r="L215" s="67"/>
      <c r="M215" s="67"/>
      <c r="N215" s="215"/>
      <c r="O215" s="215"/>
      <c r="P215" s="215"/>
      <c r="Q215" s="215"/>
      <c r="R215" s="215"/>
      <c r="S215" s="215"/>
      <c r="T215" s="215"/>
      <c r="U215" s="219"/>
      <c r="V215" s="219"/>
      <c r="W215" s="215"/>
      <c r="X215" s="219"/>
      <c r="Y215" s="215"/>
      <c r="Z215" s="215"/>
      <c r="AA215" s="220"/>
      <c r="AB215" s="215"/>
      <c r="AC215" s="215"/>
      <c r="AD215" s="215"/>
      <c r="AE215" s="215"/>
      <c r="AF215" s="215"/>
      <c r="AG215" s="215"/>
      <c r="AH215" s="215"/>
      <c r="AI215" s="12"/>
      <c r="AJ215" s="12"/>
      <c r="AK215" s="12"/>
      <c r="AL215" s="12"/>
      <c r="AM215" s="12"/>
      <c r="AN215" s="12"/>
      <c r="AO215" s="12"/>
      <c r="AP215" s="12"/>
      <c r="AQ215" s="12"/>
      <c r="AR215" s="12"/>
      <c r="AS215" s="12"/>
      <c r="AT215" s="49"/>
      <c r="AU215" s="49"/>
      <c r="AV215" s="49"/>
      <c r="AW215" s="49"/>
      <c r="AX215" s="49">
        <f>AX96/AX200</f>
        <v>0</v>
      </c>
      <c r="AY215" s="49">
        <f>AY96/AY200</f>
        <v>0</v>
      </c>
      <c r="AZ215" s="2"/>
      <c r="BA215" s="49">
        <f t="shared" ref="BA215:BA216" si="95">SUM(L215:AZ215)</f>
        <v>0</v>
      </c>
      <c r="BB215" s="35" t="s">
        <v>439</v>
      </c>
      <c r="BC215" s="35"/>
      <c r="BD215" s="300"/>
      <c r="BE215" s="12"/>
      <c r="BF215" s="302"/>
      <c r="BG215" s="85"/>
      <c r="BH215" s="46"/>
      <c r="BI215" s="35"/>
      <c r="BJ215" s="35"/>
      <c r="BK215" s="35"/>
      <c r="BL215" s="35"/>
      <c r="BM215" s="35"/>
      <c r="BN215" s="35"/>
      <c r="BO215" s="35"/>
      <c r="BP215" s="35"/>
      <c r="BQ215" s="35"/>
      <c r="BR215" s="35"/>
      <c r="BS215" s="47"/>
      <c r="BT215" s="3"/>
      <c r="BU215" s="3"/>
      <c r="BV215" s="3"/>
      <c r="BW215" s="3"/>
      <c r="BX215" s="3"/>
      <c r="BY215" s="3"/>
      <c r="BZ215" s="3"/>
      <c r="CA215" s="3"/>
      <c r="CB215" s="3"/>
      <c r="CC215" s="3"/>
    </row>
    <row r="216" spans="1:81" x14ac:dyDescent="0.3">
      <c r="A216" s="48"/>
      <c r="B216" s="35" t="str">
        <f>BB216</f>
        <v>OCDE</v>
      </c>
      <c r="C216" s="35"/>
      <c r="D216" s="12"/>
      <c r="E216" s="67"/>
      <c r="F216" s="67"/>
      <c r="G216" s="67"/>
      <c r="H216" s="67"/>
      <c r="I216" s="67"/>
      <c r="J216" s="67"/>
      <c r="K216" s="67"/>
      <c r="L216" s="67"/>
      <c r="M216" s="67"/>
      <c r="N216" s="215"/>
      <c r="O216" s="215"/>
      <c r="P216" s="215"/>
      <c r="Q216" s="215"/>
      <c r="R216" s="215"/>
      <c r="S216" s="215"/>
      <c r="T216" s="215"/>
      <c r="U216" s="219"/>
      <c r="V216" s="219"/>
      <c r="W216" s="215"/>
      <c r="X216" s="219"/>
      <c r="Y216" s="215"/>
      <c r="Z216" s="215"/>
      <c r="AA216" s="220"/>
      <c r="AB216" s="215"/>
      <c r="AC216" s="215"/>
      <c r="AD216" s="215"/>
      <c r="AE216" s="215"/>
      <c r="AF216" s="215"/>
      <c r="AG216" s="215"/>
      <c r="AH216" s="215"/>
      <c r="AI216" s="12"/>
      <c r="AJ216" s="12"/>
      <c r="AK216" s="12"/>
      <c r="AL216" s="12"/>
      <c r="AM216" s="12"/>
      <c r="AN216" s="12"/>
      <c r="AO216" s="12"/>
      <c r="AP216" s="12"/>
      <c r="AQ216" s="12"/>
      <c r="AR216" s="12"/>
      <c r="AS216" s="12"/>
      <c r="AT216" s="49"/>
      <c r="AU216" s="49"/>
      <c r="AV216" s="49"/>
      <c r="AW216" s="49"/>
      <c r="AX216" s="49">
        <f>AX101/AX200</f>
        <v>0</v>
      </c>
      <c r="AY216" s="49"/>
      <c r="AZ216" s="2"/>
      <c r="BA216" s="49">
        <f t="shared" si="95"/>
        <v>0</v>
      </c>
      <c r="BB216" s="35" t="s">
        <v>453</v>
      </c>
      <c r="BC216" s="35"/>
      <c r="BD216" s="300"/>
      <c r="BE216" s="12"/>
      <c r="BF216" s="302"/>
      <c r="BG216" s="85"/>
      <c r="BH216" s="46"/>
      <c r="BI216" s="35"/>
      <c r="BJ216" s="35"/>
      <c r="BK216" s="35"/>
      <c r="BL216" s="35"/>
      <c r="BM216" s="35"/>
      <c r="BN216" s="35"/>
      <c r="BO216" s="35"/>
      <c r="BP216" s="35"/>
      <c r="BQ216" s="35"/>
      <c r="BR216" s="35"/>
      <c r="BS216" s="47"/>
      <c r="BT216" s="3"/>
      <c r="BU216" s="3"/>
      <c r="BV216" s="3"/>
      <c r="BW216" s="3"/>
      <c r="BX216" s="3"/>
      <c r="BY216" s="3"/>
      <c r="BZ216" s="3"/>
      <c r="CA216" s="3"/>
      <c r="CB216" s="3"/>
      <c r="CC216" s="3"/>
    </row>
    <row r="217" spans="1:81" x14ac:dyDescent="0.3">
      <c r="A217" s="48"/>
      <c r="B217" s="35" t="s">
        <v>422</v>
      </c>
      <c r="C217" s="35"/>
      <c r="D217" s="12"/>
      <c r="E217" s="67"/>
      <c r="F217" s="67"/>
      <c r="G217" s="67"/>
      <c r="H217" s="67"/>
      <c r="I217" s="67"/>
      <c r="J217" s="67"/>
      <c r="K217" s="67"/>
      <c r="L217" s="67"/>
      <c r="M217" s="67"/>
      <c r="N217" s="215"/>
      <c r="O217" s="215"/>
      <c r="P217" s="215"/>
      <c r="Q217" s="215"/>
      <c r="R217" s="215"/>
      <c r="S217" s="215"/>
      <c r="T217" s="215"/>
      <c r="U217" s="219"/>
      <c r="V217" s="219"/>
      <c r="W217" s="215"/>
      <c r="X217" s="219"/>
      <c r="Y217" s="215"/>
      <c r="Z217" s="215"/>
      <c r="AA217" s="220"/>
      <c r="AB217" s="215"/>
      <c r="AC217" s="215"/>
      <c r="AD217" s="219"/>
      <c r="AE217" s="215"/>
      <c r="AF217" s="215"/>
      <c r="AG217" s="215"/>
      <c r="AH217" s="215"/>
      <c r="AI217" s="35"/>
      <c r="AJ217" s="12"/>
      <c r="AK217" s="12"/>
      <c r="AL217" s="12"/>
      <c r="AM217" s="12"/>
      <c r="AN217" s="12"/>
      <c r="AO217" s="12"/>
      <c r="AP217" s="12"/>
      <c r="AQ217" s="12"/>
      <c r="AR217" s="12"/>
      <c r="AS217" s="12"/>
      <c r="AT217" s="12"/>
      <c r="AU217" s="12"/>
      <c r="AV217" s="12"/>
      <c r="AW217" s="12"/>
      <c r="AX217" s="12"/>
      <c r="AY217" s="12"/>
      <c r="AZ217" s="35"/>
      <c r="BA217" s="35"/>
      <c r="BB217" s="35"/>
      <c r="BC217" s="12"/>
      <c r="BD217" s="300"/>
      <c r="BE217" s="35"/>
      <c r="BF217" s="302"/>
      <c r="BG217" s="85"/>
      <c r="BH217" s="46"/>
      <c r="BI217" s="35"/>
      <c r="BJ217" s="35"/>
      <c r="BK217" s="35"/>
      <c r="BL217" s="35"/>
      <c r="BM217" s="35"/>
      <c r="BN217" s="35"/>
      <c r="BO217" s="35"/>
      <c r="BP217" s="35"/>
      <c r="BQ217" s="35"/>
      <c r="BR217" s="35"/>
      <c r="BS217" s="47"/>
      <c r="BT217" s="3"/>
      <c r="BU217" s="3"/>
      <c r="BV217" s="3"/>
      <c r="BW217" s="3"/>
      <c r="BX217" s="3"/>
      <c r="BY217" s="3"/>
      <c r="BZ217" s="3"/>
      <c r="CA217" s="3"/>
      <c r="CB217" s="3"/>
      <c r="CC217" s="3"/>
    </row>
    <row r="218" spans="1:81" x14ac:dyDescent="0.3">
      <c r="A218" s="48"/>
      <c r="B218" s="35"/>
      <c r="C218" s="35"/>
      <c r="D218" s="12"/>
      <c r="E218" s="67"/>
      <c r="F218" s="67"/>
      <c r="G218" s="67"/>
      <c r="H218" s="67"/>
      <c r="I218" s="67"/>
      <c r="J218" s="67"/>
      <c r="K218" s="67"/>
      <c r="L218" s="67"/>
      <c r="M218" s="67"/>
      <c r="N218" s="215"/>
      <c r="O218" s="215"/>
      <c r="P218" s="215"/>
      <c r="Q218" s="215"/>
      <c r="R218" s="215"/>
      <c r="S218" s="215"/>
      <c r="T218" s="215"/>
      <c r="U218" s="219"/>
      <c r="V218" s="219"/>
      <c r="W218" s="215"/>
      <c r="X218" s="219"/>
      <c r="Y218" s="215"/>
      <c r="Z218" s="215"/>
      <c r="AA218" s="220"/>
      <c r="AB218" s="215"/>
      <c r="AC218" s="215"/>
      <c r="AD218" s="219"/>
      <c r="AE218" s="215"/>
      <c r="AF218" s="215"/>
      <c r="AG218" s="215"/>
      <c r="AH218" s="215"/>
      <c r="AI218" s="35"/>
      <c r="AJ218" s="12"/>
      <c r="AK218" s="12"/>
      <c r="AL218" s="12"/>
      <c r="AM218" s="12"/>
      <c r="AN218" s="12"/>
      <c r="AO218" s="12"/>
      <c r="AP218" s="12"/>
      <c r="AQ218" s="12"/>
      <c r="AR218" s="12"/>
      <c r="AS218" s="12"/>
      <c r="AT218" s="12"/>
      <c r="AU218" s="12"/>
      <c r="AV218" s="12"/>
      <c r="AW218" s="12"/>
      <c r="AX218" s="12"/>
      <c r="AY218" s="12"/>
      <c r="AZ218" s="35"/>
      <c r="BA218" s="35"/>
      <c r="BB218" s="35"/>
      <c r="BC218" s="12"/>
      <c r="BD218" s="300"/>
      <c r="BE218" s="35"/>
      <c r="BF218" s="302"/>
      <c r="BG218" s="85"/>
      <c r="BH218" s="46"/>
      <c r="BI218" s="35"/>
      <c r="BJ218" s="35"/>
      <c r="BK218" s="35"/>
      <c r="BL218" s="35"/>
      <c r="BM218" s="35"/>
      <c r="BN218" s="35"/>
      <c r="BO218" s="35"/>
      <c r="BP218" s="35"/>
      <c r="BQ218" s="35"/>
      <c r="BR218" s="35"/>
      <c r="BS218" s="47"/>
      <c r="BT218" s="3"/>
      <c r="BU218" s="3"/>
      <c r="BV218" s="3"/>
      <c r="BW218" s="3"/>
      <c r="BX218" s="3"/>
      <c r="BY218" s="3"/>
      <c r="BZ218" s="3"/>
      <c r="CA218" s="3"/>
      <c r="CB218" s="3"/>
      <c r="CC218" s="3"/>
    </row>
    <row r="219" spans="1:81" x14ac:dyDescent="0.3">
      <c r="A219" s="42" t="s">
        <v>286</v>
      </c>
      <c r="B219" s="35"/>
      <c r="C219" s="35"/>
      <c r="D219" s="12"/>
      <c r="E219" s="67">
        <f>E173/E200</f>
        <v>9859.2683221903862</v>
      </c>
      <c r="F219" s="67">
        <f t="shared" ref="F219:AO219" si="96">F173/F200</f>
        <v>9660.6248538011696</v>
      </c>
      <c r="G219" s="67">
        <f t="shared" si="96"/>
        <v>9317.8751521566574</v>
      </c>
      <c r="H219" s="67">
        <f t="shared" si="96"/>
        <v>8587.0495120209471</v>
      </c>
      <c r="I219" s="67">
        <f t="shared" si="96"/>
        <v>5505.5360212671685</v>
      </c>
      <c r="J219" s="67">
        <f t="shared" si="96"/>
        <v>4152.4424472573846</v>
      </c>
      <c r="K219" s="67">
        <f t="shared" si="96"/>
        <v>3853.490372608258</v>
      </c>
      <c r="L219" s="67">
        <f t="shared" si="96"/>
        <v>3370.3412016332886</v>
      </c>
      <c r="M219" s="67">
        <f t="shared" si="96"/>
        <v>2972.373076923077</v>
      </c>
      <c r="N219" s="67">
        <f t="shared" si="96"/>
        <v>2538.0349153789557</v>
      </c>
      <c r="O219" s="67">
        <f t="shared" si="96"/>
        <v>2799.188666193686</v>
      </c>
      <c r="P219" s="67">
        <f t="shared" si="96"/>
        <v>2820.0186038573142</v>
      </c>
      <c r="Q219" s="67">
        <f t="shared" si="96"/>
        <v>3595.1145572786399</v>
      </c>
      <c r="R219" s="67">
        <f t="shared" si="96"/>
        <v>3343.8870890136327</v>
      </c>
      <c r="S219" s="67">
        <f t="shared" si="96"/>
        <v>3364.9341284403677</v>
      </c>
      <c r="T219" s="67">
        <f t="shared" si="96"/>
        <v>2577.5781689808828</v>
      </c>
      <c r="U219" s="67">
        <f t="shared" si="96"/>
        <v>2884.835745503357</v>
      </c>
      <c r="V219" s="67">
        <f t="shared" si="96"/>
        <v>2695.5452149383718</v>
      </c>
      <c r="W219" s="67">
        <f t="shared" si="96"/>
        <v>2210.2041202586738</v>
      </c>
      <c r="X219" s="67">
        <f t="shared" si="96"/>
        <v>1951.6824693837634</v>
      </c>
      <c r="Y219" s="67">
        <f t="shared" si="96"/>
        <v>1847.0590777112066</v>
      </c>
      <c r="Z219" s="67">
        <f t="shared" si="96"/>
        <v>2159.4356766602723</v>
      </c>
      <c r="AA219" s="67">
        <f t="shared" si="96"/>
        <v>1998.8869374998862</v>
      </c>
      <c r="AB219" s="67">
        <f t="shared" si="96"/>
        <v>2536.305886219604</v>
      </c>
      <c r="AC219" s="67">
        <f t="shared" si="96"/>
        <v>2694.4596012860243</v>
      </c>
      <c r="AD219" s="67">
        <f t="shared" si="96"/>
        <v>2640.1590936404705</v>
      </c>
      <c r="AE219" s="67">
        <f t="shared" si="96"/>
        <v>2627.257274285661</v>
      </c>
      <c r="AF219" s="67">
        <f t="shared" si="96"/>
        <v>2455.9511562835833</v>
      </c>
      <c r="AG219" s="67">
        <f t="shared" si="96"/>
        <v>2679.3246551566463</v>
      </c>
      <c r="AH219" s="67">
        <f t="shared" si="96"/>
        <v>3080.9902810718245</v>
      </c>
      <c r="AI219" s="67">
        <f t="shared" si="96"/>
        <v>3531.3662239884256</v>
      </c>
      <c r="AJ219" s="67">
        <f t="shared" si="96"/>
        <v>4291.8965014118812</v>
      </c>
      <c r="AK219" s="67">
        <f t="shared" si="96"/>
        <v>8284.6531817698924</v>
      </c>
      <c r="AL219" s="67">
        <f t="shared" si="96"/>
        <v>4300.8167229037417</v>
      </c>
      <c r="AM219" s="67">
        <f t="shared" si="96"/>
        <v>3546.9051414376099</v>
      </c>
      <c r="AN219" s="67">
        <f t="shared" si="96"/>
        <v>3687.1794541672621</v>
      </c>
      <c r="AO219" s="67">
        <f t="shared" si="96"/>
        <v>3566.7872561206823</v>
      </c>
      <c r="AP219" s="67">
        <f t="shared" ref="AP219:AV219" si="97">AP173/AP200</f>
        <v>4017.4060304648574</v>
      </c>
      <c r="AQ219" s="67">
        <f t="shared" si="97"/>
        <v>3756.6490133171242</v>
      </c>
      <c r="AR219" s="67">
        <f t="shared" si="97"/>
        <v>4229.8014664365564</v>
      </c>
      <c r="AS219" s="67">
        <f t="shared" si="97"/>
        <v>4054.0555719002987</v>
      </c>
      <c r="AT219" s="67">
        <f t="shared" si="97"/>
        <v>4503.4561016051193</v>
      </c>
      <c r="AU219" s="67">
        <f t="shared" si="97"/>
        <v>4686.0428021993284</v>
      </c>
      <c r="AV219" s="67">
        <f t="shared" si="97"/>
        <v>5279.2398604804812</v>
      </c>
      <c r="AW219" s="67">
        <f>AW173/AW200</f>
        <v>5473.7266028340946</v>
      </c>
      <c r="AX219" s="67">
        <f>AX173/AX200</f>
        <v>5202.1856576602804</v>
      </c>
      <c r="AY219" s="67">
        <f>AY173/AY200</f>
        <v>7259.6379085948402</v>
      </c>
      <c r="AZ219" s="24" t="s">
        <v>286</v>
      </c>
      <c r="BA219" s="35"/>
      <c r="BB219" s="35"/>
      <c r="BC219" s="35"/>
      <c r="BD219" s="300"/>
      <c r="BE219" s="35"/>
      <c r="BF219" s="302"/>
      <c r="BG219" s="85">
        <f>(P219-H219)/H219</f>
        <v>-0.67159632654853207</v>
      </c>
      <c r="BH219" s="45"/>
      <c r="BI219" s="86"/>
      <c r="BJ219" s="44"/>
      <c r="BK219" s="44"/>
      <c r="BL219" s="35"/>
      <c r="BM219" s="35"/>
      <c r="BN219" s="35"/>
      <c r="BO219" s="35"/>
      <c r="BP219" s="35"/>
      <c r="BQ219" s="35"/>
      <c r="BR219" s="35"/>
      <c r="BS219" s="47"/>
      <c r="BT219" s="3"/>
      <c r="BU219" s="3"/>
      <c r="BV219" s="3"/>
      <c r="BW219" s="3"/>
      <c r="BX219" s="3"/>
      <c r="BY219" s="3"/>
      <c r="BZ219" s="3"/>
      <c r="CA219" s="3"/>
      <c r="CB219" s="3"/>
      <c r="CC219" s="3"/>
    </row>
    <row r="220" spans="1:81" x14ac:dyDescent="0.3">
      <c r="A220" s="42" t="str">
        <f>AZ220</f>
        <v>TOTAL Energy Technology Deployment</v>
      </c>
      <c r="B220" s="35"/>
      <c r="C220" s="35"/>
      <c r="D220" s="12"/>
      <c r="E220" s="67">
        <f>E174/E200</f>
        <v>0</v>
      </c>
      <c r="F220" s="67">
        <f t="shared" ref="F220:AO220" si="98">F174/F200</f>
        <v>0</v>
      </c>
      <c r="G220" s="67">
        <f t="shared" si="98"/>
        <v>0</v>
      </c>
      <c r="H220" s="67">
        <f t="shared" si="98"/>
        <v>0</v>
      </c>
      <c r="I220" s="67">
        <f t="shared" si="98"/>
        <v>0</v>
      </c>
      <c r="J220" s="67">
        <f t="shared" si="98"/>
        <v>0</v>
      </c>
      <c r="K220" s="67">
        <f t="shared" si="98"/>
        <v>0</v>
      </c>
      <c r="L220" s="67">
        <f t="shared" si="98"/>
        <v>0</v>
      </c>
      <c r="M220" s="67">
        <f t="shared" si="98"/>
        <v>0</v>
      </c>
      <c r="N220" s="67">
        <f t="shared" si="98"/>
        <v>0</v>
      </c>
      <c r="O220" s="67">
        <f t="shared" si="98"/>
        <v>0</v>
      </c>
      <c r="P220" s="67">
        <f t="shared" si="98"/>
        <v>0</v>
      </c>
      <c r="Q220" s="67">
        <f t="shared" si="98"/>
        <v>0</v>
      </c>
      <c r="R220" s="67">
        <f t="shared" si="98"/>
        <v>0</v>
      </c>
      <c r="S220" s="67">
        <f t="shared" si="98"/>
        <v>369.33886850152908</v>
      </c>
      <c r="T220" s="67">
        <f t="shared" si="98"/>
        <v>342.86468500443658</v>
      </c>
      <c r="U220" s="67">
        <f t="shared" si="98"/>
        <v>394.48469699171636</v>
      </c>
      <c r="V220" s="67">
        <f t="shared" si="98"/>
        <v>407.53379427120086</v>
      </c>
      <c r="W220" s="67">
        <f t="shared" si="98"/>
        <v>240.60767206758069</v>
      </c>
      <c r="X220" s="67">
        <f t="shared" si="98"/>
        <v>259.27197831978322</v>
      </c>
      <c r="Y220" s="67">
        <f t="shared" si="98"/>
        <v>266.41648010788941</v>
      </c>
      <c r="Z220" s="67">
        <f t="shared" si="98"/>
        <v>285.89100133511351</v>
      </c>
      <c r="AA220" s="67">
        <f t="shared" si="98"/>
        <v>283.03552020860502</v>
      </c>
      <c r="AB220" s="67">
        <f t="shared" si="98"/>
        <v>335.97712759190944</v>
      </c>
      <c r="AC220" s="67">
        <f t="shared" si="98"/>
        <v>416.3983172171292</v>
      </c>
      <c r="AD220" s="67">
        <f t="shared" si="98"/>
        <v>398.52254576729331</v>
      </c>
      <c r="AE220" s="67">
        <f t="shared" si="98"/>
        <v>394.15503578425495</v>
      </c>
      <c r="AF220" s="67">
        <f t="shared" si="98"/>
        <v>383.37275476966033</v>
      </c>
      <c r="AG220" s="67">
        <f t="shared" si="98"/>
        <v>369.16441842134901</v>
      </c>
      <c r="AH220" s="67">
        <f t="shared" si="98"/>
        <v>332.879017220577</v>
      </c>
      <c r="AI220" s="67">
        <f t="shared" si="98"/>
        <v>348.45519363395232</v>
      </c>
      <c r="AJ220" s="67">
        <f t="shared" si="98"/>
        <v>9622.3606289174568</v>
      </c>
      <c r="AK220" s="67">
        <f t="shared" si="98"/>
        <v>26302.533347498145</v>
      </c>
      <c r="AL220" s="67">
        <f t="shared" si="98"/>
        <v>367.35378835316214</v>
      </c>
      <c r="AM220" s="67">
        <f t="shared" si="98"/>
        <v>500.29612086565947</v>
      </c>
      <c r="AN220" s="67">
        <f t="shared" si="98"/>
        <v>170.24538000000001</v>
      </c>
      <c r="AO220" s="67">
        <f t="shared" si="98"/>
        <v>233.21389900580769</v>
      </c>
      <c r="AP220" s="67">
        <f t="shared" ref="AP220:AV220" si="99">AP174/AP200</f>
        <v>304.19193642178715</v>
      </c>
      <c r="AQ220" s="67">
        <f t="shared" si="99"/>
        <v>316.47021399652982</v>
      </c>
      <c r="AR220" s="67">
        <f t="shared" si="99"/>
        <v>340.27479892761397</v>
      </c>
      <c r="AS220" s="67">
        <f t="shared" si="99"/>
        <v>1742.0953886693019</v>
      </c>
      <c r="AT220" s="67">
        <f t="shared" si="99"/>
        <v>380.01323759550769</v>
      </c>
      <c r="AU220" s="67">
        <f t="shared" si="99"/>
        <v>366.87687573536073</v>
      </c>
      <c r="AV220" s="67">
        <f t="shared" si="99"/>
        <v>446.5</v>
      </c>
      <c r="AW220" s="67">
        <f>AW174/AW200</f>
        <v>-1804.4767622667589</v>
      </c>
      <c r="AX220" s="67">
        <f>AX174/AX200</f>
        <v>434.63518503323218</v>
      </c>
      <c r="AY220" s="67">
        <f>AY174/AY200</f>
        <v>162.61772293886708</v>
      </c>
      <c r="AZ220" s="24" t="s">
        <v>144</v>
      </c>
      <c r="BA220" s="35"/>
      <c r="BB220" s="35"/>
      <c r="BC220" s="35"/>
      <c r="BD220" s="300"/>
      <c r="BE220" s="35"/>
      <c r="BF220" s="302"/>
      <c r="BG220" s="50"/>
      <c r="BH220" s="46"/>
      <c r="BI220" s="35"/>
      <c r="BJ220" s="35"/>
      <c r="BK220" s="35"/>
      <c r="BL220" s="35"/>
      <c r="BM220" s="35"/>
      <c r="BN220" s="35"/>
      <c r="BO220" s="35"/>
      <c r="BP220" s="35"/>
      <c r="BQ220" s="35"/>
      <c r="BR220" s="35"/>
      <c r="BS220" s="47"/>
      <c r="BT220" s="3"/>
      <c r="BU220" s="3"/>
      <c r="BV220" s="3"/>
      <c r="BW220" s="3"/>
      <c r="BX220" s="3"/>
      <c r="BY220" s="3"/>
      <c r="BZ220" s="3"/>
      <c r="CA220" s="3"/>
      <c r="CB220" s="3"/>
      <c r="CC220" s="3"/>
    </row>
    <row r="221" spans="1:81" x14ac:dyDescent="0.3">
      <c r="A221" s="48"/>
      <c r="B221" s="35"/>
      <c r="C221" s="35"/>
      <c r="D221" s="12"/>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12"/>
      <c r="AS221" s="12"/>
      <c r="AT221" s="12"/>
      <c r="AU221" s="12"/>
      <c r="AV221" s="12"/>
      <c r="AW221" s="12"/>
      <c r="AX221" s="12"/>
      <c r="AY221" s="12"/>
      <c r="AZ221" s="35"/>
      <c r="BA221" s="35"/>
      <c r="BB221" s="35"/>
      <c r="BC221" s="35"/>
      <c r="BD221" s="300"/>
      <c r="BE221" s="35"/>
      <c r="BF221" s="302"/>
      <c r="BG221" s="46"/>
      <c r="BH221" s="46"/>
      <c r="BI221" s="35"/>
      <c r="BJ221" s="35"/>
      <c r="BK221" s="35"/>
      <c r="BL221" s="35"/>
      <c r="BM221" s="35"/>
      <c r="BN221" s="35"/>
      <c r="BO221" s="35"/>
      <c r="BP221" s="35"/>
      <c r="BQ221" s="35"/>
      <c r="BR221" s="35"/>
      <c r="BS221" s="47"/>
      <c r="BT221" s="3"/>
      <c r="BU221" s="3"/>
      <c r="BV221" s="3"/>
      <c r="BW221" s="3"/>
      <c r="BX221" s="3"/>
      <c r="BY221" s="3"/>
      <c r="BZ221" s="3"/>
      <c r="CA221" s="3"/>
      <c r="CB221" s="3"/>
      <c r="CC221" s="3"/>
    </row>
    <row r="222" spans="1:81" x14ac:dyDescent="0.3">
      <c r="A222" s="42" t="s">
        <v>93</v>
      </c>
      <c r="B222" s="35"/>
      <c r="C222" s="35"/>
      <c r="D222" s="12"/>
      <c r="E222" s="67">
        <f>E183/E200</f>
        <v>647.96969118115248</v>
      </c>
      <c r="F222" s="67">
        <f t="shared" ref="F222:AO222" si="100">F183/F200</f>
        <v>675.27058479532161</v>
      </c>
      <c r="G222" s="67">
        <f t="shared" si="100"/>
        <v>671.27750727705745</v>
      </c>
      <c r="H222" s="67">
        <f t="shared" si="100"/>
        <v>610.96286598428958</v>
      </c>
      <c r="I222" s="67">
        <f t="shared" si="100"/>
        <v>634.70622507753649</v>
      </c>
      <c r="J222" s="67">
        <f t="shared" si="100"/>
        <v>702.38780590717317</v>
      </c>
      <c r="K222" s="67">
        <f t="shared" si="100"/>
        <v>762.35871097683798</v>
      </c>
      <c r="L222" s="67">
        <f t="shared" si="100"/>
        <v>901.15605677620078</v>
      </c>
      <c r="M222" s="67">
        <f t="shared" si="100"/>
        <v>922.83838537699933</v>
      </c>
      <c r="N222" s="67">
        <f t="shared" si="100"/>
        <v>1104.1250919793968</v>
      </c>
      <c r="O222" s="67">
        <f t="shared" si="100"/>
        <v>1119.5954239091877</v>
      </c>
      <c r="P222" s="67">
        <f t="shared" si="100"/>
        <v>1051.1766171701656</v>
      </c>
      <c r="Q222" s="67">
        <f t="shared" si="100"/>
        <v>1061.2266466566618</v>
      </c>
      <c r="R222" s="67">
        <f t="shared" si="100"/>
        <v>1277.1187810745789</v>
      </c>
      <c r="S222" s="67">
        <f t="shared" si="100"/>
        <v>1311.748134556575</v>
      </c>
      <c r="T222" s="67">
        <f t="shared" si="100"/>
        <v>1421.3451345755693</v>
      </c>
      <c r="U222" s="67">
        <f t="shared" si="100"/>
        <v>1242.47923266967</v>
      </c>
      <c r="V222" s="67">
        <f t="shared" si="100"/>
        <v>1136.1596444193597</v>
      </c>
      <c r="W222" s="67">
        <f t="shared" si="100"/>
        <v>1209.7566265060243</v>
      </c>
      <c r="X222" s="67">
        <f t="shared" si="100"/>
        <v>993.21346883468846</v>
      </c>
      <c r="Y222" s="67">
        <f t="shared" si="100"/>
        <v>991.72051247471336</v>
      </c>
      <c r="Z222" s="67">
        <f t="shared" si="100"/>
        <v>1179.7146061415222</v>
      </c>
      <c r="AA222" s="67">
        <f t="shared" si="100"/>
        <v>1111.4314471968712</v>
      </c>
      <c r="AB222" s="67">
        <f t="shared" si="100"/>
        <v>1397.584480346012</v>
      </c>
      <c r="AC222" s="67">
        <f t="shared" si="100"/>
        <v>1387.8432651010926</v>
      </c>
      <c r="AD222" s="67">
        <f t="shared" si="100"/>
        <v>1388.7990907973954</v>
      </c>
      <c r="AE222" s="67">
        <f t="shared" si="100"/>
        <v>1045.5167566270843</v>
      </c>
      <c r="AF222" s="67">
        <f t="shared" si="100"/>
        <v>1120.3251744997674</v>
      </c>
      <c r="AG222" s="67">
        <f t="shared" si="100"/>
        <v>1186.3821416507151</v>
      </c>
      <c r="AH222" s="67">
        <f t="shared" si="100"/>
        <v>1356.7604255785898</v>
      </c>
      <c r="AI222" s="67">
        <f t="shared" si="100"/>
        <v>1499.8775596816977</v>
      </c>
      <c r="AJ222" s="67">
        <f t="shared" si="100"/>
        <v>1840.9807712737704</v>
      </c>
      <c r="AK222" s="67">
        <f t="shared" si="100"/>
        <v>665.19813024540531</v>
      </c>
      <c r="AL222" s="67">
        <f t="shared" si="100"/>
        <v>1882.688165309956</v>
      </c>
      <c r="AM222" s="67">
        <f t="shared" si="100"/>
        <v>1712.5698244181301</v>
      </c>
      <c r="AN222" s="67">
        <f t="shared" si="100"/>
        <v>1684.8538800000003</v>
      </c>
      <c r="AO222" s="67">
        <f t="shared" si="100"/>
        <v>1722.7843882271879</v>
      </c>
      <c r="AP222" s="67">
        <f t="shared" ref="AP222:AV222" si="101">AP183/AP200</f>
        <v>1760.4206241519676</v>
      </c>
      <c r="AQ222" s="67">
        <f t="shared" si="101"/>
        <v>1830.198361287835</v>
      </c>
      <c r="AR222" s="67">
        <f t="shared" si="101"/>
        <v>1997.3590578322483</v>
      </c>
      <c r="AS222" s="67">
        <f t="shared" si="101"/>
        <v>1987.0377376246943</v>
      </c>
      <c r="AT222" s="67">
        <f t="shared" si="101"/>
        <v>2170.6140108625609</v>
      </c>
      <c r="AU222" s="67">
        <f t="shared" si="101"/>
        <v>2211.6763508009776</v>
      </c>
      <c r="AV222" s="67">
        <f t="shared" si="101"/>
        <v>2213</v>
      </c>
      <c r="AW222" s="67">
        <f t="shared" ref="AW222:AX222" si="102">AW183/AW200</f>
        <v>2187.9828956461647</v>
      </c>
      <c r="AX222" s="67">
        <f t="shared" si="102"/>
        <v>2078.2875194879794</v>
      </c>
      <c r="AY222" s="67">
        <f t="shared" ref="AY222" si="103">AY183/AY200</f>
        <v>2187.5202307507411</v>
      </c>
      <c r="AZ222" s="24" t="s">
        <v>93</v>
      </c>
      <c r="BA222" s="35"/>
      <c r="BB222" s="35"/>
      <c r="BC222" s="35"/>
      <c r="BD222" s="300"/>
      <c r="BE222" s="35"/>
      <c r="BF222" s="302"/>
      <c r="BG222" s="46"/>
      <c r="BH222" s="46"/>
      <c r="BI222" s="35"/>
      <c r="BJ222" s="35"/>
      <c r="BK222" s="35"/>
      <c r="BL222" s="35"/>
      <c r="BM222" s="35"/>
      <c r="BN222" s="35"/>
      <c r="BO222" s="35"/>
      <c r="BP222" s="35"/>
      <c r="BQ222" s="35"/>
      <c r="BR222" s="35"/>
      <c r="BS222" s="47"/>
      <c r="BT222" s="3"/>
      <c r="BU222" s="3"/>
      <c r="BV222" s="3"/>
      <c r="BW222" s="3"/>
      <c r="BX222" s="3"/>
      <c r="BY222" s="3"/>
      <c r="BZ222" s="3"/>
      <c r="CA222" s="3"/>
      <c r="CB222" s="3"/>
      <c r="CC222" s="3"/>
    </row>
    <row r="223" spans="1:81" x14ac:dyDescent="0.3">
      <c r="A223" s="42" t="s">
        <v>83</v>
      </c>
      <c r="B223" s="35"/>
      <c r="C223" s="35"/>
      <c r="D223" s="12"/>
      <c r="E223" s="67">
        <f>E186/E200</f>
        <v>2687.4219675262657</v>
      </c>
      <c r="F223" s="67">
        <f t="shared" ref="F223:AO223" si="104">F186/F200</f>
        <v>2681.619239766082</v>
      </c>
      <c r="G223" s="67">
        <f t="shared" si="104"/>
        <v>2645.4035988356709</v>
      </c>
      <c r="H223" s="67">
        <f t="shared" si="104"/>
        <v>2678.0315163056421</v>
      </c>
      <c r="I223" s="67">
        <f t="shared" si="104"/>
        <v>2504.3340717766946</v>
      </c>
      <c r="J223" s="67">
        <f t="shared" si="104"/>
        <v>2435.388691983123</v>
      </c>
      <c r="K223" s="67">
        <f t="shared" si="104"/>
        <v>2864.0146626384699</v>
      </c>
      <c r="L223" s="67">
        <f t="shared" si="104"/>
        <v>3140.6648648648647</v>
      </c>
      <c r="M223" s="67">
        <f t="shared" si="104"/>
        <v>2950.2472962680886</v>
      </c>
      <c r="N223" s="67">
        <f t="shared" si="104"/>
        <v>3245.9617365710083</v>
      </c>
      <c r="O223" s="67">
        <f t="shared" si="104"/>
        <v>3565.2960979070599</v>
      </c>
      <c r="P223" s="67">
        <f t="shared" si="104"/>
        <v>3614.1296808329071</v>
      </c>
      <c r="Q223" s="67">
        <f t="shared" si="104"/>
        <v>3930.357578789396</v>
      </c>
      <c r="R223" s="67">
        <f t="shared" si="104"/>
        <v>4328.9585886126697</v>
      </c>
      <c r="S223" s="67">
        <f t="shared" si="104"/>
        <v>4752.2406116207949</v>
      </c>
      <c r="T223" s="67">
        <f t="shared" si="104"/>
        <v>4676.4740905057679</v>
      </c>
      <c r="U223" s="67">
        <f t="shared" si="104"/>
        <v>4837.9301555006541</v>
      </c>
      <c r="V223" s="67">
        <f t="shared" si="104"/>
        <v>3809.9633977705666</v>
      </c>
      <c r="W223" s="67">
        <f t="shared" si="104"/>
        <v>3593.4912062041276</v>
      </c>
      <c r="X223" s="67">
        <f t="shared" si="104"/>
        <v>3427.5572086720867</v>
      </c>
      <c r="Y223" s="67">
        <f t="shared" si="104"/>
        <v>991.72051247471336</v>
      </c>
      <c r="Z223" s="67">
        <f t="shared" si="104"/>
        <v>1179.7146061415222</v>
      </c>
      <c r="AA223" s="67">
        <f t="shared" si="104"/>
        <v>1111.4314471968712</v>
      </c>
      <c r="AB223" s="67">
        <f t="shared" si="104"/>
        <v>1397.584480346012</v>
      </c>
      <c r="AC223" s="67">
        <f t="shared" si="104"/>
        <v>1387.8432651010926</v>
      </c>
      <c r="AD223" s="67">
        <f t="shared" si="104"/>
        <v>1388.7990907973954</v>
      </c>
      <c r="AE223" s="67">
        <f t="shared" si="104"/>
        <v>1045.5167566270843</v>
      </c>
      <c r="AF223" s="67">
        <f t="shared" si="104"/>
        <v>1120.3251744997674</v>
      </c>
      <c r="AG223" s="67">
        <f t="shared" si="104"/>
        <v>1186.3821416507151</v>
      </c>
      <c r="AH223" s="67">
        <f t="shared" si="104"/>
        <v>1356.7604255785898</v>
      </c>
      <c r="AI223" s="67">
        <f t="shared" si="104"/>
        <v>1499.8775596816977</v>
      </c>
      <c r="AJ223" s="67">
        <f t="shared" si="104"/>
        <v>1840.9807712737704</v>
      </c>
      <c r="AK223" s="67">
        <f t="shared" si="104"/>
        <v>665.19813024540531</v>
      </c>
      <c r="AL223" s="67">
        <f t="shared" si="104"/>
        <v>1882.688165309956</v>
      </c>
      <c r="AM223" s="67">
        <f t="shared" si="104"/>
        <v>1712.5698244181301</v>
      </c>
      <c r="AN223" s="67">
        <f t="shared" si="104"/>
        <v>1684.8538800000003</v>
      </c>
      <c r="AO223" s="67">
        <f t="shared" si="104"/>
        <v>1722.7843882271879</v>
      </c>
      <c r="AP223" s="67">
        <f t="shared" ref="AP223:AV223" si="105">AP186/AP200</f>
        <v>1760.4206241519676</v>
      </c>
      <c r="AQ223" s="67">
        <f t="shared" si="105"/>
        <v>1830.198361287835</v>
      </c>
      <c r="AR223" s="67">
        <f t="shared" si="105"/>
        <v>1997.3590578322483</v>
      </c>
      <c r="AS223" s="67">
        <f t="shared" si="105"/>
        <v>1987.0377376246943</v>
      </c>
      <c r="AT223" s="67">
        <f t="shared" si="105"/>
        <v>2170.6140108625609</v>
      </c>
      <c r="AU223" s="67">
        <f t="shared" si="105"/>
        <v>2211.6763508009776</v>
      </c>
      <c r="AV223" s="67">
        <f t="shared" si="105"/>
        <v>2213</v>
      </c>
      <c r="AW223" s="67">
        <f t="shared" ref="AW223:AX223" si="106">AW186/AW200</f>
        <v>2187.9828956461647</v>
      </c>
      <c r="AX223" s="67">
        <f t="shared" si="106"/>
        <v>2078.2875194879794</v>
      </c>
      <c r="AY223" s="67">
        <f t="shared" ref="AY223" si="107">AY186/AY200</f>
        <v>2187.5202307507411</v>
      </c>
      <c r="AZ223" s="24" t="s">
        <v>83</v>
      </c>
      <c r="BA223" s="35"/>
      <c r="BB223" s="35"/>
      <c r="BC223" s="35"/>
      <c r="BD223" s="35"/>
      <c r="BE223" s="35"/>
      <c r="BF223" s="302"/>
      <c r="BG223" s="46"/>
      <c r="BH223" s="46"/>
      <c r="BI223" s="35"/>
      <c r="BJ223" s="35"/>
      <c r="BK223" s="35"/>
      <c r="BL223" s="35"/>
      <c r="BM223" s="35"/>
      <c r="BN223" s="35"/>
      <c r="BO223" s="35"/>
      <c r="BP223" s="35"/>
      <c r="BQ223" s="35"/>
      <c r="BR223" s="35"/>
      <c r="BS223" s="47"/>
      <c r="BT223" s="3"/>
      <c r="BU223" s="3"/>
      <c r="BV223" s="3"/>
      <c r="BW223" s="3"/>
      <c r="BX223" s="3"/>
      <c r="BY223" s="3"/>
      <c r="BZ223" s="3"/>
      <c r="CA223" s="3"/>
      <c r="CB223" s="3"/>
      <c r="CC223" s="3"/>
    </row>
    <row r="224" spans="1:81" x14ac:dyDescent="0.3">
      <c r="A224" s="48"/>
      <c r="B224" s="35"/>
      <c r="C224" s="35"/>
      <c r="D224" s="12"/>
      <c r="E224" s="67"/>
      <c r="F224" s="169"/>
      <c r="G224" s="67"/>
      <c r="H224" s="67"/>
      <c r="I224" s="67"/>
      <c r="J224" s="67"/>
      <c r="K224" s="67"/>
      <c r="L224" s="67"/>
      <c r="M224" s="67"/>
      <c r="N224" s="67"/>
      <c r="O224" s="67"/>
      <c r="P224" s="67"/>
      <c r="Q224" s="67"/>
      <c r="R224" s="67"/>
      <c r="S224" s="67"/>
      <c r="T224" s="67"/>
      <c r="U224" s="68"/>
      <c r="V224" s="68"/>
      <c r="W224" s="67"/>
      <c r="X224" s="68"/>
      <c r="Y224" s="67"/>
      <c r="Z224" s="67"/>
      <c r="AA224" s="69"/>
      <c r="AB224" s="67"/>
      <c r="AC224" s="67"/>
      <c r="AD224" s="68"/>
      <c r="AE224" s="67"/>
      <c r="AF224" s="67"/>
      <c r="AG224" s="67"/>
      <c r="AH224" s="67"/>
      <c r="AI224" s="162"/>
      <c r="AJ224" s="162"/>
      <c r="AK224" s="162"/>
      <c r="AL224" s="162"/>
      <c r="AM224" s="162"/>
      <c r="AN224" s="162"/>
      <c r="AO224" s="162"/>
      <c r="AP224" s="35"/>
      <c r="AQ224" s="35"/>
      <c r="AR224" s="35"/>
      <c r="AS224" s="35"/>
      <c r="AT224" s="35"/>
      <c r="AU224" s="35"/>
      <c r="AV224" s="35"/>
      <c r="AW224" s="35"/>
      <c r="AX224" s="35"/>
      <c r="AY224" s="35"/>
      <c r="AZ224" s="35"/>
      <c r="BA224" s="35"/>
      <c r="BB224" s="35"/>
      <c r="BC224" s="35"/>
      <c r="BD224" s="52"/>
      <c r="BE224" s="35"/>
      <c r="BF224" s="302"/>
      <c r="BG224" s="46"/>
      <c r="BH224" s="46"/>
      <c r="BI224" s="35"/>
      <c r="BJ224" s="35"/>
      <c r="BK224" s="35"/>
      <c r="BL224" s="35"/>
      <c r="BM224" s="35"/>
      <c r="BN224" s="35"/>
      <c r="BO224" s="35"/>
      <c r="BP224" s="35"/>
      <c r="BQ224" s="35"/>
      <c r="BR224" s="35"/>
      <c r="BS224" s="47"/>
      <c r="BT224" s="3"/>
      <c r="BU224" s="3"/>
      <c r="BV224" s="3"/>
      <c r="BW224" s="3"/>
      <c r="BX224" s="3"/>
      <c r="BY224" s="3"/>
      <c r="BZ224" s="3"/>
      <c r="CA224" s="3"/>
      <c r="CB224" s="3"/>
      <c r="CC224" s="3"/>
    </row>
    <row r="225" spans="1:93" x14ac:dyDescent="0.3">
      <c r="A225" s="42" t="s">
        <v>163</v>
      </c>
      <c r="B225" s="35"/>
      <c r="C225" s="35"/>
      <c r="D225" s="12"/>
      <c r="E225" s="67">
        <f>E192/E200</f>
        <v>567.87144221585481</v>
      </c>
      <c r="F225" s="67">
        <f t="shared" ref="F225:AO225" si="108">F192/F200</f>
        <v>522.86461988304097</v>
      </c>
      <c r="G225" s="67">
        <f t="shared" si="108"/>
        <v>505.43598835670821</v>
      </c>
      <c r="H225" s="67">
        <f t="shared" si="108"/>
        <v>444.99581052130452</v>
      </c>
      <c r="I225" s="67">
        <f t="shared" si="108"/>
        <v>426.63655294638897</v>
      </c>
      <c r="J225" s="67">
        <f t="shared" si="108"/>
        <v>340.84016877637134</v>
      </c>
      <c r="K225" s="67">
        <f t="shared" si="108"/>
        <v>416.51371601208467</v>
      </c>
      <c r="L225" s="67">
        <f t="shared" si="108"/>
        <v>411.75022360489987</v>
      </c>
      <c r="M225" s="67">
        <f t="shared" si="108"/>
        <v>382.36785986290937</v>
      </c>
      <c r="N225" s="67">
        <f t="shared" si="108"/>
        <v>398.48123620309053</v>
      </c>
      <c r="O225" s="67">
        <f t="shared" si="108"/>
        <v>535.88499467896429</v>
      </c>
      <c r="P225" s="67">
        <f t="shared" si="108"/>
        <v>492.37197473971673</v>
      </c>
      <c r="Q225" s="67">
        <f t="shared" si="108"/>
        <v>574.54107053526764</v>
      </c>
      <c r="R225" s="67">
        <f t="shared" si="108"/>
        <v>706.7761347233361</v>
      </c>
      <c r="S225" s="67">
        <f t="shared" si="108"/>
        <v>607.91694189602447</v>
      </c>
      <c r="T225" s="67">
        <f t="shared" si="108"/>
        <v>587.6250221827861</v>
      </c>
      <c r="U225" s="67">
        <f t="shared" si="108"/>
        <v>647.96488882429878</v>
      </c>
      <c r="V225" s="67">
        <f t="shared" si="108"/>
        <v>666.22223790038106</v>
      </c>
      <c r="W225" s="67">
        <f t="shared" si="108"/>
        <v>642.14125467386793</v>
      </c>
      <c r="X225" s="67">
        <f t="shared" si="108"/>
        <v>594.82739837398378</v>
      </c>
      <c r="Y225" s="67">
        <f t="shared" si="108"/>
        <v>602.06168577208359</v>
      </c>
      <c r="Z225" s="67">
        <f t="shared" si="108"/>
        <v>641.52253671562084</v>
      </c>
      <c r="AA225" s="67">
        <f t="shared" si="108"/>
        <v>620.43645371577588</v>
      </c>
      <c r="AB225" s="67">
        <f t="shared" si="108"/>
        <v>674.68110927362943</v>
      </c>
      <c r="AC225" s="67">
        <f t="shared" si="108"/>
        <v>744.24646490016323</v>
      </c>
      <c r="AD225" s="67">
        <f t="shared" si="108"/>
        <v>685.32016218208628</v>
      </c>
      <c r="AE225" s="67">
        <f t="shared" si="108"/>
        <v>844.42461317020513</v>
      </c>
      <c r="AF225" s="67">
        <f t="shared" si="108"/>
        <v>743.64602140530485</v>
      </c>
      <c r="AG225" s="67">
        <f t="shared" si="108"/>
        <v>716.60581015651405</v>
      </c>
      <c r="AH225" s="67">
        <f t="shared" si="108"/>
        <v>594.10861028847216</v>
      </c>
      <c r="AI225" s="67">
        <f t="shared" si="108"/>
        <v>635.74219628647222</v>
      </c>
      <c r="AJ225" s="67">
        <f t="shared" si="108"/>
        <v>701.39449697227258</v>
      </c>
      <c r="AK225" s="67">
        <f t="shared" si="108"/>
        <v>198.6005949219165</v>
      </c>
      <c r="AL225" s="67">
        <f t="shared" si="108"/>
        <v>692.32060112711338</v>
      </c>
      <c r="AM225" s="67">
        <f t="shared" si="108"/>
        <v>685.48860759493687</v>
      </c>
      <c r="AN225" s="67">
        <f t="shared" si="108"/>
        <v>668.34568000000002</v>
      </c>
      <c r="AO225" s="67">
        <f t="shared" si="108"/>
        <v>622.68111034550657</v>
      </c>
      <c r="AP225" s="67">
        <f t="shared" ref="AP225:AV225" si="109">AP192/AP200</f>
        <v>666.99166505136657</v>
      </c>
      <c r="AQ225" s="67">
        <f t="shared" si="109"/>
        <v>622.71767881241567</v>
      </c>
      <c r="AR225" s="67">
        <f t="shared" si="109"/>
        <v>657.86461126005361</v>
      </c>
      <c r="AS225" s="67">
        <f t="shared" si="109"/>
        <v>649.78204404291364</v>
      </c>
      <c r="AT225" s="67">
        <f t="shared" si="109"/>
        <v>698.95848292368601</v>
      </c>
      <c r="AU225" s="67">
        <f t="shared" si="109"/>
        <v>719.86695628563677</v>
      </c>
      <c r="AV225" s="67">
        <f t="shared" si="109"/>
        <v>750</v>
      </c>
      <c r="AW225" s="67">
        <f t="shared" ref="AW225:AX225" si="110">AW192/AW200</f>
        <v>733.87577747062892</v>
      </c>
      <c r="AX225" s="67">
        <f t="shared" si="110"/>
        <v>697.08262903093464</v>
      </c>
      <c r="AY225" s="67">
        <f t="shared" ref="AY225" si="111">AY192/AY200</f>
        <v>816.88513740886151</v>
      </c>
      <c r="AZ225" s="24" t="s">
        <v>163</v>
      </c>
      <c r="BA225" s="35"/>
      <c r="BB225" s="35"/>
      <c r="BC225" s="35"/>
      <c r="BD225" s="300"/>
      <c r="BE225" s="35"/>
      <c r="BF225" s="302"/>
      <c r="BG225" s="46"/>
      <c r="BH225" s="46"/>
      <c r="BI225" s="35"/>
      <c r="BJ225" s="35"/>
      <c r="BK225" s="35"/>
      <c r="BL225" s="35"/>
      <c r="BM225" s="35"/>
      <c r="BN225" s="35"/>
      <c r="BO225" s="35"/>
      <c r="BP225" s="35"/>
      <c r="BQ225" s="35"/>
      <c r="BR225" s="35"/>
      <c r="BS225" s="47"/>
      <c r="BT225" s="3"/>
      <c r="BU225" s="3"/>
      <c r="BV225" s="3"/>
      <c r="BW225" s="3"/>
      <c r="BX225" s="3"/>
      <c r="BY225" s="3"/>
      <c r="BZ225" s="3"/>
      <c r="CA225" s="3"/>
      <c r="CB225" s="3"/>
      <c r="CC225" s="3"/>
    </row>
    <row r="226" spans="1:93" x14ac:dyDescent="0.3">
      <c r="A226" s="48" t="str">
        <f>AZ226</f>
        <v>BES and Environmental and Biological R&amp;D</v>
      </c>
      <c r="B226" s="35"/>
      <c r="C226" s="35"/>
      <c r="D226" s="12"/>
      <c r="E226" s="67">
        <f>E222+E225</f>
        <v>1215.8411333970073</v>
      </c>
      <c r="F226" s="67">
        <f t="shared" ref="F226:AO226" si="112">F222+F225</f>
        <v>1198.1352046783627</v>
      </c>
      <c r="G226" s="67">
        <f t="shared" si="112"/>
        <v>1176.7134956337657</v>
      </c>
      <c r="H226" s="67">
        <f t="shared" si="112"/>
        <v>1055.9586765055942</v>
      </c>
      <c r="I226" s="67">
        <f t="shared" si="112"/>
        <v>1061.3427780239253</v>
      </c>
      <c r="J226" s="67">
        <f t="shared" si="112"/>
        <v>1043.2279746835445</v>
      </c>
      <c r="K226" s="67">
        <f t="shared" si="112"/>
        <v>1178.8724269889226</v>
      </c>
      <c r="L226" s="67">
        <f t="shared" si="112"/>
        <v>1312.9062803811007</v>
      </c>
      <c r="M226" s="67">
        <f t="shared" si="112"/>
        <v>1305.2062452399086</v>
      </c>
      <c r="N226" s="67">
        <f t="shared" si="112"/>
        <v>1502.6063281824872</v>
      </c>
      <c r="O226" s="67">
        <f t="shared" si="112"/>
        <v>1655.4804185881521</v>
      </c>
      <c r="P226" s="67">
        <f t="shared" si="112"/>
        <v>1543.5485919098824</v>
      </c>
      <c r="Q226" s="67">
        <f t="shared" si="112"/>
        <v>1635.7677171919295</v>
      </c>
      <c r="R226" s="67">
        <f t="shared" si="112"/>
        <v>1983.894915797915</v>
      </c>
      <c r="S226" s="67">
        <f t="shared" si="112"/>
        <v>1919.6650764525994</v>
      </c>
      <c r="T226" s="67">
        <f t="shared" si="112"/>
        <v>2008.9701567583554</v>
      </c>
      <c r="U226" s="67">
        <f t="shared" si="112"/>
        <v>1890.4441214939689</v>
      </c>
      <c r="V226" s="67">
        <f t="shared" si="112"/>
        <v>1802.3818823197407</v>
      </c>
      <c r="W226" s="67">
        <f t="shared" si="112"/>
        <v>1851.8978811798922</v>
      </c>
      <c r="X226" s="67">
        <f t="shared" si="112"/>
        <v>1588.0408672086724</v>
      </c>
      <c r="Y226" s="67">
        <f t="shared" si="112"/>
        <v>1593.782198246797</v>
      </c>
      <c r="Z226" s="67">
        <f t="shared" si="112"/>
        <v>1821.237142857143</v>
      </c>
      <c r="AA226" s="67">
        <f t="shared" si="112"/>
        <v>1731.8679009126472</v>
      </c>
      <c r="AB226" s="67">
        <f t="shared" si="112"/>
        <v>2072.2655896196416</v>
      </c>
      <c r="AC226" s="67">
        <f t="shared" si="112"/>
        <v>2132.0897300012557</v>
      </c>
      <c r="AD226" s="67">
        <f t="shared" si="112"/>
        <v>2074.1192529794816</v>
      </c>
      <c r="AE226" s="67">
        <f t="shared" si="112"/>
        <v>1889.9413697972896</v>
      </c>
      <c r="AF226" s="67">
        <f t="shared" si="112"/>
        <v>1863.9711959050724</v>
      </c>
      <c r="AG226" s="67">
        <f t="shared" si="112"/>
        <v>1902.9879518072291</v>
      </c>
      <c r="AH226" s="67">
        <f t="shared" si="112"/>
        <v>1950.8690358670619</v>
      </c>
      <c r="AI226" s="67">
        <f t="shared" si="112"/>
        <v>2135.61975596817</v>
      </c>
      <c r="AJ226" s="67">
        <f t="shared" si="112"/>
        <v>2542.3752682460431</v>
      </c>
      <c r="AK226" s="67">
        <f t="shared" si="112"/>
        <v>863.79872516732178</v>
      </c>
      <c r="AL226" s="67">
        <f t="shared" si="112"/>
        <v>2575.0087664370694</v>
      </c>
      <c r="AM226" s="67">
        <f t="shared" si="112"/>
        <v>2398.058432013067</v>
      </c>
      <c r="AN226" s="67">
        <f t="shared" si="112"/>
        <v>2353.1995600000005</v>
      </c>
      <c r="AO226" s="67">
        <f t="shared" si="112"/>
        <v>2345.4654985726947</v>
      </c>
      <c r="AP226" s="67">
        <f t="shared" ref="AP226:AW226" si="113">AP222+AP225</f>
        <v>2427.4122892033342</v>
      </c>
      <c r="AQ226" s="67">
        <f t="shared" si="113"/>
        <v>2452.9160401002509</v>
      </c>
      <c r="AR226" s="67">
        <f t="shared" si="113"/>
        <v>2655.2236690923019</v>
      </c>
      <c r="AS226" s="67">
        <f t="shared" si="113"/>
        <v>2636.8197816676079</v>
      </c>
      <c r="AT226" s="67">
        <f t="shared" si="113"/>
        <v>2869.5724937862469</v>
      </c>
      <c r="AU226" s="67">
        <f t="shared" si="113"/>
        <v>2931.5433070866143</v>
      </c>
      <c r="AV226" s="67">
        <f t="shared" si="113"/>
        <v>2963</v>
      </c>
      <c r="AW226" s="67">
        <f t="shared" si="113"/>
        <v>2921.8586731167934</v>
      </c>
      <c r="AX226" s="67">
        <f t="shared" ref="AX226:AY226" si="114">AX222+AX225</f>
        <v>2775.370148518914</v>
      </c>
      <c r="AY226" s="67">
        <f t="shared" si="114"/>
        <v>3004.4053681596024</v>
      </c>
      <c r="AZ226" s="35" t="s">
        <v>208</v>
      </c>
      <c r="BA226" s="35"/>
      <c r="BB226" s="35"/>
      <c r="BC226" s="35"/>
      <c r="BD226" s="300"/>
      <c r="BE226" s="35"/>
      <c r="BF226" s="302"/>
      <c r="BG226" s="46"/>
      <c r="BH226" s="46"/>
      <c r="BI226" s="35"/>
      <c r="BJ226" s="35"/>
      <c r="BK226" s="35"/>
      <c r="BL226" s="35"/>
      <c r="BM226" s="35"/>
      <c r="BN226" s="35"/>
      <c r="BO226" s="35"/>
      <c r="BP226" s="35"/>
      <c r="BQ226" s="35"/>
      <c r="BR226" s="35"/>
      <c r="BS226" s="47"/>
      <c r="BT226" s="3"/>
      <c r="BU226" s="3"/>
      <c r="BV226" s="3"/>
      <c r="BW226" s="3"/>
      <c r="BX226" s="3"/>
      <c r="BY226" s="3"/>
      <c r="BZ226" s="3"/>
      <c r="CA226" s="3"/>
      <c r="CB226" s="3"/>
      <c r="CC226" s="3"/>
    </row>
    <row r="227" spans="1:93" x14ac:dyDescent="0.3">
      <c r="A227" s="48" t="s">
        <v>164</v>
      </c>
      <c r="B227" s="35"/>
      <c r="C227" s="35"/>
      <c r="D227" s="12"/>
      <c r="E227" s="131" t="e">
        <f>E197/#REF!</f>
        <v>#REF!</v>
      </c>
      <c r="F227" s="131" t="e">
        <f>F197/#REF!</f>
        <v>#REF!</v>
      </c>
      <c r="G227" s="131" t="e">
        <f>G197/#REF!</f>
        <v>#REF!</v>
      </c>
      <c r="H227" s="131" t="e">
        <f>H197/#REF!</f>
        <v>#REF!</v>
      </c>
      <c r="I227" s="131" t="e">
        <f>I197/#REF!</f>
        <v>#REF!</v>
      </c>
      <c r="J227" s="131" t="e">
        <f>J197/#REF!</f>
        <v>#REF!</v>
      </c>
      <c r="K227" s="131" t="e">
        <f>K197/#REF!</f>
        <v>#REF!</v>
      </c>
      <c r="L227" s="131" t="e">
        <f>L197/#REF!</f>
        <v>#REF!</v>
      </c>
      <c r="M227" s="131" t="e">
        <f>M197/#REF!</f>
        <v>#REF!</v>
      </c>
      <c r="N227" s="131" t="e">
        <f>N197/#REF!</f>
        <v>#REF!</v>
      </c>
      <c r="O227" s="131" t="e">
        <f>O197/#REF!</f>
        <v>#REF!</v>
      </c>
      <c r="P227" s="131" t="e">
        <f>P197/#REF!</f>
        <v>#REF!</v>
      </c>
      <c r="Q227" s="131" t="e">
        <f>Q197/#REF!</f>
        <v>#REF!</v>
      </c>
      <c r="R227" s="131" t="e">
        <f>R197/#REF!</f>
        <v>#REF!</v>
      </c>
      <c r="S227" s="131" t="e">
        <f>S197/#REF!</f>
        <v>#REF!</v>
      </c>
      <c r="T227" s="131" t="e">
        <f>T197/#REF!</f>
        <v>#REF!</v>
      </c>
      <c r="U227" s="131" t="e">
        <f>U197/#REF!</f>
        <v>#REF!</v>
      </c>
      <c r="V227" s="131" t="e">
        <f>V197/#REF!</f>
        <v>#REF!</v>
      </c>
      <c r="W227" s="131" t="e">
        <f>W197/#REF!</f>
        <v>#REF!</v>
      </c>
      <c r="X227" s="131" t="e">
        <f>X197/#REF!</f>
        <v>#REF!</v>
      </c>
      <c r="Y227" s="131" t="e">
        <f>Y197/#REF!</f>
        <v>#REF!</v>
      </c>
      <c r="Z227" s="131" t="e">
        <f>Z197/#REF!</f>
        <v>#REF!</v>
      </c>
      <c r="AA227" s="131" t="e">
        <f>AA197/#REF!</f>
        <v>#REF!</v>
      </c>
      <c r="AB227" s="131" t="e">
        <f>AB197/#REF!</f>
        <v>#REF!</v>
      </c>
      <c r="AC227" s="131" t="e">
        <f>AC197/#REF!</f>
        <v>#REF!</v>
      </c>
      <c r="AD227" s="131" t="e">
        <f>AD197/#REF!</f>
        <v>#REF!</v>
      </c>
      <c r="AE227" s="131" t="e">
        <f>AE197/#REF!</f>
        <v>#REF!</v>
      </c>
      <c r="AF227" s="131" t="e">
        <f>AF197/#REF!</f>
        <v>#REF!</v>
      </c>
      <c r="AG227" s="131" t="e">
        <f>AG197/#REF!</f>
        <v>#REF!</v>
      </c>
      <c r="AH227" s="131" t="e">
        <f>AH197/#REF!</f>
        <v>#REF!</v>
      </c>
      <c r="AI227" s="131" t="e">
        <f>AI197/#REF!</f>
        <v>#REF!</v>
      </c>
      <c r="AJ227" s="131" t="e">
        <f>AJ197/#REF!</f>
        <v>#REF!</v>
      </c>
      <c r="AK227" s="131" t="e">
        <f>AK197/#REF!</f>
        <v>#REF!</v>
      </c>
      <c r="AL227" s="131" t="e">
        <f>AL197/#REF!</f>
        <v>#REF!</v>
      </c>
      <c r="AM227" s="131" t="e">
        <f>AM197/#REF!</f>
        <v>#REF!</v>
      </c>
      <c r="AN227" s="131" t="e">
        <f>AN197/#REF!</f>
        <v>#REF!</v>
      </c>
      <c r="AO227" s="131" t="e">
        <f>AO197/#REF!</f>
        <v>#REF!</v>
      </c>
      <c r="AP227" s="131">
        <f t="shared" ref="AP227:AV227" si="115">AP197/AP200</f>
        <v>6484.2911050917228</v>
      </c>
      <c r="AQ227" s="131">
        <f t="shared" si="115"/>
        <v>6260.3525413680218</v>
      </c>
      <c r="AR227" s="131">
        <f t="shared" si="115"/>
        <v>6938.2808421546715</v>
      </c>
      <c r="AS227" s="131">
        <f t="shared" si="115"/>
        <v>6742.9003865059822</v>
      </c>
      <c r="AT227" s="131">
        <f t="shared" si="115"/>
        <v>7452.1677282275996</v>
      </c>
      <c r="AU227" s="131">
        <f t="shared" si="115"/>
        <v>7659.8591475699504</v>
      </c>
      <c r="AV227" s="131">
        <f t="shared" si="115"/>
        <v>8290.1398604804799</v>
      </c>
      <c r="AW227" s="131">
        <f t="shared" ref="AW227:AX227" si="116">AW197/AW200</f>
        <v>8441.3915993786686</v>
      </c>
      <c r="AX227" s="131">
        <f t="shared" si="116"/>
        <v>8002.3656527370003</v>
      </c>
      <c r="AY227" s="131">
        <f t="shared" ref="AY227" si="117">AY197/AY200</f>
        <v>10339.702550851072</v>
      </c>
      <c r="AZ227" s="35" t="s">
        <v>164</v>
      </c>
      <c r="BA227" s="35"/>
      <c r="BB227" s="35"/>
      <c r="BC227" s="35"/>
      <c r="BD227" s="300"/>
      <c r="BE227" s="35"/>
      <c r="BF227" s="302"/>
      <c r="BG227" s="46"/>
      <c r="BH227" s="46"/>
      <c r="BI227" s="35"/>
      <c r="BJ227" s="35"/>
      <c r="BK227" s="35"/>
      <c r="BL227" s="35"/>
      <c r="BM227" s="35"/>
      <c r="BN227" s="35"/>
      <c r="BO227" s="35"/>
      <c r="BP227" s="35"/>
      <c r="BQ227" s="35"/>
      <c r="BR227" s="35"/>
      <c r="BS227" s="47"/>
      <c r="BT227" s="3"/>
      <c r="BU227" s="3"/>
      <c r="BV227" s="3"/>
      <c r="BW227" s="3"/>
      <c r="BX227" s="3"/>
      <c r="BY227" s="3"/>
      <c r="BZ227" s="3"/>
      <c r="CA227" s="3"/>
      <c r="CB227" s="3"/>
      <c r="CC227" s="3"/>
    </row>
    <row r="228" spans="1:93" ht="12.75" x14ac:dyDescent="0.35">
      <c r="A228" s="48"/>
      <c r="B228" s="35"/>
      <c r="C228" s="35"/>
      <c r="D228" s="12"/>
      <c r="E228" s="67"/>
      <c r="F228" s="67"/>
      <c r="G228" s="67"/>
      <c r="H228" s="67"/>
      <c r="I228" s="67"/>
      <c r="J228" s="67"/>
      <c r="K228" s="67"/>
      <c r="L228" s="67"/>
      <c r="M228" s="67"/>
      <c r="N228" s="67"/>
      <c r="O228" s="67"/>
      <c r="P228" s="67"/>
      <c r="Q228" s="67"/>
      <c r="R228" s="67"/>
      <c r="S228" s="67"/>
      <c r="T228" s="67"/>
      <c r="U228" s="68"/>
      <c r="V228" s="68"/>
      <c r="W228" s="67"/>
      <c r="X228" s="68"/>
      <c r="Y228" s="67"/>
      <c r="Z228" s="67"/>
      <c r="AA228" s="69"/>
      <c r="AB228" s="67"/>
      <c r="AC228" s="67"/>
      <c r="AD228" s="68"/>
      <c r="AE228" s="67"/>
      <c r="AF228" s="67"/>
      <c r="AG228" s="67"/>
      <c r="AH228" s="67"/>
      <c r="AI228" s="170"/>
      <c r="AJ228" s="170"/>
      <c r="AK228" s="170"/>
      <c r="AL228" s="170"/>
      <c r="AM228" s="170"/>
      <c r="AN228" s="170"/>
      <c r="AO228" s="170"/>
      <c r="AP228" s="170"/>
      <c r="AQ228" s="170"/>
      <c r="AR228" s="170"/>
      <c r="AS228" s="170"/>
      <c r="AT228" s="170"/>
      <c r="AU228" s="170"/>
      <c r="AV228" s="170"/>
      <c r="AW228" s="170"/>
      <c r="AX228" s="170"/>
      <c r="AY228" s="170"/>
      <c r="AZ228" s="35"/>
      <c r="BA228" s="35"/>
      <c r="BB228" s="35"/>
      <c r="BC228" s="35"/>
      <c r="BD228" s="300"/>
      <c r="BE228" s="35"/>
      <c r="BF228"/>
      <c r="BK228" s="35"/>
      <c r="BL228" s="35"/>
      <c r="BM228" s="35"/>
      <c r="BN228" s="35"/>
      <c r="BO228" s="35"/>
      <c r="BP228" s="35"/>
      <c r="BQ228" s="35"/>
      <c r="BR228" s="35"/>
      <c r="BS228" s="47"/>
      <c r="BT228" s="3"/>
      <c r="BU228" s="3"/>
      <c r="BV228" s="3"/>
      <c r="BW228" s="3"/>
      <c r="BX228" s="3"/>
      <c r="BY228" s="3"/>
      <c r="BZ228" s="3"/>
      <c r="CA228" s="3"/>
      <c r="CB228" s="3"/>
      <c r="CC228" s="3"/>
    </row>
    <row r="229" spans="1:93" ht="12.75" x14ac:dyDescent="0.35">
      <c r="A229" s="51" t="s">
        <v>399</v>
      </c>
      <c r="B229" s="35"/>
      <c r="C229" s="35"/>
      <c r="D229" s="12"/>
      <c r="E229" s="67"/>
      <c r="F229" s="67"/>
      <c r="G229" s="67"/>
      <c r="H229" s="67"/>
      <c r="I229" s="67"/>
      <c r="J229" s="290"/>
      <c r="K229" s="67"/>
      <c r="L229" s="67"/>
      <c r="M229" s="67"/>
      <c r="N229" s="67"/>
      <c r="O229" s="67"/>
      <c r="P229" s="67"/>
      <c r="Q229" s="67"/>
      <c r="R229" s="67"/>
      <c r="S229" s="67"/>
      <c r="T229" s="67"/>
      <c r="U229" s="68"/>
      <c r="V229" s="68"/>
      <c r="W229" s="67"/>
      <c r="X229" s="68"/>
      <c r="Y229" s="67"/>
      <c r="Z229" s="67"/>
      <c r="AA229" s="69"/>
      <c r="AB229" s="67"/>
      <c r="AC229" s="67"/>
      <c r="AD229" s="68"/>
      <c r="AE229" s="67"/>
      <c r="AF229" s="67"/>
      <c r="AG229" s="67"/>
      <c r="AH229" s="67"/>
      <c r="AI229" s="35"/>
      <c r="AJ229" s="35"/>
      <c r="AK229" s="35"/>
      <c r="AL229" s="35"/>
      <c r="AM229" s="35"/>
      <c r="AN229" s="35"/>
      <c r="AO229" s="35"/>
      <c r="AP229" s="35"/>
      <c r="AQ229" s="35"/>
      <c r="AR229" s="35"/>
      <c r="AS229" s="35"/>
      <c r="AT229" s="35"/>
      <c r="AU229" s="35"/>
      <c r="AV229" s="35"/>
      <c r="AW229" s="35"/>
      <c r="AX229" s="35"/>
      <c r="AY229" s="35"/>
      <c r="AZ229" s="44" t="s">
        <v>455</v>
      </c>
      <c r="BA229" s="35"/>
      <c r="BB229" s="35"/>
      <c r="BC229" s="35"/>
      <c r="BD229" s="300"/>
      <c r="BE229" s="35"/>
      <c r="BF229"/>
      <c r="BH229" s="145"/>
      <c r="BI229" s="146"/>
      <c r="BJ229" s="146"/>
      <c r="BK229" s="44"/>
      <c r="BL229" s="44"/>
      <c r="BM229" s="44"/>
      <c r="BN229" s="44"/>
      <c r="BO229" s="44"/>
      <c r="BP229" s="44"/>
      <c r="BQ229" s="35"/>
      <c r="BR229" s="35"/>
      <c r="BS229" s="47"/>
      <c r="BT229" s="3"/>
      <c r="BU229" s="3"/>
      <c r="BV229" s="3"/>
      <c r="BW229" s="3"/>
      <c r="BX229" s="3"/>
      <c r="BY229" s="3"/>
      <c r="BZ229" s="3"/>
      <c r="CA229" s="3"/>
      <c r="CB229" s="3"/>
      <c r="CC229" s="3"/>
    </row>
    <row r="230" spans="1:93" x14ac:dyDescent="0.3">
      <c r="A230" s="48"/>
      <c r="B230" s="35" t="s">
        <v>291</v>
      </c>
      <c r="C230" s="35"/>
      <c r="D230" s="12"/>
      <c r="E230" s="67">
        <f t="shared" ref="E230:AX230" si="118">E15/E200</f>
        <v>2240.9550461636422</v>
      </c>
      <c r="F230" s="67">
        <f t="shared" si="118"/>
        <v>2186.4647953216372</v>
      </c>
      <c r="G230" s="67">
        <f t="shared" si="118"/>
        <v>2176.0915056893359</v>
      </c>
      <c r="H230" s="67">
        <f t="shared" si="118"/>
        <v>1873.7089740537972</v>
      </c>
      <c r="I230" s="67">
        <f t="shared" si="118"/>
        <v>1168.4392999556933</v>
      </c>
      <c r="J230" s="67">
        <f t="shared" si="118"/>
        <v>486.98253164556968</v>
      </c>
      <c r="K230" s="67">
        <f t="shared" si="118"/>
        <v>447.64431017119841</v>
      </c>
      <c r="L230" s="67">
        <f t="shared" si="118"/>
        <v>461.1076025665954</v>
      </c>
      <c r="M230" s="67">
        <f t="shared" si="118"/>
        <v>455.40441736481341</v>
      </c>
      <c r="N230" s="67">
        <f t="shared" si="118"/>
        <v>363.19904341427525</v>
      </c>
      <c r="O230" s="67">
        <f t="shared" si="118"/>
        <v>402.4140120610146</v>
      </c>
      <c r="P230" s="67">
        <f t="shared" si="118"/>
        <v>415.54115036695691</v>
      </c>
      <c r="Q230" s="67">
        <f t="shared" si="118"/>
        <v>447.93133233283316</v>
      </c>
      <c r="R230" s="67">
        <f t="shared" si="118"/>
        <v>446.39445068163593</v>
      </c>
      <c r="S230" s="67">
        <f t="shared" si="118"/>
        <v>389.17724770642201</v>
      </c>
      <c r="T230" s="67">
        <f t="shared" si="118"/>
        <v>310.83061224489796</v>
      </c>
      <c r="U230" s="67">
        <f t="shared" si="118"/>
        <v>272.00752797558494</v>
      </c>
      <c r="V230" s="67">
        <f t="shared" si="118"/>
        <v>230.03372371948643</v>
      </c>
      <c r="W230" s="67">
        <f t="shared" si="118"/>
        <v>186.86154272261462</v>
      </c>
      <c r="X230" s="67">
        <f t="shared" si="118"/>
        <v>154.24848238482386</v>
      </c>
      <c r="Y230" s="67">
        <f t="shared" si="118"/>
        <v>160.2150505731625</v>
      </c>
      <c r="Z230" s="67">
        <f t="shared" si="118"/>
        <v>181.6266435246996</v>
      </c>
      <c r="AA230" s="67">
        <f t="shared" si="118"/>
        <v>178.27619295958283</v>
      </c>
      <c r="AB230" s="67">
        <f t="shared" si="118"/>
        <v>385.06050120849767</v>
      </c>
      <c r="AC230" s="67">
        <f t="shared" si="118"/>
        <v>471.79530327765917</v>
      </c>
      <c r="AD230" s="67">
        <f t="shared" si="118"/>
        <v>469.35559651062789</v>
      </c>
      <c r="AE230" s="67">
        <f t="shared" si="118"/>
        <v>433.03826316420776</v>
      </c>
      <c r="AF230" s="67">
        <f t="shared" si="118"/>
        <v>367.22936249418336</v>
      </c>
      <c r="AG230" s="67">
        <f t="shared" si="118"/>
        <v>361.52324850805098</v>
      </c>
      <c r="AH230" s="67">
        <f t="shared" si="118"/>
        <v>327.43415597235935</v>
      </c>
      <c r="AI230" s="67">
        <f t="shared" si="118"/>
        <v>349.53251989389923</v>
      </c>
      <c r="AJ230" s="67">
        <f t="shared" si="118"/>
        <v>641.82630404759379</v>
      </c>
      <c r="AK230" s="67">
        <f t="shared" si="118"/>
        <v>982.81525549771607</v>
      </c>
      <c r="AL230" s="67">
        <f t="shared" si="118"/>
        <v>286.70079315383009</v>
      </c>
      <c r="AM230" s="67">
        <f t="shared" si="118"/>
        <v>289.50376725193956</v>
      </c>
      <c r="AN230" s="67">
        <f t="shared" si="118"/>
        <v>203.18882000000002</v>
      </c>
      <c r="AO230" s="67">
        <f t="shared" si="118"/>
        <v>190.235909046166</v>
      </c>
      <c r="AP230" s="67">
        <f t="shared" si="118"/>
        <v>209.28230277185503</v>
      </c>
      <c r="AQ230" s="67">
        <f t="shared" si="118"/>
        <v>214.67773279352227</v>
      </c>
      <c r="AR230" s="67">
        <f t="shared" si="118"/>
        <v>224.68939103791652</v>
      </c>
      <c r="AS230" s="67">
        <f t="shared" si="118"/>
        <v>216.06314699792964</v>
      </c>
      <c r="AT230" s="67">
        <f t="shared" si="118"/>
        <v>232.01682776396947</v>
      </c>
      <c r="AU230" s="67">
        <f t="shared" si="118"/>
        <v>293.86909222554084</v>
      </c>
      <c r="AV230" s="67">
        <f t="shared" si="118"/>
        <v>273</v>
      </c>
      <c r="AW230" s="67">
        <f t="shared" si="118"/>
        <v>220.06527297857639</v>
      </c>
      <c r="AX230" s="67">
        <f t="shared" si="118"/>
        <v>209.03221465496023</v>
      </c>
      <c r="AY230" s="67">
        <f t="shared" ref="AY230" si="119">AY15/AY200</f>
        <v>177.17106001121704</v>
      </c>
      <c r="AZ230" s="35" t="s">
        <v>291</v>
      </c>
      <c r="BA230" s="35"/>
      <c r="BB230" s="35"/>
      <c r="BC230" s="35"/>
      <c r="BD230" s="300"/>
      <c r="BF230" s="302"/>
      <c r="BG230" s="36"/>
      <c r="BH230" s="36"/>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row>
    <row r="231" spans="1:93" ht="12.75" x14ac:dyDescent="0.35">
      <c r="A231" s="48"/>
      <c r="B231" s="35" t="s">
        <v>290</v>
      </c>
      <c r="C231" s="35"/>
      <c r="D231" s="12"/>
      <c r="E231" s="67">
        <f t="shared" ref="E231:AX231" si="120">E16/E200</f>
        <v>0</v>
      </c>
      <c r="F231" s="67">
        <f t="shared" si="120"/>
        <v>0</v>
      </c>
      <c r="G231" s="67">
        <f t="shared" si="120"/>
        <v>0</v>
      </c>
      <c r="H231" s="67">
        <f t="shared" si="120"/>
        <v>0</v>
      </c>
      <c r="I231" s="67">
        <f t="shared" si="120"/>
        <v>0</v>
      </c>
      <c r="J231" s="67">
        <f t="shared" si="120"/>
        <v>0</v>
      </c>
      <c r="K231" s="67">
        <f t="shared" si="120"/>
        <v>0</v>
      </c>
      <c r="L231" s="67">
        <f t="shared" si="120"/>
        <v>0</v>
      </c>
      <c r="M231" s="67">
        <f t="shared" si="120"/>
        <v>0</v>
      </c>
      <c r="N231" s="67">
        <f t="shared" si="120"/>
        <v>0</v>
      </c>
      <c r="O231" s="67">
        <f t="shared" si="120"/>
        <v>0</v>
      </c>
      <c r="P231" s="67">
        <f t="shared" si="120"/>
        <v>0</v>
      </c>
      <c r="Q231" s="67">
        <f t="shared" si="120"/>
        <v>0</v>
      </c>
      <c r="R231" s="67">
        <f t="shared" si="120"/>
        <v>0</v>
      </c>
      <c r="S231" s="67">
        <f t="shared" si="120"/>
        <v>0</v>
      </c>
      <c r="T231" s="67">
        <f t="shared" si="120"/>
        <v>0</v>
      </c>
      <c r="U231" s="67">
        <f t="shared" si="120"/>
        <v>0</v>
      </c>
      <c r="V231" s="67">
        <f t="shared" si="120"/>
        <v>0</v>
      </c>
      <c r="W231" s="67">
        <f t="shared" si="120"/>
        <v>0</v>
      </c>
      <c r="X231" s="67">
        <f t="shared" si="120"/>
        <v>0</v>
      </c>
      <c r="Y231" s="67">
        <f t="shared" si="120"/>
        <v>0</v>
      </c>
      <c r="Z231" s="67">
        <f t="shared" si="120"/>
        <v>0</v>
      </c>
      <c r="AA231" s="67">
        <f t="shared" si="120"/>
        <v>0</v>
      </c>
      <c r="AB231" s="67">
        <f t="shared" si="120"/>
        <v>0</v>
      </c>
      <c r="AC231" s="67">
        <f t="shared" si="120"/>
        <v>0</v>
      </c>
      <c r="AD231" s="67">
        <f t="shared" si="120"/>
        <v>0</v>
      </c>
      <c r="AE231" s="67">
        <f t="shared" si="120"/>
        <v>11.637903322538083</v>
      </c>
      <c r="AF231" s="67">
        <f t="shared" si="120"/>
        <v>22.70574685900419</v>
      </c>
      <c r="AG231" s="67">
        <f t="shared" si="120"/>
        <v>21.977097173741697</v>
      </c>
      <c r="AH231" s="67">
        <f t="shared" si="120"/>
        <v>64.967094438960189</v>
      </c>
      <c r="AI231" s="67">
        <f t="shared" si="120"/>
        <v>86.545209549071629</v>
      </c>
      <c r="AJ231" s="67">
        <f t="shared" si="120"/>
        <v>0</v>
      </c>
      <c r="AK231" s="67">
        <f t="shared" si="120"/>
        <v>1198.5551896313609</v>
      </c>
      <c r="AL231" s="67">
        <f t="shared" si="120"/>
        <v>0</v>
      </c>
      <c r="AM231" s="67">
        <f t="shared" si="120"/>
        <v>0</v>
      </c>
      <c r="AN231" s="67">
        <f t="shared" si="120"/>
        <v>0</v>
      </c>
      <c r="AO231" s="67">
        <f t="shared" si="120"/>
        <v>0</v>
      </c>
      <c r="AP231" s="67">
        <f t="shared" si="120"/>
        <v>0</v>
      </c>
      <c r="AQ231" s="67">
        <f t="shared" si="120"/>
        <v>0</v>
      </c>
      <c r="AR231" s="67">
        <f t="shared" si="120"/>
        <v>0</v>
      </c>
      <c r="AS231" s="67">
        <f t="shared" si="120"/>
        <v>0</v>
      </c>
      <c r="AT231" s="67">
        <f t="shared" si="120"/>
        <v>0</v>
      </c>
      <c r="AU231" s="67">
        <f t="shared" si="120"/>
        <v>0</v>
      </c>
      <c r="AV231" s="67">
        <f t="shared" si="120"/>
        <v>0</v>
      </c>
      <c r="AW231" s="67">
        <f t="shared" si="120"/>
        <v>0</v>
      </c>
      <c r="AX231" s="67">
        <f t="shared" si="120"/>
        <v>0</v>
      </c>
      <c r="AY231" s="67">
        <f t="shared" ref="AY231" si="121">AY16/AY200</f>
        <v>0</v>
      </c>
      <c r="AZ231" s="35" t="s">
        <v>290</v>
      </c>
      <c r="BA231" s="35"/>
      <c r="BB231" s="35"/>
      <c r="BC231" s="35"/>
      <c r="BD231" s="300"/>
      <c r="BF231"/>
      <c r="BG231" s="36"/>
      <c r="BH231" s="36"/>
      <c r="BK231" s="35"/>
      <c r="BL231" s="35"/>
      <c r="BM231" s="35"/>
      <c r="BN231" s="35"/>
      <c r="BO231" s="35"/>
      <c r="BP231" s="35"/>
      <c r="BQ231" s="35"/>
      <c r="BR231" s="35"/>
      <c r="BS231" s="47"/>
      <c r="BT231" s="3"/>
      <c r="BU231" s="3"/>
      <c r="BV231" s="3"/>
      <c r="BW231" s="3"/>
      <c r="BX231" s="3"/>
      <c r="BY231" s="3"/>
      <c r="BZ231" s="3"/>
      <c r="CA231" s="3"/>
      <c r="CB231" s="3"/>
      <c r="CC231" s="3"/>
    </row>
    <row r="232" spans="1:93" ht="12.75" x14ac:dyDescent="0.35">
      <c r="A232" s="48"/>
      <c r="B232" s="35" t="s">
        <v>271</v>
      </c>
      <c r="C232" s="35"/>
      <c r="D232" s="12"/>
      <c r="E232" s="67">
        <f t="shared" ref="E232:AX232" si="122">E17/E200</f>
        <v>0</v>
      </c>
      <c r="F232" s="67">
        <f t="shared" si="122"/>
        <v>0</v>
      </c>
      <c r="G232" s="67">
        <f t="shared" si="122"/>
        <v>0</v>
      </c>
      <c r="H232" s="67">
        <f t="shared" si="122"/>
        <v>0</v>
      </c>
      <c r="I232" s="67">
        <f t="shared" si="122"/>
        <v>0</v>
      </c>
      <c r="J232" s="67">
        <f t="shared" si="122"/>
        <v>0</v>
      </c>
      <c r="K232" s="67">
        <f t="shared" si="122"/>
        <v>0</v>
      </c>
      <c r="L232" s="67">
        <f t="shared" si="122"/>
        <v>0</v>
      </c>
      <c r="M232" s="67">
        <f t="shared" si="122"/>
        <v>0</v>
      </c>
      <c r="N232" s="67">
        <f t="shared" si="122"/>
        <v>0</v>
      </c>
      <c r="O232" s="67">
        <f t="shared" si="122"/>
        <v>0</v>
      </c>
      <c r="P232" s="67">
        <f t="shared" si="122"/>
        <v>0</v>
      </c>
      <c r="Q232" s="67">
        <f t="shared" si="122"/>
        <v>0</v>
      </c>
      <c r="R232" s="67">
        <f t="shared" si="122"/>
        <v>0</v>
      </c>
      <c r="S232" s="67">
        <f t="shared" si="122"/>
        <v>0</v>
      </c>
      <c r="T232" s="67">
        <f t="shared" si="122"/>
        <v>0</v>
      </c>
      <c r="U232" s="67">
        <f t="shared" si="122"/>
        <v>0</v>
      </c>
      <c r="V232" s="67">
        <f t="shared" si="122"/>
        <v>0</v>
      </c>
      <c r="W232" s="67">
        <f t="shared" si="122"/>
        <v>0</v>
      </c>
      <c r="X232" s="67">
        <f t="shared" si="122"/>
        <v>0</v>
      </c>
      <c r="Y232" s="67">
        <f t="shared" si="122"/>
        <v>0</v>
      </c>
      <c r="Z232" s="67">
        <f t="shared" si="122"/>
        <v>0</v>
      </c>
      <c r="AA232" s="67">
        <f t="shared" si="122"/>
        <v>0</v>
      </c>
      <c r="AB232" s="67">
        <f t="shared" si="122"/>
        <v>0</v>
      </c>
      <c r="AC232" s="67">
        <f t="shared" si="122"/>
        <v>0</v>
      </c>
      <c r="AD232" s="67">
        <f t="shared" si="122"/>
        <v>0</v>
      </c>
      <c r="AE232" s="67">
        <f t="shared" si="122"/>
        <v>53.317836152093079</v>
      </c>
      <c r="AF232" s="67">
        <f t="shared" si="122"/>
        <v>59.586179618427174</v>
      </c>
      <c r="AG232" s="67">
        <f t="shared" si="122"/>
        <v>82.191802724918375</v>
      </c>
      <c r="AH232" s="67">
        <f t="shared" si="122"/>
        <v>120.40568169353956</v>
      </c>
      <c r="AI232" s="67">
        <f t="shared" si="122"/>
        <v>138.3765729442971</v>
      </c>
      <c r="AJ232" s="67">
        <f t="shared" si="122"/>
        <v>174.74934664825244</v>
      </c>
      <c r="AK232" s="67">
        <f t="shared" si="122"/>
        <v>1880.0536704557528</v>
      </c>
      <c r="AL232" s="67">
        <f t="shared" si="122"/>
        <v>176.61239824671259</v>
      </c>
      <c r="AM232" s="67">
        <f t="shared" si="122"/>
        <v>159.29778603511639</v>
      </c>
      <c r="AN232" s="67">
        <f t="shared" si="122"/>
        <v>202.17344</v>
      </c>
      <c r="AO232" s="67">
        <f t="shared" si="122"/>
        <v>200.341844669751</v>
      </c>
      <c r="AP232" s="67">
        <f t="shared" si="122"/>
        <v>219.56053498740067</v>
      </c>
      <c r="AQ232" s="67">
        <f t="shared" si="122"/>
        <v>208.8050896471949</v>
      </c>
      <c r="AR232" s="67">
        <f t="shared" si="122"/>
        <v>239.81271543469936</v>
      </c>
      <c r="AS232" s="67">
        <f t="shared" si="122"/>
        <v>233.90030114812726</v>
      </c>
      <c r="AT232" s="67">
        <f t="shared" si="122"/>
        <v>206.46797385620917</v>
      </c>
      <c r="AU232" s="67">
        <f t="shared" si="122"/>
        <v>202.99227079373702</v>
      </c>
      <c r="AV232" s="67">
        <f t="shared" si="122"/>
        <v>217.8</v>
      </c>
      <c r="AW232" s="67">
        <f t="shared" si="122"/>
        <v>106.52406703524534</v>
      </c>
      <c r="AX232" s="67">
        <f t="shared" si="122"/>
        <v>101.18344137195373</v>
      </c>
      <c r="AY232" s="67">
        <f t="shared" ref="AY232" si="123">AY17/AY200</f>
        <v>192.44754426728628</v>
      </c>
      <c r="AZ232" s="35" t="s">
        <v>272</v>
      </c>
      <c r="BA232" s="35"/>
      <c r="BB232" s="35"/>
      <c r="BC232" s="35"/>
      <c r="BD232" s="300"/>
      <c r="BF232"/>
      <c r="BG232" s="36"/>
      <c r="BH232" s="36"/>
      <c r="BK232" s="35"/>
      <c r="BL232" s="35"/>
      <c r="BM232" s="35"/>
      <c r="BN232" s="35"/>
      <c r="BO232" s="35"/>
      <c r="BP232" s="35"/>
      <c r="BQ232" s="35"/>
      <c r="BR232" s="35"/>
      <c r="BS232" s="47"/>
      <c r="BT232" s="3"/>
      <c r="BU232" s="3"/>
      <c r="BV232" s="3"/>
      <c r="BW232" s="3"/>
      <c r="BX232" s="3"/>
      <c r="BY232" s="3"/>
      <c r="BZ232" s="3"/>
      <c r="CA232" s="3"/>
      <c r="CB232" s="3"/>
      <c r="CC232" s="3"/>
    </row>
    <row r="233" spans="1:93" x14ac:dyDescent="0.3">
      <c r="A233" s="48"/>
      <c r="B233" s="35" t="s">
        <v>110</v>
      </c>
      <c r="C233" s="35"/>
      <c r="D233" s="12"/>
      <c r="E233" s="67">
        <f t="shared" ref="E233:AX233" si="124">E18/E200</f>
        <v>282.6785737026425</v>
      </c>
      <c r="F233" s="67">
        <f t="shared" si="124"/>
        <v>332.8519883040936</v>
      </c>
      <c r="G233" s="67">
        <f t="shared" si="124"/>
        <v>184.20201111405134</v>
      </c>
      <c r="H233" s="67">
        <f t="shared" si="124"/>
        <v>155.22485122589862</v>
      </c>
      <c r="I233" s="67">
        <f t="shared" si="124"/>
        <v>98.473814798404959</v>
      </c>
      <c r="J233" s="67">
        <f t="shared" si="124"/>
        <v>56.410000000000011</v>
      </c>
      <c r="K233" s="67">
        <f t="shared" si="124"/>
        <v>68.623645518630411</v>
      </c>
      <c r="L233" s="67">
        <f t="shared" si="124"/>
        <v>69.539062803811007</v>
      </c>
      <c r="M233" s="67">
        <f t="shared" si="124"/>
        <v>62.510700685453166</v>
      </c>
      <c r="N233" s="67">
        <f t="shared" si="124"/>
        <v>53.753458425312736</v>
      </c>
      <c r="O233" s="67">
        <f t="shared" si="124"/>
        <v>59.031394111387023</v>
      </c>
      <c r="P233" s="67">
        <f t="shared" si="124"/>
        <v>73.749889059566485</v>
      </c>
      <c r="Q233" s="67">
        <f t="shared" si="124"/>
        <v>73.369684842421222</v>
      </c>
      <c r="R233" s="67">
        <f t="shared" si="124"/>
        <v>107.12019246190859</v>
      </c>
      <c r="S233" s="67">
        <f t="shared" si="124"/>
        <v>97.466819571865443</v>
      </c>
      <c r="T233" s="67">
        <f t="shared" si="124"/>
        <v>102.77598343685301</v>
      </c>
      <c r="U233" s="67">
        <f t="shared" si="124"/>
        <v>121.82133410841446</v>
      </c>
      <c r="V233" s="67">
        <f t="shared" si="124"/>
        <v>119.71305206716525</v>
      </c>
      <c r="W233" s="67">
        <f t="shared" si="124"/>
        <v>85.77507270461156</v>
      </c>
      <c r="X233" s="67">
        <f t="shared" si="124"/>
        <v>69.098428184281843</v>
      </c>
      <c r="Y233" s="67">
        <f t="shared" si="124"/>
        <v>72.57604855023601</v>
      </c>
      <c r="Z233" s="67">
        <f t="shared" si="124"/>
        <v>71.24680907877169</v>
      </c>
      <c r="AA233" s="67">
        <f t="shared" si="124"/>
        <v>81.930560625814877</v>
      </c>
      <c r="AB233" s="67">
        <f t="shared" si="124"/>
        <v>93.430632235084602</v>
      </c>
      <c r="AC233" s="67">
        <f t="shared" si="124"/>
        <v>79.624312445058393</v>
      </c>
      <c r="AD233" s="67">
        <f t="shared" si="124"/>
        <v>56.805057132325835</v>
      </c>
      <c r="AE233" s="67">
        <f t="shared" si="124"/>
        <v>46.010315461197074</v>
      </c>
      <c r="AF233" s="67">
        <f t="shared" si="124"/>
        <v>43.311540251279666</v>
      </c>
      <c r="AG233" s="67">
        <f t="shared" si="124"/>
        <v>40.270172277896634</v>
      </c>
      <c r="AH233" s="67">
        <f t="shared" si="124"/>
        <v>3.2174180103104097</v>
      </c>
      <c r="AI233" s="67">
        <f t="shared" si="124"/>
        <v>5.8654429708222819</v>
      </c>
      <c r="AJ233" s="67">
        <f t="shared" si="124"/>
        <v>5.8729204291936696</v>
      </c>
      <c r="AK233" s="67">
        <f t="shared" si="124"/>
        <v>0</v>
      </c>
      <c r="AL233" s="67">
        <f t="shared" si="124"/>
        <v>0</v>
      </c>
      <c r="AM233" s="67">
        <f t="shared" si="124"/>
        <v>0</v>
      </c>
      <c r="AN233" s="67">
        <f t="shared" si="124"/>
        <v>0</v>
      </c>
      <c r="AO233" s="67">
        <f t="shared" si="124"/>
        <v>5.1084949306034062</v>
      </c>
      <c r="AP233" s="67">
        <f t="shared" si="124"/>
        <v>16.401434386509013</v>
      </c>
      <c r="AQ233" s="67">
        <f t="shared" si="124"/>
        <v>4.7851166377482173</v>
      </c>
      <c r="AR233" s="67">
        <f t="shared" si="124"/>
        <v>21.928820375335121</v>
      </c>
      <c r="AS233" s="67">
        <f t="shared" si="124"/>
        <v>22.296442687747039</v>
      </c>
      <c r="AT233" s="67">
        <f t="shared" si="124"/>
        <v>41.542851882537057</v>
      </c>
      <c r="AU233" s="67">
        <f t="shared" si="124"/>
        <v>46.970042537786227</v>
      </c>
      <c r="AV233" s="67">
        <f t="shared" si="124"/>
        <v>46</v>
      </c>
      <c r="AW233" s="67">
        <f t="shared" si="124"/>
        <v>44.831720801658605</v>
      </c>
      <c r="AX233" s="67">
        <f t="shared" si="124"/>
        <v>42.584064987281536</v>
      </c>
      <c r="AY233" s="67">
        <f t="shared" ref="AY233" si="125">AY18/AY200</f>
        <v>0</v>
      </c>
      <c r="AZ233" s="35" t="s">
        <v>110</v>
      </c>
      <c r="BA233" s="35"/>
      <c r="BB233" s="35"/>
      <c r="BC233" s="35"/>
      <c r="BD233" s="300"/>
      <c r="BF233" s="302"/>
      <c r="BG233" s="36"/>
      <c r="BH233" s="36"/>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row>
    <row r="234" spans="1:93" x14ac:dyDescent="0.3">
      <c r="A234" s="48"/>
      <c r="B234" s="35" t="s">
        <v>111</v>
      </c>
      <c r="C234" s="35"/>
      <c r="D234" s="12"/>
      <c r="E234" s="67">
        <f t="shared" ref="E234:AX234" si="126">E19/E200</f>
        <v>98.416682585163954</v>
      </c>
      <c r="F234" s="67">
        <f t="shared" si="126"/>
        <v>111.5004678362573</v>
      </c>
      <c r="G234" s="67">
        <f t="shared" si="126"/>
        <v>91.653188674252448</v>
      </c>
      <c r="H234" s="67">
        <f t="shared" si="126"/>
        <v>83.252082837419678</v>
      </c>
      <c r="I234" s="67">
        <f t="shared" si="126"/>
        <v>29.242224191404517</v>
      </c>
      <c r="J234" s="67">
        <f t="shared" si="126"/>
        <v>32.60831223628692</v>
      </c>
      <c r="K234" s="67">
        <f t="shared" si="126"/>
        <v>34.993514602215512</v>
      </c>
      <c r="L234" s="67">
        <f t="shared" si="126"/>
        <v>22.155979000583319</v>
      </c>
      <c r="M234" s="67">
        <f t="shared" si="126"/>
        <v>18.259139375476011</v>
      </c>
      <c r="N234" s="67">
        <f t="shared" si="126"/>
        <v>16.603384841795439</v>
      </c>
      <c r="O234" s="67">
        <f t="shared" si="126"/>
        <v>21.01117417523945</v>
      </c>
      <c r="P234" s="67">
        <f t="shared" si="126"/>
        <v>21.951664106502822</v>
      </c>
      <c r="Q234" s="67">
        <f t="shared" si="126"/>
        <v>27.0903451725863</v>
      </c>
      <c r="R234" s="67">
        <f t="shared" si="126"/>
        <v>28.770457097032882</v>
      </c>
      <c r="S234" s="67">
        <f t="shared" si="126"/>
        <v>21.390948012232418</v>
      </c>
      <c r="T234" s="67">
        <f t="shared" si="126"/>
        <v>48.384797397219756</v>
      </c>
      <c r="U234" s="67">
        <f t="shared" si="126"/>
        <v>71.649963668071507</v>
      </c>
      <c r="V234" s="67">
        <f t="shared" si="126"/>
        <v>99.495555241992392</v>
      </c>
      <c r="W234" s="67">
        <f t="shared" si="126"/>
        <v>91.555906384157339</v>
      </c>
      <c r="X234" s="67">
        <f t="shared" si="126"/>
        <v>104.71775067750677</v>
      </c>
      <c r="Y234" s="67">
        <f t="shared" si="126"/>
        <v>105.44067430883344</v>
      </c>
      <c r="Z234" s="67">
        <f t="shared" si="126"/>
        <v>104.38485981308412</v>
      </c>
      <c r="AA234" s="67">
        <f t="shared" si="126"/>
        <v>108.701408083442</v>
      </c>
      <c r="AB234" s="67">
        <f t="shared" si="126"/>
        <v>63.004681338252134</v>
      </c>
      <c r="AC234" s="67">
        <f t="shared" si="126"/>
        <v>62.480999623257567</v>
      </c>
      <c r="AD234" s="67">
        <f t="shared" si="126"/>
        <v>63.624990785108736</v>
      </c>
      <c r="AE234" s="67">
        <f t="shared" si="126"/>
        <v>56.836272040302269</v>
      </c>
      <c r="AF234" s="67">
        <f t="shared" si="126"/>
        <v>57.223731968357377</v>
      </c>
      <c r="AG234" s="67">
        <f t="shared" si="126"/>
        <v>41.54052471568518</v>
      </c>
      <c r="AH234" s="67">
        <f t="shared" si="126"/>
        <v>14.478381046396843</v>
      </c>
      <c r="AI234" s="67">
        <f t="shared" si="126"/>
        <v>23.102663129973479</v>
      </c>
      <c r="AJ234" s="67">
        <f t="shared" si="126"/>
        <v>23.251970678848402</v>
      </c>
      <c r="AK234" s="67">
        <f t="shared" si="126"/>
        <v>0</v>
      </c>
      <c r="AL234" s="67">
        <f t="shared" si="126"/>
        <v>43.446649968691297</v>
      </c>
      <c r="AM234" s="67">
        <f t="shared" si="126"/>
        <v>0</v>
      </c>
      <c r="AN234" s="67">
        <f t="shared" si="126"/>
        <v>21.999900000000004</v>
      </c>
      <c r="AO234" s="67">
        <f t="shared" si="126"/>
        <v>15.436539029432033</v>
      </c>
      <c r="AP234" s="67">
        <f t="shared" si="126"/>
        <v>22.52463655747238</v>
      </c>
      <c r="AQ234" s="67">
        <f t="shared" si="126"/>
        <v>26.426894158473107</v>
      </c>
      <c r="AR234" s="67">
        <f t="shared" si="126"/>
        <v>46.450210647261585</v>
      </c>
      <c r="AS234" s="67">
        <f t="shared" si="126"/>
        <v>45.654620741577268</v>
      </c>
      <c r="AT234" s="67">
        <f t="shared" si="126"/>
        <v>51.928564853171316</v>
      </c>
      <c r="AU234" s="67">
        <f t="shared" si="126"/>
        <v>52.075481944067342</v>
      </c>
      <c r="AV234" s="67">
        <f t="shared" si="126"/>
        <v>51</v>
      </c>
      <c r="AW234" s="67">
        <f t="shared" si="126"/>
        <v>62.861869384934352</v>
      </c>
      <c r="AX234" s="67">
        <f t="shared" si="126"/>
        <v>59.710265036514329</v>
      </c>
      <c r="AY234" s="67">
        <f t="shared" ref="AY234" si="127">AY19/AY200</f>
        <v>125.64682317122025</v>
      </c>
      <c r="AZ234" s="35" t="s">
        <v>111</v>
      </c>
      <c r="BA234" s="35"/>
      <c r="BB234" s="35"/>
      <c r="BC234" s="35"/>
      <c r="BD234" s="300"/>
      <c r="BF234" s="302"/>
      <c r="BG234" s="147"/>
      <c r="BH234" s="147"/>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row>
    <row r="235" spans="1:93" x14ac:dyDescent="0.3">
      <c r="A235" s="48"/>
      <c r="B235" s="35"/>
      <c r="C235" s="35"/>
      <c r="D235" s="12"/>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f>AW22/AW200</f>
        <v>38.984105044920526</v>
      </c>
      <c r="AX235" s="67">
        <f>AX22/AX200</f>
        <v>37.0296217280709</v>
      </c>
      <c r="AY235" s="67">
        <f>AY22/AY200</f>
        <v>58.755708677189325</v>
      </c>
      <c r="AZ235" s="35" t="s">
        <v>466</v>
      </c>
      <c r="BA235" s="35"/>
      <c r="BB235" s="35"/>
      <c r="BC235" s="35"/>
      <c r="BD235" s="300"/>
      <c r="BF235" s="302"/>
      <c r="BG235" s="147"/>
      <c r="BH235" s="147"/>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row>
    <row r="236" spans="1:93" x14ac:dyDescent="0.3">
      <c r="A236" s="48"/>
      <c r="B236" s="35"/>
      <c r="C236" s="35"/>
      <c r="D236" s="12"/>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f>AW21/AW200</f>
        <v>51.6539391845197</v>
      </c>
      <c r="AX236" s="67">
        <f>AX21/AX200</f>
        <v>49.064248789693941</v>
      </c>
      <c r="AY236" s="67">
        <f>AY21/AY200</f>
        <v>39.773095104558926</v>
      </c>
      <c r="AZ236" s="35" t="s">
        <v>435</v>
      </c>
      <c r="BA236" s="35"/>
      <c r="BB236" s="35"/>
      <c r="BC236" s="35"/>
      <c r="BD236" s="300"/>
      <c r="BF236" s="302"/>
      <c r="BG236" s="147"/>
      <c r="BH236" s="147"/>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row>
    <row r="237" spans="1:93" x14ac:dyDescent="0.3">
      <c r="A237" s="48"/>
      <c r="B237" s="35" t="s">
        <v>292</v>
      </c>
      <c r="C237" s="35"/>
      <c r="D237" s="12"/>
      <c r="E237" s="67">
        <f t="shared" ref="E237:AX237" si="128">E20/E200</f>
        <v>127.15148042024833</v>
      </c>
      <c r="F237" s="67">
        <f t="shared" si="128"/>
        <v>135.5819298245614</v>
      </c>
      <c r="G237" s="67">
        <f t="shared" si="128"/>
        <v>77.621593014024882</v>
      </c>
      <c r="H237" s="67">
        <f t="shared" si="128"/>
        <v>85.937633896691281</v>
      </c>
      <c r="I237" s="67">
        <f t="shared" si="128"/>
        <v>86.227071333628714</v>
      </c>
      <c r="J237" s="67">
        <f t="shared" si="128"/>
        <v>71.167046413502121</v>
      </c>
      <c r="K237" s="67">
        <f t="shared" si="128"/>
        <v>96.118549848942607</v>
      </c>
      <c r="L237" s="67">
        <f t="shared" si="128"/>
        <v>88.843282131051922</v>
      </c>
      <c r="M237" s="67">
        <f t="shared" si="128"/>
        <v>73.251370906321412</v>
      </c>
      <c r="N237" s="67">
        <f t="shared" si="128"/>
        <v>58.319389256806488</v>
      </c>
      <c r="O237" s="67">
        <f t="shared" si="128"/>
        <v>65.434799574317154</v>
      </c>
      <c r="P237" s="67">
        <f t="shared" si="128"/>
        <v>51.027991124765329</v>
      </c>
      <c r="Q237" s="67">
        <f t="shared" si="128"/>
        <v>71.488410872102733</v>
      </c>
      <c r="R237" s="67">
        <f t="shared" si="128"/>
        <v>77.625950280673621</v>
      </c>
      <c r="S237" s="67">
        <f t="shared" si="128"/>
        <v>87.633883792048934</v>
      </c>
      <c r="T237" s="67">
        <f t="shared" si="128"/>
        <v>84.089440993788813</v>
      </c>
      <c r="U237" s="67">
        <f t="shared" si="128"/>
        <v>83.782909460834176</v>
      </c>
      <c r="V237" s="67">
        <f t="shared" si="128"/>
        <v>74.741061097784694</v>
      </c>
      <c r="W237" s="67">
        <f t="shared" si="128"/>
        <v>79.994239025065795</v>
      </c>
      <c r="X237" s="67">
        <f t="shared" si="128"/>
        <v>74.601842818428182</v>
      </c>
      <c r="Y237" s="67">
        <f t="shared" si="128"/>
        <v>59.643209710047209</v>
      </c>
      <c r="Z237" s="67">
        <f t="shared" si="128"/>
        <v>64.920453938584785</v>
      </c>
      <c r="AA237" s="67">
        <f t="shared" si="128"/>
        <v>63.838174706649291</v>
      </c>
      <c r="AB237" s="67">
        <f t="shared" si="128"/>
        <v>73.625060424882335</v>
      </c>
      <c r="AC237" s="67">
        <f t="shared" si="128"/>
        <v>80.332713801331167</v>
      </c>
      <c r="AD237" s="67">
        <f t="shared" si="128"/>
        <v>85.942253348077159</v>
      </c>
      <c r="AE237" s="67">
        <f t="shared" si="128"/>
        <v>93.373875494782297</v>
      </c>
      <c r="AF237" s="67">
        <f t="shared" si="128"/>
        <v>0</v>
      </c>
      <c r="AG237" s="67">
        <f t="shared" si="128"/>
        <v>0</v>
      </c>
      <c r="AH237" s="67">
        <f t="shared" si="128"/>
        <v>0</v>
      </c>
      <c r="AI237" s="67">
        <f t="shared" si="128"/>
        <v>0</v>
      </c>
      <c r="AJ237" s="67">
        <f t="shared" si="128"/>
        <v>0</v>
      </c>
      <c r="AK237" s="67">
        <f t="shared" si="128"/>
        <v>0</v>
      </c>
      <c r="AL237" s="67">
        <f t="shared" si="128"/>
        <v>0</v>
      </c>
      <c r="AM237" s="67">
        <f t="shared" si="128"/>
        <v>0</v>
      </c>
      <c r="AN237" s="67">
        <f t="shared" si="128"/>
        <v>0</v>
      </c>
      <c r="AO237" s="67">
        <f t="shared" si="128"/>
        <v>0</v>
      </c>
      <c r="AP237" s="67">
        <f t="shared" si="128"/>
        <v>0</v>
      </c>
      <c r="AQ237" s="67">
        <f t="shared" si="128"/>
        <v>0</v>
      </c>
      <c r="AR237" s="67">
        <f t="shared" si="128"/>
        <v>0</v>
      </c>
      <c r="AS237" s="67">
        <f t="shared" si="128"/>
        <v>0</v>
      </c>
      <c r="AT237" s="67">
        <f t="shared" si="128"/>
        <v>0</v>
      </c>
      <c r="AU237" s="67">
        <f t="shared" si="128"/>
        <v>0</v>
      </c>
      <c r="AV237" s="67">
        <f t="shared" si="128"/>
        <v>0</v>
      </c>
      <c r="AW237" s="67">
        <f t="shared" si="128"/>
        <v>0</v>
      </c>
      <c r="AX237" s="67">
        <f t="shared" si="128"/>
        <v>0</v>
      </c>
      <c r="AY237" s="67">
        <f t="shared" ref="AY237" si="129">AY20/AY200</f>
        <v>0</v>
      </c>
      <c r="AZ237" s="35" t="s">
        <v>292</v>
      </c>
      <c r="BA237" s="35"/>
      <c r="BB237" s="35"/>
      <c r="BC237" s="35"/>
      <c r="BD237" s="300"/>
      <c r="BF237" s="302"/>
      <c r="BG237" s="147"/>
      <c r="BH237" s="147"/>
      <c r="BK237" s="35"/>
      <c r="BL237" s="35"/>
      <c r="BM237" s="35"/>
      <c r="BN237" s="35"/>
      <c r="BO237" s="35"/>
      <c r="BP237" s="35"/>
      <c r="BQ237" s="35"/>
      <c r="BR237" s="35"/>
      <c r="BS237" s="47"/>
      <c r="BT237" s="3"/>
      <c r="BU237" s="3"/>
      <c r="BV237" s="3"/>
      <c r="BW237" s="3"/>
      <c r="BX237" s="3"/>
      <c r="BY237" s="3"/>
      <c r="BZ237" s="3"/>
      <c r="CA237" s="3"/>
      <c r="CB237" s="3"/>
      <c r="CC237" s="3"/>
    </row>
    <row r="238" spans="1:93" ht="12.75" x14ac:dyDescent="0.35">
      <c r="A238" s="48"/>
      <c r="B238" s="35" t="s">
        <v>58</v>
      </c>
      <c r="C238" s="35"/>
      <c r="D238" s="12"/>
      <c r="E238" s="67">
        <f t="shared" ref="E238:AX238" si="130">E24/E200</f>
        <v>0</v>
      </c>
      <c r="F238" s="67">
        <f t="shared" si="130"/>
        <v>0</v>
      </c>
      <c r="G238" s="67">
        <f t="shared" si="130"/>
        <v>0</v>
      </c>
      <c r="H238" s="67">
        <f t="shared" si="130"/>
        <v>0</v>
      </c>
      <c r="I238" s="67">
        <f t="shared" si="130"/>
        <v>34.490828533451484</v>
      </c>
      <c r="J238" s="67">
        <f t="shared" si="130"/>
        <v>92.826582278481027</v>
      </c>
      <c r="K238" s="67">
        <f t="shared" si="130"/>
        <v>104.29885196374623</v>
      </c>
      <c r="L238" s="67">
        <f t="shared" si="130"/>
        <v>101.34715146801479</v>
      </c>
      <c r="M238" s="67">
        <f t="shared" si="130"/>
        <v>107.62151561309977</v>
      </c>
      <c r="N238" s="67">
        <f t="shared" si="130"/>
        <v>121.6197939661516</v>
      </c>
      <c r="O238" s="67">
        <f t="shared" si="130"/>
        <v>118.06278822277405</v>
      </c>
      <c r="P238" s="67">
        <f t="shared" si="130"/>
        <v>123.81508789895888</v>
      </c>
      <c r="Q238" s="67">
        <f t="shared" si="130"/>
        <v>120.96591629147909</v>
      </c>
      <c r="R238" s="67">
        <f t="shared" si="130"/>
        <v>117.79602245388934</v>
      </c>
      <c r="S238" s="67">
        <f t="shared" si="130"/>
        <v>101.60700305810398</v>
      </c>
      <c r="T238" s="67">
        <f t="shared" si="130"/>
        <v>117.95879917184266</v>
      </c>
      <c r="U238" s="67">
        <f t="shared" si="130"/>
        <v>121.16549920069758</v>
      </c>
      <c r="V238" s="67">
        <f t="shared" si="130"/>
        <v>115.73322985748555</v>
      </c>
      <c r="W238" s="67">
        <f t="shared" si="130"/>
        <v>104.52372247611137</v>
      </c>
      <c r="X238" s="67">
        <f t="shared" si="130"/>
        <v>105.02349593495936</v>
      </c>
      <c r="Y238" s="67">
        <f t="shared" si="130"/>
        <v>101.63689817936614</v>
      </c>
      <c r="Z238" s="67">
        <f t="shared" si="130"/>
        <v>104.65598931909214</v>
      </c>
      <c r="AA238" s="67">
        <f t="shared" si="130"/>
        <v>111.05488917861801</v>
      </c>
      <c r="AB238" s="67">
        <f t="shared" si="130"/>
        <v>114.95842768095662</v>
      </c>
      <c r="AC238" s="67">
        <f t="shared" si="130"/>
        <v>121.84503327891498</v>
      </c>
      <c r="AD238" s="67">
        <f t="shared" si="130"/>
        <v>120.87362083794079</v>
      </c>
      <c r="AE238" s="67">
        <f t="shared" si="130"/>
        <v>143.44392467314384</v>
      </c>
      <c r="AF238" s="67">
        <f t="shared" si="130"/>
        <v>138.59692880409492</v>
      </c>
      <c r="AG238" s="67">
        <f t="shared" si="130"/>
        <v>134.53032316180611</v>
      </c>
      <c r="AH238" s="67">
        <f t="shared" si="130"/>
        <v>160.6234068224197</v>
      </c>
      <c r="AI238" s="67">
        <f t="shared" si="130"/>
        <v>177.87853580901859</v>
      </c>
      <c r="AJ238" s="67">
        <f t="shared" si="130"/>
        <v>182.18038882396687</v>
      </c>
      <c r="AK238" s="67">
        <f t="shared" si="130"/>
        <v>11.985551896313611</v>
      </c>
      <c r="AL238" s="67">
        <f t="shared" si="130"/>
        <v>186.03172615320392</v>
      </c>
      <c r="AM238" s="67">
        <f t="shared" si="130"/>
        <v>189.68409554920376</v>
      </c>
      <c r="AN238" s="67">
        <f t="shared" si="130"/>
        <v>135.38400000000001</v>
      </c>
      <c r="AO238" s="67">
        <f t="shared" si="130"/>
        <v>126.82393936411066</v>
      </c>
      <c r="AP238" s="67">
        <f t="shared" si="130"/>
        <v>131.21147509207211</v>
      </c>
      <c r="AQ238" s="67">
        <f t="shared" si="130"/>
        <v>129.41565452091768</v>
      </c>
      <c r="AR238" s="67">
        <f t="shared" si="130"/>
        <v>123.36311757947148</v>
      </c>
      <c r="AS238" s="67">
        <f t="shared" si="130"/>
        <v>63.704121964991536</v>
      </c>
      <c r="AT238" s="67">
        <f t="shared" si="130"/>
        <v>62.314277823805583</v>
      </c>
      <c r="AU238" s="67">
        <f t="shared" si="130"/>
        <v>62.388469544755189</v>
      </c>
      <c r="AV238" s="67">
        <f t="shared" si="130"/>
        <v>59.1</v>
      </c>
      <c r="AW238" s="67">
        <f t="shared" si="130"/>
        <v>59.938061506565312</v>
      </c>
      <c r="AX238" s="67">
        <f t="shared" si="130"/>
        <v>56.933043406909007</v>
      </c>
      <c r="AY238" s="67">
        <f t="shared" ref="AY238" si="131">AY24/AY200</f>
        <v>63.54655876932938</v>
      </c>
      <c r="AZ238" s="35" t="s">
        <v>58</v>
      </c>
      <c r="BA238" s="35"/>
      <c r="BB238" s="35"/>
      <c r="BC238" s="35"/>
      <c r="BD238" s="300"/>
      <c r="BF238"/>
      <c r="BG238" s="36"/>
      <c r="BH238" s="36"/>
      <c r="BI238" s="53"/>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row>
    <row r="239" spans="1:93" ht="12.75" x14ac:dyDescent="0.35">
      <c r="A239" s="48"/>
      <c r="B239" s="35" t="s">
        <v>59</v>
      </c>
      <c r="C239" s="35"/>
      <c r="D239" s="12"/>
      <c r="E239" s="67">
        <f t="shared" ref="E239:AX239" si="132">E25/E200</f>
        <v>0</v>
      </c>
      <c r="F239" s="67">
        <f t="shared" si="132"/>
        <v>0</v>
      </c>
      <c r="G239" s="67">
        <f t="shared" si="132"/>
        <v>0</v>
      </c>
      <c r="H239" s="67">
        <f t="shared" si="132"/>
        <v>0</v>
      </c>
      <c r="I239" s="67">
        <f t="shared" si="132"/>
        <v>0</v>
      </c>
      <c r="J239" s="67">
        <f t="shared" si="132"/>
        <v>0</v>
      </c>
      <c r="K239" s="67">
        <f t="shared" si="132"/>
        <v>0.34084592145015108</v>
      </c>
      <c r="L239" s="67">
        <f t="shared" si="132"/>
        <v>20.401049970834148</v>
      </c>
      <c r="M239" s="67">
        <f t="shared" si="132"/>
        <v>13.318431073876619</v>
      </c>
      <c r="N239" s="67">
        <f t="shared" si="132"/>
        <v>7.0564385577630615</v>
      </c>
      <c r="O239" s="67">
        <f t="shared" si="132"/>
        <v>36.419368570415045</v>
      </c>
      <c r="P239" s="67">
        <f t="shared" si="132"/>
        <v>41.977743642259782</v>
      </c>
      <c r="Q239" s="67">
        <f t="shared" si="132"/>
        <v>22.575287643821916</v>
      </c>
      <c r="R239" s="67">
        <f t="shared" si="132"/>
        <v>28.589510825982362</v>
      </c>
      <c r="S239" s="67">
        <f t="shared" si="132"/>
        <v>17.94079510703364</v>
      </c>
      <c r="T239" s="67">
        <f t="shared" si="132"/>
        <v>7.5079858030168589</v>
      </c>
      <c r="U239" s="67">
        <f t="shared" si="132"/>
        <v>6.2304316233105652</v>
      </c>
      <c r="V239" s="67">
        <f t="shared" si="132"/>
        <v>7.9596444193593916</v>
      </c>
      <c r="W239" s="67">
        <f t="shared" si="132"/>
        <v>6.249549923833265</v>
      </c>
      <c r="X239" s="67">
        <f t="shared" si="132"/>
        <v>3.0574525745257453</v>
      </c>
      <c r="Y239" s="67">
        <f t="shared" si="132"/>
        <v>3.803776129467296</v>
      </c>
      <c r="Z239" s="67">
        <f t="shared" si="132"/>
        <v>3.9163150867823768</v>
      </c>
      <c r="AA239" s="67">
        <f t="shared" si="132"/>
        <v>3.8244067796610177</v>
      </c>
      <c r="AB239" s="67">
        <f t="shared" si="132"/>
        <v>5.5972268159267271</v>
      </c>
      <c r="AC239" s="67">
        <f t="shared" si="132"/>
        <v>19.12683661936456</v>
      </c>
      <c r="AD239" s="67">
        <f t="shared" si="132"/>
        <v>9.6338493672441334</v>
      </c>
      <c r="AE239" s="67">
        <f t="shared" si="132"/>
        <v>9.3373875494782315</v>
      </c>
      <c r="AF239" s="67">
        <f t="shared" si="132"/>
        <v>9.0560493252675673</v>
      </c>
      <c r="AG239" s="67">
        <f t="shared" si="132"/>
        <v>25.152978268213044</v>
      </c>
      <c r="AH239" s="67">
        <f t="shared" si="132"/>
        <v>14.849621586048045</v>
      </c>
      <c r="AI239" s="67">
        <f t="shared" si="132"/>
        <v>15.441676392572946</v>
      </c>
      <c r="AJ239" s="67">
        <f t="shared" si="132"/>
        <v>21.573993413364498</v>
      </c>
      <c r="AK239" s="67">
        <f t="shared" si="132"/>
        <v>0</v>
      </c>
      <c r="AL239" s="67">
        <f t="shared" si="132"/>
        <v>23.548319766228346</v>
      </c>
      <c r="AM239" s="67">
        <f t="shared" si="132"/>
        <v>23.033891384238466</v>
      </c>
      <c r="AN239" s="67">
        <f t="shared" si="132"/>
        <v>18.953760000000003</v>
      </c>
      <c r="AO239" s="67">
        <f t="shared" si="132"/>
        <v>17.76867801949011</v>
      </c>
      <c r="AP239" s="67">
        <f t="shared" si="132"/>
        <v>17.494863345609616</v>
      </c>
      <c r="AQ239" s="67">
        <f t="shared" si="132"/>
        <v>17.182918835550417</v>
      </c>
      <c r="AR239" s="67">
        <f t="shared" si="132"/>
        <v>17.067751819226352</v>
      </c>
      <c r="AS239" s="67">
        <f t="shared" si="132"/>
        <v>43.000282326369287</v>
      </c>
      <c r="AT239" s="67">
        <f t="shared" si="132"/>
        <v>46.735708367854187</v>
      </c>
      <c r="AU239" s="67">
        <f t="shared" si="132"/>
        <v>45.948954656530006</v>
      </c>
      <c r="AV239" s="67">
        <f t="shared" si="132"/>
        <v>50</v>
      </c>
      <c r="AW239" s="67">
        <f t="shared" si="132"/>
        <v>53.603144436765724</v>
      </c>
      <c r="AX239" s="67">
        <f t="shared" si="132"/>
        <v>50.915729876097487</v>
      </c>
      <c r="AY239" s="67">
        <f t="shared" ref="AY239" si="133">AY25/AY200</f>
        <v>49.71636888069866</v>
      </c>
      <c r="AZ239" s="35" t="s">
        <v>59</v>
      </c>
      <c r="BA239" s="35"/>
      <c r="BB239" s="35"/>
      <c r="BC239" s="35"/>
      <c r="BD239" s="300"/>
      <c r="BF239"/>
      <c r="BG239" s="36"/>
      <c r="BH239" s="36"/>
      <c r="BI239" s="53"/>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row>
    <row r="240" spans="1:93" ht="12.75" x14ac:dyDescent="0.35">
      <c r="A240" s="48"/>
      <c r="B240" s="35" t="s">
        <v>174</v>
      </c>
      <c r="C240" s="35"/>
      <c r="D240" s="12"/>
      <c r="E240" s="67">
        <f t="shared" ref="E240:AX240" si="134">E26/E200</f>
        <v>0</v>
      </c>
      <c r="F240" s="67">
        <f t="shared" si="134"/>
        <v>0</v>
      </c>
      <c r="G240" s="67">
        <f t="shared" si="134"/>
        <v>0</v>
      </c>
      <c r="H240" s="67">
        <f t="shared" si="134"/>
        <v>0</v>
      </c>
      <c r="I240" s="67">
        <f t="shared" si="134"/>
        <v>0</v>
      </c>
      <c r="J240" s="67">
        <f t="shared" si="134"/>
        <v>0</v>
      </c>
      <c r="K240" s="67">
        <f t="shared" si="134"/>
        <v>0</v>
      </c>
      <c r="L240" s="67">
        <f t="shared" si="134"/>
        <v>0</v>
      </c>
      <c r="M240" s="67">
        <f t="shared" si="134"/>
        <v>0</v>
      </c>
      <c r="N240" s="67">
        <f t="shared" si="134"/>
        <v>0</v>
      </c>
      <c r="O240" s="67">
        <f t="shared" si="134"/>
        <v>0</v>
      </c>
      <c r="P240" s="67">
        <f t="shared" si="134"/>
        <v>0</v>
      </c>
      <c r="Q240" s="67">
        <f t="shared" si="134"/>
        <v>0</v>
      </c>
      <c r="R240" s="67">
        <f t="shared" si="134"/>
        <v>0</v>
      </c>
      <c r="S240" s="67">
        <f t="shared" si="134"/>
        <v>0</v>
      </c>
      <c r="T240" s="67">
        <f t="shared" si="134"/>
        <v>0</v>
      </c>
      <c r="U240" s="67">
        <f t="shared" si="134"/>
        <v>0</v>
      </c>
      <c r="V240" s="67">
        <f t="shared" si="134"/>
        <v>0</v>
      </c>
      <c r="W240" s="67">
        <f t="shared" si="134"/>
        <v>0</v>
      </c>
      <c r="X240" s="67">
        <f t="shared" si="134"/>
        <v>7.6436314363143634</v>
      </c>
      <c r="Y240" s="67">
        <f t="shared" si="134"/>
        <v>7.6075522589345921</v>
      </c>
      <c r="Z240" s="67">
        <f t="shared" si="134"/>
        <v>7.5313751668891857</v>
      </c>
      <c r="AA240" s="67">
        <f t="shared" si="134"/>
        <v>7.3546284224250336</v>
      </c>
      <c r="AB240" s="67">
        <f t="shared" si="134"/>
        <v>7.4629690879023034</v>
      </c>
      <c r="AC240" s="67">
        <f t="shared" si="134"/>
        <v>7.3673741052367205</v>
      </c>
      <c r="AD240" s="67">
        <f t="shared" si="134"/>
        <v>8.3169922594913395</v>
      </c>
      <c r="AE240" s="67">
        <f t="shared" si="134"/>
        <v>13.397121266642678</v>
      </c>
      <c r="AF240" s="67">
        <f t="shared" si="134"/>
        <v>12.993462075383901</v>
      </c>
      <c r="AG240" s="67">
        <f t="shared" si="134"/>
        <v>10.162819502308299</v>
      </c>
      <c r="AH240" s="67">
        <f t="shared" si="134"/>
        <v>0</v>
      </c>
      <c r="AI240" s="67">
        <f t="shared" si="134"/>
        <v>0</v>
      </c>
      <c r="AJ240" s="67">
        <f t="shared" si="134"/>
        <v>0</v>
      </c>
      <c r="AK240" s="67">
        <f t="shared" si="134"/>
        <v>0</v>
      </c>
      <c r="AL240" s="67">
        <f t="shared" si="134"/>
        <v>0</v>
      </c>
      <c r="AM240" s="67">
        <f t="shared" si="134"/>
        <v>0</v>
      </c>
      <c r="AN240" s="67">
        <f t="shared" si="134"/>
        <v>0</v>
      </c>
      <c r="AO240" s="67">
        <f t="shared" si="134"/>
        <v>0</v>
      </c>
      <c r="AP240" s="67">
        <f t="shared" si="134"/>
        <v>0</v>
      </c>
      <c r="AQ240" s="67">
        <f t="shared" si="134"/>
        <v>0</v>
      </c>
      <c r="AR240" s="67">
        <f t="shared" si="134"/>
        <v>0</v>
      </c>
      <c r="AS240" s="67">
        <f t="shared" si="134"/>
        <v>0</v>
      </c>
      <c r="AT240" s="67">
        <f t="shared" si="134"/>
        <v>0</v>
      </c>
      <c r="AU240" s="67">
        <f t="shared" si="134"/>
        <v>0</v>
      </c>
      <c r="AV240" s="67">
        <f t="shared" si="134"/>
        <v>0</v>
      </c>
      <c r="AW240" s="67">
        <f t="shared" si="134"/>
        <v>0</v>
      </c>
      <c r="AX240" s="67">
        <f t="shared" si="134"/>
        <v>0</v>
      </c>
      <c r="AY240" s="67">
        <f t="shared" ref="AY240" si="135">AY26/AY200</f>
        <v>0</v>
      </c>
      <c r="AZ240" s="35" t="s">
        <v>174</v>
      </c>
      <c r="BA240" s="35"/>
      <c r="BB240" s="35"/>
      <c r="BC240" s="35"/>
      <c r="BD240" s="300"/>
      <c r="BF240"/>
      <c r="BG240" s="36"/>
      <c r="BH240" s="36"/>
      <c r="BI240" s="53"/>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row>
    <row r="241" spans="1:93" ht="12.75" x14ac:dyDescent="0.35">
      <c r="A241" s="48"/>
      <c r="B241" s="35" t="s">
        <v>60</v>
      </c>
      <c r="C241" s="35"/>
      <c r="D241" s="12"/>
      <c r="E241" s="67">
        <f t="shared" ref="E241:AX241" si="136">E27/E200</f>
        <v>0</v>
      </c>
      <c r="F241" s="67">
        <f t="shared" si="136"/>
        <v>0</v>
      </c>
      <c r="G241" s="67">
        <f t="shared" si="136"/>
        <v>0</v>
      </c>
      <c r="H241" s="67">
        <f t="shared" si="136"/>
        <v>0</v>
      </c>
      <c r="I241" s="67">
        <f t="shared" si="136"/>
        <v>0</v>
      </c>
      <c r="J241" s="67">
        <f t="shared" si="136"/>
        <v>0</v>
      </c>
      <c r="K241" s="67">
        <f t="shared" si="136"/>
        <v>0</v>
      </c>
      <c r="L241" s="67">
        <f t="shared" si="136"/>
        <v>0</v>
      </c>
      <c r="M241" s="67">
        <f t="shared" si="136"/>
        <v>0</v>
      </c>
      <c r="N241" s="67">
        <f t="shared" si="136"/>
        <v>0</v>
      </c>
      <c r="O241" s="67">
        <f t="shared" si="136"/>
        <v>0</v>
      </c>
      <c r="P241" s="67">
        <f t="shared" si="136"/>
        <v>0</v>
      </c>
      <c r="Q241" s="67">
        <f t="shared" si="136"/>
        <v>8.6538602634650665</v>
      </c>
      <c r="R241" s="67">
        <f t="shared" si="136"/>
        <v>21.532606255012031</v>
      </c>
      <c r="S241" s="67">
        <f t="shared" si="136"/>
        <v>18.458318042813456</v>
      </c>
      <c r="T241" s="67">
        <f t="shared" si="136"/>
        <v>16.517568766637091</v>
      </c>
      <c r="U241" s="67">
        <f t="shared" si="136"/>
        <v>15.740037785205638</v>
      </c>
      <c r="V241" s="67">
        <f t="shared" si="136"/>
        <v>14.168167066459718</v>
      </c>
      <c r="W241" s="67">
        <f t="shared" si="136"/>
        <v>9.6868023819415612</v>
      </c>
      <c r="X241" s="67">
        <f t="shared" si="136"/>
        <v>8.2551219512195129</v>
      </c>
      <c r="Y241" s="67">
        <f t="shared" si="136"/>
        <v>8.6726095751854348</v>
      </c>
      <c r="Z241" s="67">
        <f t="shared" si="136"/>
        <v>10.09204272363151</v>
      </c>
      <c r="AA241" s="67">
        <f t="shared" si="136"/>
        <v>10.590664928292048</v>
      </c>
      <c r="AB241" s="67">
        <f t="shared" si="136"/>
        <v>11.33797226815927</v>
      </c>
      <c r="AC241" s="67">
        <f t="shared" si="136"/>
        <v>11.334421700364185</v>
      </c>
      <c r="AD241" s="67">
        <f t="shared" si="136"/>
        <v>11.089323012655118</v>
      </c>
      <c r="AE241" s="67">
        <f t="shared" si="136"/>
        <v>10.961281036344008</v>
      </c>
      <c r="AF241" s="67">
        <f t="shared" si="136"/>
        <v>10.631014425314099</v>
      </c>
      <c r="AG241" s="67">
        <f t="shared" si="136"/>
        <v>7.3680441391735165</v>
      </c>
      <c r="AH241" s="67">
        <f t="shared" si="136"/>
        <v>0</v>
      </c>
      <c r="AI241" s="67">
        <f t="shared" si="136"/>
        <v>5.7457400530503984</v>
      </c>
      <c r="AJ241" s="67">
        <f t="shared" si="136"/>
        <v>5.8729204291936696</v>
      </c>
      <c r="AK241" s="67">
        <f t="shared" si="136"/>
        <v>0</v>
      </c>
      <c r="AL241" s="67">
        <f t="shared" si="136"/>
        <v>5.8870799415570865</v>
      </c>
      <c r="AM241" s="67">
        <f t="shared" si="136"/>
        <v>0</v>
      </c>
      <c r="AN241" s="67">
        <f t="shared" si="136"/>
        <v>0</v>
      </c>
      <c r="AO241" s="67">
        <f t="shared" si="136"/>
        <v>0</v>
      </c>
      <c r="AP241" s="67">
        <f t="shared" si="136"/>
        <v>0</v>
      </c>
      <c r="AQ241" s="67">
        <f t="shared" si="136"/>
        <v>0</v>
      </c>
      <c r="AR241" s="67">
        <f t="shared" si="136"/>
        <v>0</v>
      </c>
      <c r="AS241" s="67">
        <f t="shared" si="136"/>
        <v>0</v>
      </c>
      <c r="AT241" s="67">
        <f t="shared" si="136"/>
        <v>0</v>
      </c>
      <c r="AU241" s="67">
        <f t="shared" si="136"/>
        <v>0</v>
      </c>
      <c r="AV241" s="67">
        <f t="shared" si="136"/>
        <v>0</v>
      </c>
      <c r="AW241" s="67">
        <f t="shared" si="136"/>
        <v>0</v>
      </c>
      <c r="AX241" s="67">
        <f t="shared" si="136"/>
        <v>0</v>
      </c>
      <c r="AY241" s="67">
        <f t="shared" ref="AY241" si="137">AY27/AY200</f>
        <v>0</v>
      </c>
      <c r="AZ241" s="35" t="s">
        <v>60</v>
      </c>
      <c r="BA241" s="35"/>
      <c r="BB241" s="35"/>
      <c r="BC241" s="35"/>
      <c r="BD241" s="300"/>
      <c r="BF241"/>
      <c r="BG241" s="36"/>
      <c r="BH241" s="36"/>
      <c r="BI241" s="53"/>
      <c r="BK241" s="35"/>
      <c r="BL241" s="35"/>
      <c r="BM241" s="35"/>
      <c r="BN241" s="35"/>
      <c r="BO241" s="35"/>
      <c r="BP241" s="35"/>
      <c r="BQ241" s="35"/>
      <c r="BR241" s="35"/>
      <c r="BS241" s="47"/>
      <c r="BT241" s="3"/>
      <c r="BU241" s="3"/>
      <c r="BV241" s="3"/>
      <c r="BW241" s="3"/>
      <c r="BX241" s="3"/>
      <c r="BY241" s="3"/>
      <c r="BZ241" s="3"/>
      <c r="CA241" s="3"/>
      <c r="CB241" s="3"/>
      <c r="CC241" s="3"/>
    </row>
    <row r="242" spans="1:93" ht="12.75" x14ac:dyDescent="0.35">
      <c r="A242" s="48"/>
      <c r="B242" s="35" t="s">
        <v>61</v>
      </c>
      <c r="C242" s="35"/>
      <c r="D242" s="12"/>
      <c r="E242" s="67">
        <f t="shared" ref="E242:AX242" si="138">E28/E200</f>
        <v>0</v>
      </c>
      <c r="F242" s="67">
        <f t="shared" si="138"/>
        <v>0</v>
      </c>
      <c r="G242" s="67">
        <f t="shared" si="138"/>
        <v>0</v>
      </c>
      <c r="H242" s="67">
        <f t="shared" si="138"/>
        <v>0</v>
      </c>
      <c r="I242" s="67">
        <f t="shared" si="138"/>
        <v>0</v>
      </c>
      <c r="J242" s="67">
        <f t="shared" si="138"/>
        <v>0</v>
      </c>
      <c r="K242" s="67">
        <f t="shared" si="138"/>
        <v>0</v>
      </c>
      <c r="L242" s="67">
        <f t="shared" si="138"/>
        <v>3.0711258020610539</v>
      </c>
      <c r="M242" s="67">
        <f t="shared" si="138"/>
        <v>1.074067022086824</v>
      </c>
      <c r="N242" s="67">
        <f t="shared" si="138"/>
        <v>0.41508462104488603</v>
      </c>
      <c r="O242" s="67">
        <f t="shared" si="138"/>
        <v>0.4002128414331324</v>
      </c>
      <c r="P242" s="67">
        <f t="shared" si="138"/>
        <v>0.38511691414917232</v>
      </c>
      <c r="Q242" s="67">
        <f t="shared" si="138"/>
        <v>0.37625479406369861</v>
      </c>
      <c r="R242" s="67">
        <f t="shared" si="138"/>
        <v>0.54283881315156379</v>
      </c>
      <c r="S242" s="67">
        <f t="shared" si="138"/>
        <v>0.34501529051987773</v>
      </c>
      <c r="T242" s="67">
        <f t="shared" si="138"/>
        <v>0</v>
      </c>
      <c r="U242" s="67">
        <f t="shared" si="138"/>
        <v>0</v>
      </c>
      <c r="V242" s="67">
        <f t="shared" si="138"/>
        <v>0</v>
      </c>
      <c r="W242" s="67">
        <f t="shared" si="138"/>
        <v>0</v>
      </c>
      <c r="X242" s="67">
        <f t="shared" si="138"/>
        <v>0</v>
      </c>
      <c r="Y242" s="67">
        <f t="shared" si="138"/>
        <v>0</v>
      </c>
      <c r="Z242" s="67">
        <f t="shared" si="138"/>
        <v>0</v>
      </c>
      <c r="AA242" s="67">
        <f t="shared" si="138"/>
        <v>0</v>
      </c>
      <c r="AB242" s="67">
        <f t="shared" si="138"/>
        <v>0</v>
      </c>
      <c r="AC242" s="67">
        <f t="shared" si="138"/>
        <v>0</v>
      </c>
      <c r="AD242" s="67">
        <f t="shared" si="138"/>
        <v>0</v>
      </c>
      <c r="AE242" s="67">
        <f t="shared" si="138"/>
        <v>0</v>
      </c>
      <c r="AF242" s="67">
        <f t="shared" si="138"/>
        <v>0</v>
      </c>
      <c r="AG242" s="67">
        <f t="shared" si="138"/>
        <v>0</v>
      </c>
      <c r="AH242" s="67">
        <f t="shared" si="138"/>
        <v>0</v>
      </c>
      <c r="AI242" s="67">
        <f t="shared" si="138"/>
        <v>0</v>
      </c>
      <c r="AJ242" s="67">
        <f t="shared" si="138"/>
        <v>0</v>
      </c>
      <c r="AK242" s="67">
        <f t="shared" si="138"/>
        <v>0</v>
      </c>
      <c r="AL242" s="67">
        <f t="shared" si="138"/>
        <v>0</v>
      </c>
      <c r="AM242" s="67">
        <f t="shared" si="138"/>
        <v>0</v>
      </c>
      <c r="AN242" s="67">
        <f t="shared" si="138"/>
        <v>0</v>
      </c>
      <c r="AO242" s="67">
        <f t="shared" si="138"/>
        <v>0</v>
      </c>
      <c r="AP242" s="67">
        <f t="shared" si="138"/>
        <v>0</v>
      </c>
      <c r="AQ242" s="67">
        <f t="shared" si="138"/>
        <v>0</v>
      </c>
      <c r="AR242" s="67">
        <f t="shared" si="138"/>
        <v>0</v>
      </c>
      <c r="AS242" s="67">
        <f t="shared" si="138"/>
        <v>0</v>
      </c>
      <c r="AT242" s="67">
        <f t="shared" si="138"/>
        <v>0</v>
      </c>
      <c r="AU242" s="67">
        <f t="shared" si="138"/>
        <v>0</v>
      </c>
      <c r="AV242" s="67">
        <f t="shared" si="138"/>
        <v>0</v>
      </c>
      <c r="AW242" s="67">
        <f t="shared" si="138"/>
        <v>0</v>
      </c>
      <c r="AX242" s="67">
        <f t="shared" si="138"/>
        <v>0</v>
      </c>
      <c r="AY242" s="67">
        <f t="shared" ref="AY242" si="139">AY28/AY200</f>
        <v>0</v>
      </c>
      <c r="AZ242" s="35" t="s">
        <v>61</v>
      </c>
      <c r="BA242" s="35"/>
      <c r="BB242" s="35"/>
      <c r="BC242" s="35"/>
      <c r="BD242" s="300"/>
      <c r="BF242"/>
      <c r="BG242" s="36"/>
      <c r="BH242" s="36"/>
      <c r="BI242" s="53"/>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row>
    <row r="243" spans="1:93" x14ac:dyDescent="0.3">
      <c r="A243" s="48"/>
      <c r="B243" s="35" t="s">
        <v>62</v>
      </c>
      <c r="C243" s="35"/>
      <c r="D243" s="12"/>
      <c r="E243" s="67">
        <f t="shared" ref="E243:AX243" si="140">E29/E200</f>
        <v>0</v>
      </c>
      <c r="F243" s="67">
        <f t="shared" si="140"/>
        <v>0</v>
      </c>
      <c r="G243" s="67">
        <f t="shared" si="140"/>
        <v>0</v>
      </c>
      <c r="H243" s="67">
        <f t="shared" si="140"/>
        <v>7.5195429659604862</v>
      </c>
      <c r="I243" s="67">
        <f t="shared" si="140"/>
        <v>0</v>
      </c>
      <c r="J243" s="67">
        <f t="shared" si="140"/>
        <v>0</v>
      </c>
      <c r="K243" s="67">
        <f t="shared" si="140"/>
        <v>0</v>
      </c>
      <c r="L243" s="67">
        <f t="shared" si="140"/>
        <v>0</v>
      </c>
      <c r="M243" s="67">
        <f t="shared" si="140"/>
        <v>0</v>
      </c>
      <c r="N243" s="67">
        <f t="shared" si="140"/>
        <v>0</v>
      </c>
      <c r="O243" s="67">
        <f t="shared" si="140"/>
        <v>0</v>
      </c>
      <c r="P243" s="67">
        <f t="shared" si="140"/>
        <v>0</v>
      </c>
      <c r="Q243" s="67">
        <f t="shared" si="140"/>
        <v>0</v>
      </c>
      <c r="R243" s="67">
        <f t="shared" si="140"/>
        <v>0</v>
      </c>
      <c r="S243" s="67">
        <f t="shared" si="140"/>
        <v>0</v>
      </c>
      <c r="T243" s="67">
        <f t="shared" si="140"/>
        <v>0</v>
      </c>
      <c r="U243" s="67">
        <f t="shared" si="140"/>
        <v>0</v>
      </c>
      <c r="V243" s="67">
        <f t="shared" si="140"/>
        <v>0</v>
      </c>
      <c r="W243" s="67">
        <f t="shared" si="140"/>
        <v>0</v>
      </c>
      <c r="X243" s="67">
        <f t="shared" si="140"/>
        <v>0</v>
      </c>
      <c r="Y243" s="67">
        <f t="shared" si="140"/>
        <v>0</v>
      </c>
      <c r="Z243" s="67">
        <f t="shared" si="140"/>
        <v>0</v>
      </c>
      <c r="AA243" s="67">
        <f t="shared" si="140"/>
        <v>0</v>
      </c>
      <c r="AB243" s="67">
        <f t="shared" si="140"/>
        <v>0</v>
      </c>
      <c r="AC243" s="67">
        <f t="shared" si="140"/>
        <v>0</v>
      </c>
      <c r="AD243" s="67">
        <f t="shared" si="140"/>
        <v>0</v>
      </c>
      <c r="AE243" s="67">
        <f t="shared" si="140"/>
        <v>0</v>
      </c>
      <c r="AF243" s="67">
        <f t="shared" si="140"/>
        <v>0</v>
      </c>
      <c r="AG243" s="67">
        <f t="shared" si="140"/>
        <v>0</v>
      </c>
      <c r="AH243" s="67">
        <f t="shared" si="140"/>
        <v>0</v>
      </c>
      <c r="AI243" s="67">
        <f t="shared" si="140"/>
        <v>0</v>
      </c>
      <c r="AJ243" s="67">
        <f t="shared" si="140"/>
        <v>0</v>
      </c>
      <c r="AK243" s="67">
        <f t="shared" si="140"/>
        <v>0</v>
      </c>
      <c r="AL243" s="67">
        <f t="shared" si="140"/>
        <v>0</v>
      </c>
      <c r="AM243" s="67">
        <f t="shared" si="140"/>
        <v>0</v>
      </c>
      <c r="AN243" s="67">
        <f t="shared" si="140"/>
        <v>0</v>
      </c>
      <c r="AO243" s="67">
        <f t="shared" si="140"/>
        <v>0</v>
      </c>
      <c r="AP243" s="67">
        <f t="shared" si="140"/>
        <v>0</v>
      </c>
      <c r="AQ243" s="67">
        <f t="shared" si="140"/>
        <v>0</v>
      </c>
      <c r="AR243" s="67">
        <f t="shared" si="140"/>
        <v>0</v>
      </c>
      <c r="AS243" s="67">
        <f t="shared" si="140"/>
        <v>0</v>
      </c>
      <c r="AT243" s="67">
        <f t="shared" si="140"/>
        <v>0</v>
      </c>
      <c r="AU243" s="67">
        <f t="shared" si="140"/>
        <v>0</v>
      </c>
      <c r="AV243" s="67">
        <f t="shared" si="140"/>
        <v>0</v>
      </c>
      <c r="AW243" s="67">
        <f t="shared" si="140"/>
        <v>0</v>
      </c>
      <c r="AX243" s="67">
        <f t="shared" si="140"/>
        <v>0</v>
      </c>
      <c r="AY243" s="67">
        <f t="shared" ref="AY243" si="141">AY29/AY200</f>
        <v>0</v>
      </c>
      <c r="AZ243" s="35" t="s">
        <v>62</v>
      </c>
      <c r="BA243" s="35"/>
      <c r="BB243" s="35"/>
      <c r="BC243" s="35"/>
      <c r="BD243" s="300"/>
      <c r="BF243" s="302"/>
      <c r="BG243" s="36"/>
      <c r="BH243" s="36"/>
      <c r="BI243" s="53"/>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row>
    <row r="244" spans="1:93" ht="12.75" x14ac:dyDescent="0.35">
      <c r="A244" s="48"/>
      <c r="B244" s="35" t="s">
        <v>168</v>
      </c>
      <c r="C244" s="35"/>
      <c r="D244" s="12"/>
      <c r="E244" s="67"/>
      <c r="F244" s="67"/>
      <c r="G244" s="67"/>
      <c r="H244" s="67"/>
      <c r="I244" s="67"/>
      <c r="J244" s="67"/>
      <c r="K244" s="67"/>
      <c r="L244" s="67"/>
      <c r="M244" s="67"/>
      <c r="N244" s="67"/>
      <c r="O244" s="67"/>
      <c r="P244" s="67"/>
      <c r="Q244" s="67"/>
      <c r="R244" s="67"/>
      <c r="S244" s="67"/>
      <c r="T244" s="67"/>
      <c r="U244" s="68"/>
      <c r="V244" s="68"/>
      <c r="W244" s="67"/>
      <c r="X244" s="68"/>
      <c r="Y244" s="67"/>
      <c r="Z244" s="67"/>
      <c r="AA244" s="69"/>
      <c r="AB244" s="67"/>
      <c r="AC244" s="67"/>
      <c r="AD244" s="68"/>
      <c r="AE244" s="67"/>
      <c r="AF244" s="67"/>
      <c r="AG244" s="67"/>
      <c r="AH244" s="67"/>
      <c r="AI244" s="67"/>
      <c r="AJ244" s="67"/>
      <c r="AK244" s="67"/>
      <c r="AL244" s="67"/>
      <c r="AM244" s="67"/>
      <c r="AN244" s="67"/>
      <c r="AO244" s="67"/>
      <c r="AP244" s="67"/>
      <c r="AQ244" s="67"/>
      <c r="AR244" s="67"/>
      <c r="AS244" s="67"/>
      <c r="AT244" s="12"/>
      <c r="AU244" s="12"/>
      <c r="AV244" s="12"/>
      <c r="AW244" s="12"/>
      <c r="AX244" s="12"/>
      <c r="AY244" s="12"/>
      <c r="AZ244" s="35" t="s">
        <v>168</v>
      </c>
      <c r="BA244" s="35"/>
      <c r="BB244" s="35"/>
      <c r="BC244" s="35"/>
      <c r="BD244" s="300"/>
      <c r="BF244"/>
      <c r="BG244" s="36"/>
      <c r="BH244" s="36"/>
      <c r="BI244" s="53"/>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row>
    <row r="245" spans="1:93" ht="12.75" x14ac:dyDescent="0.35">
      <c r="A245" s="48"/>
      <c r="B245" s="35" t="s">
        <v>165</v>
      </c>
      <c r="C245" s="35"/>
      <c r="D245" s="12"/>
      <c r="E245" s="67"/>
      <c r="F245" s="67"/>
      <c r="G245" s="67"/>
      <c r="H245" s="67"/>
      <c r="I245" s="67"/>
      <c r="J245" s="67"/>
      <c r="K245" s="67"/>
      <c r="L245" s="67"/>
      <c r="M245" s="67"/>
      <c r="N245" s="67"/>
      <c r="O245" s="67"/>
      <c r="P245" s="67"/>
      <c r="Q245" s="67"/>
      <c r="R245" s="67"/>
      <c r="S245" s="67"/>
      <c r="T245" s="67"/>
      <c r="U245" s="68"/>
      <c r="V245" s="68"/>
      <c r="W245" s="67"/>
      <c r="X245" s="68"/>
      <c r="Y245" s="67"/>
      <c r="Z245" s="67"/>
      <c r="AA245" s="69"/>
      <c r="AB245" s="67"/>
      <c r="AC245" s="67"/>
      <c r="AD245" s="68"/>
      <c r="AE245" s="67"/>
      <c r="AF245" s="67"/>
      <c r="AG245" s="67"/>
      <c r="AH245" s="67"/>
      <c r="AI245" s="67"/>
      <c r="AJ245" s="67"/>
      <c r="AK245" s="67"/>
      <c r="AL245" s="67"/>
      <c r="AM245" s="67"/>
      <c r="AN245" s="67"/>
      <c r="AO245" s="67"/>
      <c r="AP245" s="67"/>
      <c r="AQ245" s="67"/>
      <c r="AR245" s="67"/>
      <c r="AS245" s="67"/>
      <c r="AT245" s="12"/>
      <c r="AU245" s="12"/>
      <c r="AV245" s="12"/>
      <c r="AW245" s="12"/>
      <c r="AX245" s="12"/>
      <c r="AY245" s="12"/>
      <c r="AZ245" s="35" t="s">
        <v>165</v>
      </c>
      <c r="BA245" s="35"/>
      <c r="BB245" s="35"/>
      <c r="BC245" s="35"/>
      <c r="BD245" s="300"/>
      <c r="BE245" s="35"/>
      <c r="BF245"/>
      <c r="BG245" s="36"/>
      <c r="BH245" s="36"/>
      <c r="BI245" s="53"/>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row>
    <row r="246" spans="1:93" ht="12.75" x14ac:dyDescent="0.35">
      <c r="A246" s="48"/>
      <c r="B246" s="35" t="s">
        <v>253</v>
      </c>
      <c r="C246" s="35"/>
      <c r="D246" s="12"/>
      <c r="E246" s="67">
        <f t="shared" ref="E246:AP246" si="142">E32/E200</f>
        <v>0</v>
      </c>
      <c r="F246" s="67">
        <f t="shared" si="142"/>
        <v>0</v>
      </c>
      <c r="G246" s="67">
        <f t="shared" si="142"/>
        <v>0</v>
      </c>
      <c r="H246" s="67">
        <f t="shared" si="142"/>
        <v>0</v>
      </c>
      <c r="I246" s="67">
        <f t="shared" si="142"/>
        <v>0</v>
      </c>
      <c r="J246" s="67">
        <f t="shared" si="142"/>
        <v>0</v>
      </c>
      <c r="K246" s="67">
        <f t="shared" si="142"/>
        <v>0</v>
      </c>
      <c r="L246" s="67">
        <f t="shared" si="142"/>
        <v>0</v>
      </c>
      <c r="M246" s="67">
        <f t="shared" si="142"/>
        <v>0</v>
      </c>
      <c r="N246" s="67">
        <f t="shared" si="142"/>
        <v>0</v>
      </c>
      <c r="O246" s="67">
        <f t="shared" si="142"/>
        <v>0</v>
      </c>
      <c r="P246" s="67">
        <f t="shared" si="142"/>
        <v>0</v>
      </c>
      <c r="Q246" s="67">
        <f t="shared" si="142"/>
        <v>0</v>
      </c>
      <c r="R246" s="67">
        <f t="shared" si="142"/>
        <v>0</v>
      </c>
      <c r="S246" s="67">
        <f t="shared" si="142"/>
        <v>0</v>
      </c>
      <c r="T246" s="67">
        <f t="shared" si="142"/>
        <v>0</v>
      </c>
      <c r="U246" s="67">
        <f t="shared" si="142"/>
        <v>0</v>
      </c>
      <c r="V246" s="67">
        <f t="shared" si="142"/>
        <v>0</v>
      </c>
      <c r="W246" s="67">
        <f t="shared" si="142"/>
        <v>0</v>
      </c>
      <c r="X246" s="67">
        <f t="shared" si="142"/>
        <v>0</v>
      </c>
      <c r="Y246" s="67">
        <f t="shared" si="142"/>
        <v>0</v>
      </c>
      <c r="Z246" s="67">
        <f t="shared" si="142"/>
        <v>0</v>
      </c>
      <c r="AA246" s="67">
        <f t="shared" si="142"/>
        <v>0</v>
      </c>
      <c r="AB246" s="67">
        <f t="shared" si="142"/>
        <v>0</v>
      </c>
      <c r="AC246" s="67">
        <f t="shared" si="142"/>
        <v>0</v>
      </c>
      <c r="AD246" s="67">
        <f t="shared" si="142"/>
        <v>0</v>
      </c>
      <c r="AE246" s="67">
        <f t="shared" si="142"/>
        <v>0</v>
      </c>
      <c r="AF246" s="67">
        <f t="shared" si="142"/>
        <v>0</v>
      </c>
      <c r="AG246" s="67">
        <f t="shared" si="142"/>
        <v>0</v>
      </c>
      <c r="AH246" s="67">
        <f t="shared" si="142"/>
        <v>0</v>
      </c>
      <c r="AI246" s="67">
        <f t="shared" si="142"/>
        <v>56.020965517241379</v>
      </c>
      <c r="AJ246" s="67">
        <f t="shared" si="142"/>
        <v>51.058451078295981</v>
      </c>
      <c r="AK246" s="67">
        <f t="shared" si="142"/>
        <v>0</v>
      </c>
      <c r="AL246" s="67">
        <f t="shared" si="142"/>
        <v>42.269233980379873</v>
      </c>
      <c r="AM246" s="67">
        <f t="shared" si="142"/>
        <v>0</v>
      </c>
      <c r="AN246" s="67">
        <f t="shared" si="142"/>
        <v>0</v>
      </c>
      <c r="AO246" s="67">
        <f t="shared" si="142"/>
        <v>0</v>
      </c>
      <c r="AP246" s="67">
        <f t="shared" si="142"/>
        <v>0</v>
      </c>
      <c r="AQ246" s="67">
        <f>AQ32/AR200</f>
        <v>0</v>
      </c>
      <c r="AR246" s="67">
        <f>AR32/AS200</f>
        <v>0</v>
      </c>
      <c r="AS246" s="67">
        <f t="shared" ref="AS246:AX246" si="143">AS32/AS200</f>
        <v>0</v>
      </c>
      <c r="AT246" s="67">
        <f t="shared" si="143"/>
        <v>0</v>
      </c>
      <c r="AU246" s="67">
        <f t="shared" si="143"/>
        <v>0</v>
      </c>
      <c r="AV246" s="67">
        <f t="shared" si="143"/>
        <v>0</v>
      </c>
      <c r="AW246" s="67">
        <f t="shared" si="143"/>
        <v>0</v>
      </c>
      <c r="AX246" s="67">
        <f t="shared" si="143"/>
        <v>0</v>
      </c>
      <c r="AY246" s="67">
        <f t="shared" ref="AY246" si="144">AY32/AY200</f>
        <v>0</v>
      </c>
      <c r="AZ246" s="35" t="s">
        <v>253</v>
      </c>
      <c r="BA246" s="35"/>
      <c r="BB246" s="35"/>
      <c r="BC246" s="35"/>
      <c r="BD246" s="300"/>
      <c r="BE246" s="35"/>
      <c r="BF246"/>
      <c r="BG246" s="36"/>
      <c r="BH246" s="36"/>
      <c r="BI246" s="53"/>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row>
    <row r="247" spans="1:93" ht="12.75" x14ac:dyDescent="0.35">
      <c r="A247" s="48"/>
      <c r="B247" s="35"/>
      <c r="C247" s="35"/>
      <c r="D247" s="12"/>
      <c r="E247" s="153"/>
      <c r="F247" s="153"/>
      <c r="G247" s="153"/>
      <c r="H247" s="153"/>
      <c r="I247" s="153"/>
      <c r="J247" s="153"/>
      <c r="K247" s="153"/>
      <c r="L247" s="153"/>
      <c r="M247" s="153"/>
      <c r="N247" s="153"/>
      <c r="O247" s="153"/>
      <c r="P247" s="153"/>
      <c r="Q247" s="153"/>
      <c r="R247" s="153"/>
      <c r="S247" s="153"/>
      <c r="T247" s="153"/>
      <c r="U247" s="154"/>
      <c r="V247" s="154"/>
      <c r="W247" s="153"/>
      <c r="X247" s="154"/>
      <c r="Y247" s="153"/>
      <c r="Z247" s="153"/>
      <c r="AA247" s="155"/>
      <c r="AB247" s="153"/>
      <c r="AC247" s="153"/>
      <c r="AD247" s="154"/>
      <c r="AE247" s="153"/>
      <c r="AF247" s="153"/>
      <c r="AG247" s="153"/>
      <c r="AH247" s="153"/>
      <c r="AI247" s="156"/>
      <c r="AJ247" s="156"/>
      <c r="AK247" s="156"/>
      <c r="AL247" s="156"/>
      <c r="AM247" s="156"/>
      <c r="AN247" s="156"/>
      <c r="AO247" s="35"/>
      <c r="AP247" s="35"/>
      <c r="AQ247" s="35"/>
      <c r="AR247" s="35"/>
      <c r="AS247" s="35"/>
      <c r="AT247" s="35"/>
      <c r="AU247" s="35"/>
      <c r="AV247" s="35"/>
      <c r="AW247" s="35"/>
      <c r="AX247" s="35"/>
      <c r="AY247" s="35"/>
      <c r="AZ247" s="35"/>
      <c r="BA247" s="35"/>
      <c r="BB247" s="35"/>
      <c r="BC247" s="35"/>
      <c r="BD247" s="300"/>
      <c r="BE247" s="35"/>
      <c r="BF247"/>
      <c r="BK247" s="35"/>
      <c r="BL247" s="35"/>
      <c r="BM247" s="35"/>
      <c r="BN247" s="35"/>
      <c r="BO247" s="35"/>
      <c r="BP247" s="35"/>
      <c r="BQ247" s="35"/>
      <c r="BR247" s="35"/>
      <c r="BS247" s="47"/>
      <c r="BT247" s="3"/>
      <c r="BU247" s="3"/>
      <c r="BV247" s="3"/>
      <c r="BW247" s="3"/>
      <c r="BX247" s="3"/>
      <c r="BY247" s="3"/>
      <c r="BZ247" s="3"/>
      <c r="CA247" s="3"/>
      <c r="CB247" s="3"/>
      <c r="CC247" s="3"/>
    </row>
    <row r="248" spans="1:93" ht="12.75" x14ac:dyDescent="0.35">
      <c r="A248" s="48"/>
      <c r="B248" s="35"/>
      <c r="C248" s="35"/>
      <c r="D248" s="12"/>
      <c r="E248" s="12"/>
      <c r="F248" s="12"/>
      <c r="G248" s="12"/>
      <c r="H248" s="12"/>
      <c r="I248" s="12"/>
      <c r="J248" s="12"/>
      <c r="K248" s="12"/>
      <c r="L248" s="12"/>
      <c r="M248" s="12"/>
      <c r="N248" s="12"/>
      <c r="O248" s="12"/>
      <c r="P248" s="12"/>
      <c r="Q248" s="12"/>
      <c r="R248" s="12"/>
      <c r="S248" s="12"/>
      <c r="T248" s="12"/>
      <c r="U248" s="43"/>
      <c r="V248" s="43"/>
      <c r="W248" s="12"/>
      <c r="X248" s="43"/>
      <c r="Y248" s="12"/>
      <c r="Z248" s="12"/>
      <c r="AA248" s="157"/>
      <c r="AB248" s="12"/>
      <c r="AC248" s="12"/>
      <c r="AD248" s="43"/>
      <c r="AE248" s="12"/>
      <c r="AF248" s="12"/>
      <c r="AG248" s="12"/>
      <c r="AH248" s="12"/>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00"/>
      <c r="BE248" s="35"/>
      <c r="BF248"/>
      <c r="BG248" s="46"/>
      <c r="BH248" s="46"/>
      <c r="BI248" s="35"/>
      <c r="BJ248" s="35"/>
      <c r="BK248" s="35"/>
      <c r="BL248" s="35"/>
      <c r="BM248" s="35"/>
      <c r="BN248" s="35"/>
      <c r="BO248" s="35"/>
      <c r="BP248" s="35"/>
      <c r="BQ248" s="35"/>
      <c r="BR248" s="35"/>
      <c r="BS248" s="47"/>
      <c r="BT248" s="3"/>
      <c r="BU248" s="3"/>
      <c r="BV248" s="3"/>
      <c r="BW248" s="3"/>
      <c r="BX248" s="3"/>
      <c r="BY248" s="3"/>
      <c r="BZ248" s="3"/>
      <c r="CA248" s="3"/>
      <c r="CB248" s="3"/>
      <c r="CC248" s="3"/>
    </row>
    <row r="249" spans="1:93" ht="12.75" x14ac:dyDescent="0.35">
      <c r="A249" s="51" t="s">
        <v>398</v>
      </c>
      <c r="B249" s="35"/>
      <c r="C249" s="35"/>
      <c r="D249" s="12"/>
      <c r="E249" s="158"/>
      <c r="F249" s="158"/>
      <c r="G249" s="158"/>
      <c r="H249" s="158"/>
      <c r="I249" s="158"/>
      <c r="J249" s="158"/>
      <c r="K249" s="158"/>
      <c r="L249" s="158"/>
      <c r="M249" s="158"/>
      <c r="N249" s="158"/>
      <c r="O249" s="158"/>
      <c r="P249" s="158"/>
      <c r="Q249" s="158"/>
      <c r="R249" s="158"/>
      <c r="S249" s="158"/>
      <c r="T249" s="158"/>
      <c r="U249" s="159"/>
      <c r="V249" s="159"/>
      <c r="W249" s="158"/>
      <c r="X249" s="159"/>
      <c r="Y249" s="158"/>
      <c r="Z249" s="158"/>
      <c r="AA249" s="160"/>
      <c r="AB249" s="158"/>
      <c r="AC249" s="158"/>
      <c r="AD249" s="159"/>
      <c r="AE249" s="158"/>
      <c r="AF249" s="158"/>
      <c r="AG249" s="158"/>
      <c r="AH249" s="158"/>
      <c r="AI249" s="161"/>
      <c r="AJ249" s="161"/>
      <c r="AK249" s="161"/>
      <c r="AL249" s="161"/>
      <c r="AM249" s="161"/>
      <c r="AN249" s="161"/>
      <c r="AO249" s="35"/>
      <c r="AP249" s="35"/>
      <c r="AQ249" s="35"/>
      <c r="AR249" s="35"/>
      <c r="AS249" s="35"/>
      <c r="AT249" s="35"/>
      <c r="AU249" s="35"/>
      <c r="AV249" s="35"/>
      <c r="AW249" s="35"/>
      <c r="AX249" s="35"/>
      <c r="AY249" s="35"/>
      <c r="AZ249" s="44" t="s">
        <v>456</v>
      </c>
      <c r="BA249" s="35"/>
      <c r="BB249" s="35"/>
      <c r="BC249" s="35"/>
      <c r="BD249" s="300"/>
      <c r="BE249" s="35"/>
      <c r="BF249"/>
      <c r="BG249" s="46"/>
      <c r="BH249" s="46"/>
      <c r="BI249" s="35"/>
      <c r="BJ249" s="35"/>
      <c r="BK249" s="35"/>
      <c r="BL249" s="35"/>
      <c r="BM249" s="35"/>
      <c r="BN249" s="35"/>
      <c r="BO249" s="35"/>
      <c r="BP249" s="35"/>
      <c r="BQ249" s="35"/>
      <c r="BR249" s="35"/>
      <c r="BS249" s="47"/>
      <c r="BT249" s="3"/>
      <c r="BU249" s="3"/>
      <c r="BV249" s="3"/>
      <c r="BW249" s="3"/>
      <c r="BX249" s="3"/>
      <c r="BY249" s="3"/>
      <c r="BZ249" s="3"/>
      <c r="CA249" s="3"/>
      <c r="CB249" s="3"/>
      <c r="CC249" s="3"/>
    </row>
    <row r="250" spans="1:93" x14ac:dyDescent="0.3">
      <c r="A250" s="48"/>
      <c r="B250" s="35" t="s">
        <v>68</v>
      </c>
      <c r="C250" s="35"/>
      <c r="D250" s="12"/>
      <c r="E250" s="67">
        <f t="shared" ref="E250:AX250" si="145">E43/E200</f>
        <v>241.73148678764724</v>
      </c>
      <c r="F250" s="67">
        <f t="shared" si="145"/>
        <v>326.91409356725143</v>
      </c>
      <c r="G250" s="67">
        <f t="shared" si="145"/>
        <v>338.54956337655472</v>
      </c>
      <c r="H250" s="67">
        <f t="shared" si="145"/>
        <v>282.25141632944542</v>
      </c>
      <c r="I250" s="67">
        <f t="shared" si="145"/>
        <v>147.21085511741248</v>
      </c>
      <c r="J250" s="67">
        <f t="shared" si="145"/>
        <v>128.05308016877638</v>
      </c>
      <c r="K250" s="67">
        <f t="shared" si="145"/>
        <v>147.01820745216517</v>
      </c>
      <c r="L250" s="67">
        <f t="shared" si="145"/>
        <v>134.47143690453044</v>
      </c>
      <c r="M250" s="67">
        <f t="shared" si="145"/>
        <v>123.51770753998477</v>
      </c>
      <c r="N250" s="67">
        <f t="shared" si="145"/>
        <v>114.97844002943341</v>
      </c>
      <c r="O250" s="67">
        <f t="shared" si="145"/>
        <v>102.85470024831501</v>
      </c>
      <c r="P250" s="67">
        <f t="shared" si="145"/>
        <v>104.55924219150027</v>
      </c>
      <c r="Q250" s="67">
        <f t="shared" si="145"/>
        <v>121.90655327663833</v>
      </c>
      <c r="R250" s="67">
        <f t="shared" si="145"/>
        <v>143.8522854851644</v>
      </c>
      <c r="S250" s="67">
        <f t="shared" si="145"/>
        <v>188.55085626911315</v>
      </c>
      <c r="T250" s="67">
        <f t="shared" si="145"/>
        <v>233.24809228039044</v>
      </c>
      <c r="U250" s="67">
        <f t="shared" si="145"/>
        <v>290.04298793779975</v>
      </c>
      <c r="V250" s="67">
        <f t="shared" si="145"/>
        <v>304.21760970791593</v>
      </c>
      <c r="W250" s="67">
        <f t="shared" si="145"/>
        <v>272.32413793103456</v>
      </c>
      <c r="X250" s="67">
        <f t="shared" si="145"/>
        <v>263.70528455284551</v>
      </c>
      <c r="Y250" s="67">
        <f t="shared" si="145"/>
        <v>289.08698583951451</v>
      </c>
      <c r="Z250" s="67">
        <f t="shared" si="145"/>
        <v>299.29684913217625</v>
      </c>
      <c r="AA250" s="67">
        <f t="shared" si="145"/>
        <v>336.48895958279013</v>
      </c>
      <c r="AB250" s="67">
        <f t="shared" si="145"/>
        <v>360.94937030912098</v>
      </c>
      <c r="AC250" s="67">
        <f t="shared" si="145"/>
        <v>257.00801205575789</v>
      </c>
      <c r="AD250" s="67">
        <f t="shared" si="145"/>
        <v>241.47000860056519</v>
      </c>
      <c r="AE250" s="67">
        <f t="shared" si="145"/>
        <v>232.75806645076167</v>
      </c>
      <c r="AF250" s="67">
        <f t="shared" si="145"/>
        <v>211.70155886458821</v>
      </c>
      <c r="AG250" s="67">
        <f t="shared" si="145"/>
        <v>226.6308749014751</v>
      </c>
      <c r="AH250" s="67">
        <f t="shared" si="145"/>
        <v>227.19921026653506</v>
      </c>
      <c r="AI250" s="67">
        <f t="shared" si="145"/>
        <v>249.4608806366048</v>
      </c>
      <c r="AJ250" s="67">
        <f t="shared" si="145"/>
        <v>320.13409115053656</v>
      </c>
      <c r="AK250" s="67">
        <f t="shared" si="145"/>
        <v>130.88222670774462</v>
      </c>
      <c r="AL250" s="67">
        <f t="shared" si="145"/>
        <v>358.1699436443331</v>
      </c>
      <c r="AM250" s="67">
        <f t="shared" si="145"/>
        <v>337.56167823601476</v>
      </c>
      <c r="AN250" s="67">
        <f t="shared" si="145"/>
        <v>362.03937999999999</v>
      </c>
      <c r="AO250" s="67">
        <f t="shared" si="145"/>
        <v>336.71644846933754</v>
      </c>
      <c r="AP250" s="67">
        <f t="shared" si="145"/>
        <v>316.76636945144406</v>
      </c>
      <c r="AQ250" s="67">
        <f t="shared" si="145"/>
        <v>296.45972623867362</v>
      </c>
      <c r="AR250" s="67">
        <f t="shared" si="145"/>
        <v>334.87361164304866</v>
      </c>
      <c r="AS250" s="67">
        <f t="shared" si="145"/>
        <v>325.95275738754003</v>
      </c>
      <c r="AT250" s="67">
        <f t="shared" si="145"/>
        <v>350.51781275890642</v>
      </c>
      <c r="AU250" s="67">
        <f t="shared" si="145"/>
        <v>351.25423115214051</v>
      </c>
      <c r="AV250" s="67">
        <f t="shared" si="145"/>
        <v>396</v>
      </c>
      <c r="AW250" s="67">
        <f t="shared" si="145"/>
        <v>389.84105044920528</v>
      </c>
      <c r="AX250" s="67">
        <f t="shared" si="145"/>
        <v>370.29621728070902</v>
      </c>
      <c r="AY250" s="67">
        <f t="shared" ref="AY250" si="146">AY43/AY200</f>
        <v>544.80100953449244</v>
      </c>
      <c r="AZ250" s="35" t="s">
        <v>68</v>
      </c>
      <c r="BA250" s="35"/>
      <c r="BB250" s="35"/>
      <c r="BC250" s="12"/>
      <c r="BD250" s="300"/>
      <c r="BE250" s="35"/>
      <c r="BF250" s="302"/>
      <c r="BG250" s="50"/>
      <c r="BH250" s="43"/>
      <c r="BI250" s="52"/>
      <c r="BJ250" s="12"/>
      <c r="BK250" s="12"/>
      <c r="BL250" s="12"/>
      <c r="BM250" s="12"/>
      <c r="BN250" s="12"/>
      <c r="BO250" s="12"/>
      <c r="BP250" s="12"/>
      <c r="BQ250" s="35"/>
      <c r="BR250" s="35"/>
      <c r="BS250" s="47"/>
      <c r="BT250" s="3"/>
      <c r="BU250" s="3"/>
      <c r="BV250" s="3"/>
      <c r="BW250" s="3"/>
      <c r="BX250" s="3"/>
      <c r="BY250" s="3"/>
      <c r="BZ250" s="3"/>
      <c r="CA250" s="3"/>
      <c r="CB250" s="3"/>
      <c r="CC250" s="3"/>
    </row>
    <row r="251" spans="1:93" ht="12.75" x14ac:dyDescent="0.35">
      <c r="A251" s="48"/>
      <c r="B251" s="35" t="s">
        <v>69</v>
      </c>
      <c r="C251" s="35"/>
      <c r="D251" s="12"/>
      <c r="E251" s="67">
        <f t="shared" ref="E251:AX251" si="147">E44/E200</f>
        <v>0</v>
      </c>
      <c r="F251" s="67">
        <f t="shared" si="147"/>
        <v>0</v>
      </c>
      <c r="G251" s="67">
        <f t="shared" si="147"/>
        <v>0</v>
      </c>
      <c r="H251" s="67">
        <f t="shared" si="147"/>
        <v>0</v>
      </c>
      <c r="I251" s="67">
        <f t="shared" si="147"/>
        <v>0</v>
      </c>
      <c r="J251" s="67">
        <f t="shared" si="147"/>
        <v>0</v>
      </c>
      <c r="K251" s="67">
        <f t="shared" si="147"/>
        <v>0</v>
      </c>
      <c r="L251" s="67">
        <f t="shared" si="147"/>
        <v>0</v>
      </c>
      <c r="M251" s="67">
        <f t="shared" si="147"/>
        <v>0</v>
      </c>
      <c r="N251" s="67">
        <f t="shared" si="147"/>
        <v>0</v>
      </c>
      <c r="O251" s="67">
        <f t="shared" si="147"/>
        <v>0</v>
      </c>
      <c r="P251" s="67">
        <f t="shared" si="147"/>
        <v>0</v>
      </c>
      <c r="Q251" s="67">
        <f t="shared" si="147"/>
        <v>0</v>
      </c>
      <c r="R251" s="67">
        <f t="shared" si="147"/>
        <v>0</v>
      </c>
      <c r="S251" s="67">
        <f t="shared" si="147"/>
        <v>8.1078593272171258</v>
      </c>
      <c r="T251" s="67">
        <f t="shared" si="147"/>
        <v>8.3422064477965101</v>
      </c>
      <c r="U251" s="67">
        <f t="shared" si="147"/>
        <v>10.985234704258103</v>
      </c>
      <c r="V251" s="67">
        <f t="shared" si="147"/>
        <v>13.690588401298154</v>
      </c>
      <c r="W251" s="67">
        <f t="shared" si="147"/>
        <v>0</v>
      </c>
      <c r="X251" s="67">
        <f t="shared" si="147"/>
        <v>0</v>
      </c>
      <c r="Y251" s="67">
        <f t="shared" si="147"/>
        <v>0</v>
      </c>
      <c r="Z251" s="67">
        <f t="shared" si="147"/>
        <v>0</v>
      </c>
      <c r="AA251" s="67">
        <f t="shared" si="147"/>
        <v>0</v>
      </c>
      <c r="AB251" s="67">
        <f t="shared" si="147"/>
        <v>0</v>
      </c>
      <c r="AC251" s="67">
        <f t="shared" si="147"/>
        <v>0</v>
      </c>
      <c r="AD251" s="67">
        <f t="shared" si="147"/>
        <v>0</v>
      </c>
      <c r="AE251" s="67">
        <f t="shared" si="147"/>
        <v>0</v>
      </c>
      <c r="AF251" s="67">
        <f t="shared" si="147"/>
        <v>0</v>
      </c>
      <c r="AG251" s="67">
        <f t="shared" si="147"/>
        <v>0</v>
      </c>
      <c r="AH251" s="67">
        <f t="shared" si="147"/>
        <v>0</v>
      </c>
      <c r="AI251" s="67">
        <f t="shared" si="147"/>
        <v>0</v>
      </c>
      <c r="AJ251" s="67">
        <f t="shared" si="147"/>
        <v>0</v>
      </c>
      <c r="AK251" s="67">
        <f t="shared" si="147"/>
        <v>0</v>
      </c>
      <c r="AL251" s="67">
        <f t="shared" si="147"/>
        <v>0</v>
      </c>
      <c r="AM251" s="67">
        <f t="shared" si="147"/>
        <v>0</v>
      </c>
      <c r="AN251" s="67">
        <f t="shared" si="147"/>
        <v>0</v>
      </c>
      <c r="AO251" s="67">
        <f t="shared" si="147"/>
        <v>0</v>
      </c>
      <c r="AP251" s="67">
        <f t="shared" si="147"/>
        <v>0</v>
      </c>
      <c r="AQ251" s="67">
        <f t="shared" si="147"/>
        <v>0</v>
      </c>
      <c r="AR251" s="67">
        <f t="shared" si="147"/>
        <v>0</v>
      </c>
      <c r="AS251" s="67">
        <f t="shared" si="147"/>
        <v>0</v>
      </c>
      <c r="AT251" s="67">
        <f t="shared" si="147"/>
        <v>0</v>
      </c>
      <c r="AU251" s="67">
        <f t="shared" si="147"/>
        <v>0</v>
      </c>
      <c r="AV251" s="67">
        <f t="shared" si="147"/>
        <v>0</v>
      </c>
      <c r="AW251" s="67">
        <f t="shared" si="147"/>
        <v>0</v>
      </c>
      <c r="AX251" s="67">
        <f t="shared" si="147"/>
        <v>0</v>
      </c>
      <c r="AY251" s="67">
        <f t="shared" ref="AY251" si="148">AY44/AY200</f>
        <v>0</v>
      </c>
      <c r="AZ251" s="35" t="s">
        <v>69</v>
      </c>
      <c r="BA251" s="35"/>
      <c r="BB251" s="35"/>
      <c r="BC251" s="12"/>
      <c r="BD251" s="300"/>
      <c r="BE251" s="35"/>
      <c r="BF251"/>
      <c r="BG251" s="50"/>
      <c r="BH251" s="43"/>
      <c r="BI251" s="12"/>
      <c r="BJ251" s="12"/>
      <c r="BK251" s="12"/>
      <c r="BL251" s="12"/>
      <c r="BM251" s="12"/>
      <c r="BN251" s="12"/>
      <c r="BO251" s="12"/>
      <c r="BP251" s="12"/>
      <c r="BQ251" s="35"/>
      <c r="BR251" s="35"/>
      <c r="BS251" s="47"/>
      <c r="BT251" s="3"/>
      <c r="BU251" s="3"/>
      <c r="BV251" s="3"/>
      <c r="BW251" s="3"/>
      <c r="BX251" s="3"/>
      <c r="BY251" s="3"/>
      <c r="BZ251" s="3"/>
      <c r="CA251" s="3"/>
      <c r="CB251" s="3"/>
      <c r="CC251" s="3"/>
    </row>
    <row r="252" spans="1:93" x14ac:dyDescent="0.3">
      <c r="A252" s="48"/>
      <c r="B252" s="35" t="s">
        <v>70</v>
      </c>
      <c r="C252" s="35"/>
      <c r="D252" s="12"/>
      <c r="E252" s="67">
        <f t="shared" ref="E252:AX252" si="149">E45/E200</f>
        <v>114.58000636739891</v>
      </c>
      <c r="F252" s="67">
        <f t="shared" si="149"/>
        <v>131.953216374269</v>
      </c>
      <c r="G252" s="67">
        <f t="shared" si="149"/>
        <v>179.72384228631915</v>
      </c>
      <c r="H252" s="67">
        <f t="shared" si="149"/>
        <v>186.91435372530353</v>
      </c>
      <c r="I252" s="67">
        <f t="shared" si="149"/>
        <v>71.980859548072658</v>
      </c>
      <c r="J252" s="67">
        <f t="shared" si="149"/>
        <v>66.406708860759508</v>
      </c>
      <c r="K252" s="67">
        <f t="shared" si="149"/>
        <v>76.122255790533742</v>
      </c>
      <c r="L252" s="67">
        <f t="shared" si="149"/>
        <v>69.539062803811007</v>
      </c>
      <c r="M252" s="67">
        <f t="shared" si="149"/>
        <v>87.429055597867489</v>
      </c>
      <c r="N252" s="67">
        <f t="shared" si="149"/>
        <v>71.602097130242839</v>
      </c>
      <c r="O252" s="67">
        <f t="shared" si="149"/>
        <v>65.634905995033705</v>
      </c>
      <c r="P252" s="67">
        <f t="shared" si="149"/>
        <v>58.345212493599604</v>
      </c>
      <c r="Q252" s="67">
        <f t="shared" si="149"/>
        <v>96.509354677338678</v>
      </c>
      <c r="R252" s="67">
        <f t="shared" si="149"/>
        <v>108.9296551724138</v>
      </c>
      <c r="S252" s="67">
        <f t="shared" si="149"/>
        <v>166.81489296636087</v>
      </c>
      <c r="T252" s="67">
        <f t="shared" si="149"/>
        <v>188.20017746228928</v>
      </c>
      <c r="U252" s="67">
        <f t="shared" si="149"/>
        <v>203.14486266531028</v>
      </c>
      <c r="V252" s="67">
        <f t="shared" si="149"/>
        <v>209.338648229152</v>
      </c>
      <c r="W252" s="67">
        <f t="shared" si="149"/>
        <v>169.20656418778566</v>
      </c>
      <c r="X252" s="67">
        <f t="shared" si="149"/>
        <v>176.41501355013551</v>
      </c>
      <c r="Y252" s="67">
        <f t="shared" si="149"/>
        <v>203.73024949426838</v>
      </c>
      <c r="Z252" s="67">
        <f t="shared" si="149"/>
        <v>245.22157543391191</v>
      </c>
      <c r="AA252" s="67">
        <f t="shared" si="149"/>
        <v>233.83305606258151</v>
      </c>
      <c r="AB252" s="67">
        <f t="shared" si="149"/>
        <v>246.27797990077599</v>
      </c>
      <c r="AC252" s="67">
        <f t="shared" si="149"/>
        <v>142.95539369584327</v>
      </c>
      <c r="AD252" s="67">
        <f t="shared" si="149"/>
        <v>134.18080845312693</v>
      </c>
      <c r="AE252" s="67">
        <f t="shared" si="149"/>
        <v>122.46863380112751</v>
      </c>
      <c r="AF252" s="67">
        <f t="shared" si="149"/>
        <v>96.335365286179623</v>
      </c>
      <c r="AG252" s="67">
        <f t="shared" si="149"/>
        <v>71.012701272379246</v>
      </c>
      <c r="AH252" s="67">
        <f t="shared" si="149"/>
        <v>69.050740375123397</v>
      </c>
      <c r="AI252" s="67">
        <f t="shared" si="149"/>
        <v>75.65224403183025</v>
      </c>
      <c r="AJ252" s="67">
        <f t="shared" si="149"/>
        <v>105.47285668755977</v>
      </c>
      <c r="AK252" s="67">
        <f t="shared" si="149"/>
        <v>255.17239987251676</v>
      </c>
      <c r="AL252" s="67">
        <f t="shared" si="149"/>
        <v>111.03032769776664</v>
      </c>
      <c r="AM252" s="67">
        <f t="shared" si="149"/>
        <v>121.96445487954269</v>
      </c>
      <c r="AN252" s="67">
        <f t="shared" si="149"/>
        <v>127.14814000000001</v>
      </c>
      <c r="AO252" s="67">
        <f t="shared" si="149"/>
        <v>126.93499360173247</v>
      </c>
      <c r="AP252" s="67">
        <f t="shared" si="149"/>
        <v>197.36392711765848</v>
      </c>
      <c r="AQ252" s="67">
        <f t="shared" si="149"/>
        <v>211.19764796606901</v>
      </c>
      <c r="AR252" s="67">
        <f t="shared" si="149"/>
        <v>247.37437763309077</v>
      </c>
      <c r="AS252" s="67">
        <f t="shared" si="149"/>
        <v>273.39685676642199</v>
      </c>
      <c r="AT252" s="67">
        <f t="shared" si="149"/>
        <v>316.76424560434504</v>
      </c>
      <c r="AU252" s="67">
        <f t="shared" si="149"/>
        <v>326.74812200199119</v>
      </c>
      <c r="AV252" s="67">
        <f t="shared" si="149"/>
        <v>395</v>
      </c>
      <c r="AW252" s="67">
        <f t="shared" si="149"/>
        <v>385.94263994471322</v>
      </c>
      <c r="AX252" s="67">
        <f t="shared" si="149"/>
        <v>366.59325510790188</v>
      </c>
      <c r="AY252" s="67">
        <f t="shared" ref="AY252" si="150">AY45/AY200</f>
        <v>526.54154314558127</v>
      </c>
      <c r="AZ252" s="35" t="s">
        <v>70</v>
      </c>
      <c r="BA252" s="35"/>
      <c r="BB252" s="35"/>
      <c r="BC252" s="12"/>
      <c r="BD252" s="300"/>
      <c r="BE252" s="35"/>
      <c r="BF252" s="302"/>
      <c r="BG252" s="50"/>
      <c r="BH252" s="43"/>
      <c r="BI252" s="12"/>
      <c r="BJ252" s="12"/>
      <c r="BK252" s="12"/>
      <c r="BL252" s="12"/>
      <c r="BM252" s="12"/>
      <c r="BN252" s="12"/>
      <c r="BO252" s="12"/>
      <c r="BP252" s="12"/>
      <c r="BQ252" s="35"/>
      <c r="BR252" s="35"/>
      <c r="BS252" s="47"/>
      <c r="BT252" s="3"/>
      <c r="BU252" s="3"/>
      <c r="BV252" s="3"/>
      <c r="BW252" s="3"/>
      <c r="BX252" s="3"/>
      <c r="BY252" s="3"/>
      <c r="BZ252" s="3"/>
      <c r="CA252" s="3"/>
      <c r="CB252" s="3"/>
      <c r="CC252" s="3"/>
    </row>
    <row r="253" spans="1:93" x14ac:dyDescent="0.3">
      <c r="A253" s="48"/>
      <c r="B253" s="35" t="s">
        <v>71</v>
      </c>
      <c r="C253" s="35"/>
      <c r="D253" s="12"/>
      <c r="E253" s="67">
        <f t="shared" ref="E253:AX253" si="151">E46/E200</f>
        <v>227.72327284304362</v>
      </c>
      <c r="F253" s="67">
        <f t="shared" si="151"/>
        <v>261.59725146198832</v>
      </c>
      <c r="G253" s="67">
        <f t="shared" si="151"/>
        <v>311.68055041016146</v>
      </c>
      <c r="H253" s="67">
        <f t="shared" si="151"/>
        <v>245.1908117114973</v>
      </c>
      <c r="I253" s="67">
        <f t="shared" si="151"/>
        <v>119.21829862649535</v>
      </c>
      <c r="J253" s="67">
        <f t="shared" si="151"/>
        <v>92.826582278481027</v>
      </c>
      <c r="K253" s="67">
        <f t="shared" si="151"/>
        <v>84.529788519637478</v>
      </c>
      <c r="L253" s="67">
        <f t="shared" si="151"/>
        <v>89.940112774645158</v>
      </c>
      <c r="M253" s="67">
        <f t="shared" si="151"/>
        <v>81.414280274181266</v>
      </c>
      <c r="N253" s="67">
        <f t="shared" si="151"/>
        <v>62.677777777777784</v>
      </c>
      <c r="O253" s="67">
        <f t="shared" si="151"/>
        <v>68.836608726498767</v>
      </c>
      <c r="P253" s="67">
        <f t="shared" si="151"/>
        <v>62.774057006315083</v>
      </c>
      <c r="Q253" s="67">
        <f t="shared" si="151"/>
        <v>66.785225946306497</v>
      </c>
      <c r="R253" s="67">
        <f t="shared" si="151"/>
        <v>89.206511627906977</v>
      </c>
      <c r="S253" s="67">
        <f t="shared" si="151"/>
        <v>74.350795107033647</v>
      </c>
      <c r="T253" s="67">
        <f t="shared" si="151"/>
        <v>80.418870156758359</v>
      </c>
      <c r="U253" s="67">
        <f t="shared" si="151"/>
        <v>106.90108995785496</v>
      </c>
      <c r="V253" s="67">
        <f t="shared" si="151"/>
        <v>138.65700578524059</v>
      </c>
      <c r="W253" s="67">
        <f t="shared" si="151"/>
        <v>111.24198864423212</v>
      </c>
      <c r="X253" s="67">
        <f t="shared" si="151"/>
        <v>122.45097560975609</v>
      </c>
      <c r="Y253" s="67">
        <f t="shared" si="151"/>
        <v>118.22136210384356</v>
      </c>
      <c r="Z253" s="67">
        <f t="shared" si="151"/>
        <v>126.97255609104823</v>
      </c>
      <c r="AA253" s="67">
        <f t="shared" si="151"/>
        <v>117.6554631330487</v>
      </c>
      <c r="AB253" s="67">
        <f t="shared" si="151"/>
        <v>130.93610475364949</v>
      </c>
      <c r="AC253" s="67">
        <f t="shared" si="151"/>
        <v>89.400251161622506</v>
      </c>
      <c r="AD253" s="67">
        <f t="shared" si="151"/>
        <v>80.81344145472417</v>
      </c>
      <c r="AE253" s="67">
        <f t="shared" si="151"/>
        <v>78.217536284035035</v>
      </c>
      <c r="AF253" s="67">
        <f t="shared" si="151"/>
        <v>85.573103769194987</v>
      </c>
      <c r="AG253" s="67">
        <f t="shared" si="151"/>
        <v>86.638036257178257</v>
      </c>
      <c r="AH253" s="67">
        <f t="shared" si="151"/>
        <v>127.45925194691239</v>
      </c>
      <c r="AI253" s="67">
        <f t="shared" si="151"/>
        <v>128.56093368700266</v>
      </c>
      <c r="AJ253" s="67">
        <f t="shared" si="151"/>
        <v>165.52047168809094</v>
      </c>
      <c r="AK253" s="67">
        <f t="shared" si="151"/>
        <v>382.57881653033041</v>
      </c>
      <c r="AL253" s="67">
        <f t="shared" si="151"/>
        <v>257.8541014402004</v>
      </c>
      <c r="AM253" s="67">
        <f t="shared" si="151"/>
        <v>238.74628419763172</v>
      </c>
      <c r="AN253" s="67">
        <f t="shared" si="151"/>
        <v>242.22454000000002</v>
      </c>
      <c r="AO253" s="67">
        <f t="shared" si="151"/>
        <v>227.21697017422977</v>
      </c>
      <c r="AP253" s="67">
        <f t="shared" si="151"/>
        <v>194.5210118239969</v>
      </c>
      <c r="AQ253" s="67">
        <f t="shared" si="151"/>
        <v>182.92195874301137</v>
      </c>
      <c r="AR253" s="67">
        <f t="shared" si="151"/>
        <v>217.1277288395251</v>
      </c>
      <c r="AS253" s="67">
        <f t="shared" si="151"/>
        <v>211.39151138716358</v>
      </c>
      <c r="AT253" s="67">
        <f t="shared" si="151"/>
        <v>229.2126852618982</v>
      </c>
      <c r="AU253" s="67">
        <f t="shared" si="151"/>
        <v>230.76586116390627</v>
      </c>
      <c r="AV253" s="67">
        <f t="shared" si="151"/>
        <v>285</v>
      </c>
      <c r="AW253" s="67">
        <f t="shared" si="151"/>
        <v>282.63476157567385</v>
      </c>
      <c r="AX253" s="67">
        <f t="shared" si="151"/>
        <v>268.46475752851404</v>
      </c>
      <c r="AY253" s="67">
        <f t="shared" ref="AY253" si="152">AY46/AY200</f>
        <v>354.34212002243407</v>
      </c>
      <c r="AZ253" s="35" t="s">
        <v>71</v>
      </c>
      <c r="BA253" s="35"/>
      <c r="BB253" s="35"/>
      <c r="BC253" s="12"/>
      <c r="BD253" s="300"/>
      <c r="BE253" s="35"/>
      <c r="BF253" s="302"/>
      <c r="BG253" s="50"/>
      <c r="BH253" s="43"/>
      <c r="BI253" s="12"/>
      <c r="BJ253" s="12"/>
      <c r="BK253" s="12"/>
      <c r="BL253" s="12"/>
      <c r="BM253" s="12"/>
      <c r="BN253" s="12"/>
      <c r="BO253" s="12"/>
      <c r="BP253" s="12"/>
      <c r="BQ253" s="35"/>
      <c r="BR253" s="35"/>
      <c r="BS253" s="47"/>
      <c r="BT253" s="3"/>
      <c r="BU253" s="3"/>
      <c r="BV253" s="3"/>
      <c r="BW253" s="3"/>
      <c r="BX253" s="3"/>
      <c r="BY253" s="3"/>
      <c r="BZ253" s="3"/>
      <c r="CA253" s="3"/>
      <c r="CB253" s="3"/>
      <c r="CC253" s="3"/>
    </row>
    <row r="254" spans="1:93" x14ac:dyDescent="0.3">
      <c r="A254" s="48"/>
      <c r="B254" s="35" t="s">
        <v>52</v>
      </c>
      <c r="C254" s="35"/>
      <c r="D254" s="12"/>
      <c r="E254" s="67">
        <f t="shared" ref="E254:AX254" si="153">E47/E200</f>
        <v>37.714422158548231</v>
      </c>
      <c r="F254" s="67">
        <f t="shared" si="153"/>
        <v>33.64807017543859</v>
      </c>
      <c r="G254" s="67">
        <f t="shared" si="153"/>
        <v>50.155490870600694</v>
      </c>
      <c r="H254" s="67">
        <f t="shared" si="153"/>
        <v>71.167103070697465</v>
      </c>
      <c r="I254" s="67">
        <f t="shared" si="153"/>
        <v>41.239034116083296</v>
      </c>
      <c r="J254" s="67">
        <f t="shared" si="153"/>
        <v>30.228143459915614</v>
      </c>
      <c r="K254" s="67">
        <f t="shared" si="153"/>
        <v>28.858288016112791</v>
      </c>
      <c r="L254" s="67">
        <f t="shared" si="153"/>
        <v>52.209138635037924</v>
      </c>
      <c r="M254" s="67">
        <f t="shared" si="153"/>
        <v>55.636671744097484</v>
      </c>
      <c r="N254" s="67">
        <f t="shared" si="153"/>
        <v>58.942016188373806</v>
      </c>
      <c r="O254" s="67">
        <f t="shared" si="153"/>
        <v>57.630649166371064</v>
      </c>
      <c r="P254" s="67">
        <f t="shared" si="153"/>
        <v>62.196381635091321</v>
      </c>
      <c r="Q254" s="67">
        <f t="shared" si="153"/>
        <v>67.537735534433892</v>
      </c>
      <c r="R254" s="67">
        <f t="shared" si="153"/>
        <v>63.693087409783487</v>
      </c>
      <c r="S254" s="67">
        <f t="shared" si="153"/>
        <v>0</v>
      </c>
      <c r="T254" s="67">
        <f t="shared" si="153"/>
        <v>0</v>
      </c>
      <c r="U254" s="67">
        <f t="shared" si="153"/>
        <v>0</v>
      </c>
      <c r="V254" s="67">
        <f t="shared" si="153"/>
        <v>0</v>
      </c>
      <c r="W254" s="67">
        <f t="shared" si="153"/>
        <v>0</v>
      </c>
      <c r="X254" s="67">
        <f t="shared" si="153"/>
        <v>0</v>
      </c>
      <c r="Y254" s="67">
        <f t="shared" si="153"/>
        <v>0</v>
      </c>
      <c r="Z254" s="67">
        <f t="shared" si="153"/>
        <v>0</v>
      </c>
      <c r="AA254" s="67">
        <f t="shared" si="153"/>
        <v>0</v>
      </c>
      <c r="AB254" s="67">
        <f t="shared" si="153"/>
        <v>0</v>
      </c>
      <c r="AC254" s="67">
        <f t="shared" si="153"/>
        <v>0</v>
      </c>
      <c r="AD254" s="67">
        <f t="shared" si="153"/>
        <v>0</v>
      </c>
      <c r="AE254" s="67">
        <f t="shared" si="153"/>
        <v>0</v>
      </c>
      <c r="AF254" s="67">
        <f t="shared" si="153"/>
        <v>0</v>
      </c>
      <c r="AG254" s="67">
        <f t="shared" si="153"/>
        <v>0</v>
      </c>
      <c r="AH254" s="67">
        <f t="shared" si="153"/>
        <v>0</v>
      </c>
      <c r="AI254" s="67">
        <f t="shared" si="153"/>
        <v>0</v>
      </c>
      <c r="AJ254" s="67">
        <f t="shared" si="153"/>
        <v>0</v>
      </c>
      <c r="AK254" s="67">
        <f t="shared" si="153"/>
        <v>0</v>
      </c>
      <c r="AL254" s="67">
        <f t="shared" si="153"/>
        <v>0</v>
      </c>
      <c r="AM254" s="67">
        <f t="shared" si="153"/>
        <v>0</v>
      </c>
      <c r="AN254" s="67">
        <f t="shared" si="153"/>
        <v>0</v>
      </c>
      <c r="AO254" s="67">
        <f t="shared" si="153"/>
        <v>0</v>
      </c>
      <c r="AP254" s="67">
        <f t="shared" si="153"/>
        <v>0</v>
      </c>
      <c r="AQ254" s="67">
        <f t="shared" si="153"/>
        <v>0</v>
      </c>
      <c r="AR254" s="67">
        <f t="shared" si="153"/>
        <v>0</v>
      </c>
      <c r="AS254" s="67">
        <f t="shared" si="153"/>
        <v>0</v>
      </c>
      <c r="AT254" s="67">
        <f t="shared" si="153"/>
        <v>0</v>
      </c>
      <c r="AU254" s="67">
        <f t="shared" si="153"/>
        <v>0</v>
      </c>
      <c r="AV254" s="67">
        <f t="shared" si="153"/>
        <v>0</v>
      </c>
      <c r="AW254" s="67">
        <f t="shared" si="153"/>
        <v>0</v>
      </c>
      <c r="AX254" s="67">
        <f t="shared" si="153"/>
        <v>0</v>
      </c>
      <c r="AY254" s="67">
        <f t="shared" ref="AY254" si="154">AY47/AY200</f>
        <v>0</v>
      </c>
      <c r="AZ254" s="35" t="s">
        <v>52</v>
      </c>
      <c r="BA254" s="35"/>
      <c r="BB254" s="35"/>
      <c r="BC254" s="12"/>
      <c r="BD254" s="300"/>
      <c r="BE254" s="35"/>
      <c r="BF254" s="302"/>
      <c r="BG254" s="50"/>
      <c r="BH254" s="43"/>
      <c r="BI254" s="12"/>
      <c r="BJ254" s="12"/>
      <c r="BK254" s="12"/>
      <c r="BL254" s="12"/>
      <c r="BM254" s="12"/>
      <c r="BN254" s="12"/>
      <c r="BO254" s="12"/>
      <c r="BP254" s="12"/>
      <c r="BQ254" s="35"/>
      <c r="BR254" s="35"/>
      <c r="BS254" s="47"/>
      <c r="BT254" s="3"/>
      <c r="BU254" s="3"/>
      <c r="BV254" s="3"/>
      <c r="BW254" s="3"/>
      <c r="BX254" s="3"/>
      <c r="BY254" s="3"/>
      <c r="BZ254" s="3"/>
      <c r="CA254" s="3"/>
      <c r="CB254" s="3"/>
      <c r="CC254" s="3"/>
    </row>
    <row r="255" spans="1:93" ht="12.75" x14ac:dyDescent="0.35">
      <c r="A255" s="48"/>
      <c r="B255" s="35" t="s">
        <v>53</v>
      </c>
      <c r="C255" s="35"/>
      <c r="D255" s="12"/>
      <c r="E255" s="67">
        <f>E112/E200</f>
        <v>0</v>
      </c>
      <c r="F255" s="67">
        <f t="shared" ref="F255:AP255" si="155">F112/F200</f>
        <v>0</v>
      </c>
      <c r="G255" s="67">
        <f t="shared" si="155"/>
        <v>0</v>
      </c>
      <c r="H255" s="67">
        <f t="shared" si="155"/>
        <v>0</v>
      </c>
      <c r="I255" s="67">
        <f t="shared" si="155"/>
        <v>0</v>
      </c>
      <c r="J255" s="67">
        <f t="shared" si="155"/>
        <v>0</v>
      </c>
      <c r="K255" s="67">
        <f t="shared" si="155"/>
        <v>0</v>
      </c>
      <c r="L255" s="67">
        <f t="shared" si="155"/>
        <v>34.440482208827532</v>
      </c>
      <c r="M255" s="67">
        <f t="shared" si="155"/>
        <v>21.051713632901755</v>
      </c>
      <c r="N255" s="67">
        <f t="shared" si="155"/>
        <v>20.7542310522443</v>
      </c>
      <c r="O255" s="67">
        <f t="shared" si="155"/>
        <v>12.006385242993971</v>
      </c>
      <c r="P255" s="67">
        <f t="shared" si="155"/>
        <v>25.032599419696197</v>
      </c>
      <c r="Q255" s="67">
        <f t="shared" si="155"/>
        <v>0</v>
      </c>
      <c r="R255" s="67">
        <f t="shared" si="155"/>
        <v>0</v>
      </c>
      <c r="S255" s="67">
        <f t="shared" si="155"/>
        <v>0</v>
      </c>
      <c r="T255" s="67">
        <f t="shared" si="155"/>
        <v>0</v>
      </c>
      <c r="U255" s="67">
        <f t="shared" si="155"/>
        <v>0</v>
      </c>
      <c r="V255" s="67">
        <f t="shared" si="155"/>
        <v>13.213009736136591</v>
      </c>
      <c r="W255" s="67">
        <f t="shared" si="155"/>
        <v>0</v>
      </c>
      <c r="X255" s="67">
        <f t="shared" si="155"/>
        <v>0</v>
      </c>
      <c r="Y255" s="67">
        <f t="shared" si="155"/>
        <v>0</v>
      </c>
      <c r="Z255" s="67">
        <f t="shared" si="155"/>
        <v>0</v>
      </c>
      <c r="AA255" s="67">
        <f t="shared" si="155"/>
        <v>0</v>
      </c>
      <c r="AB255" s="67">
        <f t="shared" si="155"/>
        <v>0</v>
      </c>
      <c r="AC255" s="67">
        <f t="shared" si="155"/>
        <v>0</v>
      </c>
      <c r="AD255" s="67">
        <f t="shared" si="155"/>
        <v>0</v>
      </c>
      <c r="AE255" s="67">
        <f t="shared" si="155"/>
        <v>0</v>
      </c>
      <c r="AF255" s="67">
        <f t="shared" si="155"/>
        <v>0</v>
      </c>
      <c r="AG255" s="67">
        <f t="shared" si="155"/>
        <v>0</v>
      </c>
      <c r="AH255" s="67">
        <f t="shared" si="155"/>
        <v>102.7098826368323</v>
      </c>
      <c r="AI255" s="67">
        <f t="shared" si="155"/>
        <v>82.954122015915118</v>
      </c>
      <c r="AJ255" s="67">
        <f t="shared" si="155"/>
        <v>64.721980240093501</v>
      </c>
      <c r="AK255" s="67">
        <f t="shared" si="155"/>
        <v>120.09523000106236</v>
      </c>
      <c r="AL255" s="67">
        <f t="shared" si="155"/>
        <v>0</v>
      </c>
      <c r="AM255" s="67">
        <f t="shared" si="155"/>
        <v>58.736423029808087</v>
      </c>
      <c r="AN255" s="67">
        <f t="shared" si="155"/>
        <v>29.671660000000003</v>
      </c>
      <c r="AO255" s="67">
        <f t="shared" si="155"/>
        <v>27.652505167831482</v>
      </c>
      <c r="AP255" s="67">
        <f t="shared" si="155"/>
        <v>50.297732118627643</v>
      </c>
      <c r="AQ255" s="67">
        <f t="shared" ref="AQ255:AV255" si="156">AQ112/AQ200</f>
        <v>60.901484480431854</v>
      </c>
      <c r="AR255" s="67">
        <f t="shared" si="156"/>
        <v>66.97472232860973</v>
      </c>
      <c r="AS255" s="67">
        <f t="shared" si="156"/>
        <v>97.679653679653683</v>
      </c>
      <c r="AT255" s="67">
        <f t="shared" si="156"/>
        <v>95.548559329835228</v>
      </c>
      <c r="AU255" s="67">
        <f t="shared" si="156"/>
        <v>99.045524481853576</v>
      </c>
      <c r="AV255" s="67">
        <f t="shared" si="156"/>
        <v>130</v>
      </c>
      <c r="AW255" s="67">
        <f t="shared" ref="AW255:AX255" si="157">AW112/AW200</f>
        <v>126.69834139599172</v>
      </c>
      <c r="AX255" s="67">
        <f t="shared" si="157"/>
        <v>120.34627061623043</v>
      </c>
      <c r="AY255" s="67">
        <f t="shared" ref="AY255" si="158">AY112/AY200</f>
        <v>218.39044948321447</v>
      </c>
      <c r="AZ255" s="35" t="s">
        <v>53</v>
      </c>
      <c r="BA255" s="35"/>
      <c r="BB255" s="35"/>
      <c r="BC255" s="12"/>
      <c r="BD255" s="300"/>
      <c r="BE255" s="35"/>
      <c r="BF255"/>
      <c r="BG255" s="50"/>
      <c r="BH255" s="43"/>
      <c r="BI255" s="12"/>
      <c r="BJ255" s="12"/>
      <c r="BK255" s="12"/>
      <c r="BL255" s="12"/>
      <c r="BM255" s="12"/>
      <c r="BN255" s="12"/>
      <c r="BO255" s="12"/>
      <c r="BP255" s="12"/>
      <c r="BQ255" s="35"/>
      <c r="BR255" s="35"/>
      <c r="BS255" s="47"/>
      <c r="BT255" s="3"/>
      <c r="BU255" s="3"/>
      <c r="BV255" s="3"/>
      <c r="BW255" s="3"/>
      <c r="BX255" s="3"/>
      <c r="BY255" s="3"/>
      <c r="BZ255" s="3"/>
      <c r="CA255" s="3"/>
      <c r="CB255" s="3"/>
      <c r="CC255" s="3"/>
    </row>
    <row r="256" spans="1:93" ht="12.75" x14ac:dyDescent="0.35">
      <c r="A256" s="48"/>
      <c r="B256" s="35" t="s">
        <v>342</v>
      </c>
      <c r="C256" s="35"/>
      <c r="D256" s="12"/>
      <c r="E256" s="67">
        <f t="shared" ref="E256:AX256" si="159">E48/E200</f>
        <v>0</v>
      </c>
      <c r="F256" s="67">
        <f t="shared" si="159"/>
        <v>0</v>
      </c>
      <c r="G256" s="67">
        <f t="shared" si="159"/>
        <v>0</v>
      </c>
      <c r="H256" s="67">
        <f t="shared" si="159"/>
        <v>0</v>
      </c>
      <c r="I256" s="67">
        <f t="shared" si="159"/>
        <v>0</v>
      </c>
      <c r="J256" s="67">
        <f t="shared" si="159"/>
        <v>2.8562025316455699</v>
      </c>
      <c r="K256" s="67">
        <f t="shared" si="159"/>
        <v>4.5446122860020148</v>
      </c>
      <c r="L256" s="67">
        <f t="shared" si="159"/>
        <v>4.3873225743729343</v>
      </c>
      <c r="M256" s="67">
        <f t="shared" si="159"/>
        <v>3.651827875095202</v>
      </c>
      <c r="N256" s="67">
        <f t="shared" si="159"/>
        <v>3.9433038999264167</v>
      </c>
      <c r="O256" s="67">
        <f t="shared" si="159"/>
        <v>3.4018091521816252</v>
      </c>
      <c r="P256" s="67">
        <f t="shared" si="159"/>
        <v>3.4660522273425505</v>
      </c>
      <c r="Q256" s="67">
        <f t="shared" si="159"/>
        <v>3.3862931465732875</v>
      </c>
      <c r="R256" s="67">
        <f t="shared" si="159"/>
        <v>4.1617642341619892</v>
      </c>
      <c r="S256" s="67">
        <f t="shared" si="159"/>
        <v>4.6577064220183493</v>
      </c>
      <c r="T256" s="67">
        <f t="shared" si="159"/>
        <v>5.6727003845016268</v>
      </c>
      <c r="U256" s="67">
        <f t="shared" si="159"/>
        <v>7.7060601656735939</v>
      </c>
      <c r="V256" s="67">
        <f t="shared" si="159"/>
        <v>0</v>
      </c>
      <c r="W256" s="67">
        <f t="shared" si="159"/>
        <v>12.655338595762361</v>
      </c>
      <c r="X256" s="67">
        <f t="shared" si="159"/>
        <v>40.358373983739838</v>
      </c>
      <c r="Y256" s="67">
        <f t="shared" si="159"/>
        <v>43.971652056641943</v>
      </c>
      <c r="Z256" s="67">
        <f t="shared" si="159"/>
        <v>57.238451268357814</v>
      </c>
      <c r="AA256" s="67">
        <f t="shared" si="159"/>
        <v>63.058584093872234</v>
      </c>
      <c r="AB256" s="67">
        <f t="shared" si="159"/>
        <v>62.143569520417252</v>
      </c>
      <c r="AC256" s="67">
        <f t="shared" si="159"/>
        <v>60.17530138971015</v>
      </c>
      <c r="AD256" s="67">
        <f t="shared" si="159"/>
        <v>106.73473399680552</v>
      </c>
      <c r="AE256" s="67">
        <f t="shared" si="159"/>
        <v>124.90447403142618</v>
      </c>
      <c r="AF256" s="67">
        <f t="shared" si="159"/>
        <v>70.517128834180482</v>
      </c>
      <c r="AG256" s="67">
        <f t="shared" si="159"/>
        <v>68.325425137273101</v>
      </c>
      <c r="AH256" s="67">
        <f t="shared" si="159"/>
        <v>51.752772514620368</v>
      </c>
      <c r="AI256" s="67">
        <f t="shared" si="159"/>
        <v>52.898474033272841</v>
      </c>
      <c r="AJ256" s="67">
        <f t="shared" si="159"/>
        <v>75.486177482138118</v>
      </c>
      <c r="AK256" s="67">
        <f t="shared" si="159"/>
        <v>37.136099688478168</v>
      </c>
      <c r="AL256" s="67">
        <f t="shared" si="159"/>
        <v>94.60195453982665</v>
      </c>
      <c r="AM256" s="67">
        <f t="shared" si="159"/>
        <v>109.62231157011284</v>
      </c>
      <c r="AN256" s="67">
        <f t="shared" si="159"/>
        <v>98.127588899872919</v>
      </c>
      <c r="AO256" s="67">
        <f t="shared" si="159"/>
        <v>94.360764666785158</v>
      </c>
      <c r="AP256" s="67">
        <f t="shared" si="159"/>
        <v>92.385141406226694</v>
      </c>
      <c r="AQ256" s="67">
        <f t="shared" si="159"/>
        <v>92.538750445862505</v>
      </c>
      <c r="AR256" s="67">
        <f t="shared" si="159"/>
        <v>91.120548178987661</v>
      </c>
      <c r="AS256" s="67">
        <f t="shared" si="159"/>
        <v>91.966097294564449</v>
      </c>
      <c r="AT256" s="67">
        <f t="shared" si="159"/>
        <v>92.559223472233626</v>
      </c>
      <c r="AU256" s="67">
        <f t="shared" si="159"/>
        <v>90.95411955040187</v>
      </c>
      <c r="AV256" s="67">
        <f t="shared" si="159"/>
        <v>90.783548766157466</v>
      </c>
      <c r="AW256" s="67">
        <f t="shared" si="159"/>
        <v>88.903187706383648</v>
      </c>
      <c r="AX256" s="67">
        <f t="shared" si="159"/>
        <v>84.445991703380415</v>
      </c>
      <c r="AY256" s="67">
        <f t="shared" ref="AY256" si="160">AY48/AY200</f>
        <v>119.90161405937789</v>
      </c>
      <c r="AZ256" s="35" t="s">
        <v>342</v>
      </c>
      <c r="BA256" s="35"/>
      <c r="BB256" s="35"/>
      <c r="BC256" s="12"/>
      <c r="BD256" s="300"/>
      <c r="BE256" s="35"/>
      <c r="BF256"/>
      <c r="BG256" s="50"/>
      <c r="BH256" s="43"/>
      <c r="BI256" s="12"/>
      <c r="BJ256" s="12"/>
      <c r="BK256" s="12"/>
      <c r="BL256" s="12"/>
      <c r="BM256" s="12"/>
      <c r="BN256" s="12"/>
      <c r="BO256" s="12"/>
      <c r="BP256" s="12"/>
      <c r="BQ256" s="35"/>
      <c r="BR256" s="35"/>
      <c r="BS256" s="47"/>
      <c r="BT256" s="3"/>
      <c r="BU256" s="3"/>
      <c r="BV256" s="3"/>
      <c r="BW256" s="3"/>
      <c r="BX256" s="3"/>
      <c r="BY256" s="3"/>
      <c r="BZ256" s="3"/>
      <c r="CA256" s="3"/>
      <c r="CB256" s="3"/>
      <c r="CC256" s="3"/>
    </row>
    <row r="257" spans="1:81" ht="12.75" x14ac:dyDescent="0.35">
      <c r="A257" s="48"/>
      <c r="B257" s="35" t="s">
        <v>173</v>
      </c>
      <c r="C257" s="35"/>
      <c r="D257" s="12"/>
      <c r="E257" s="67">
        <f t="shared" ref="E257:AX257" si="161">E49/E200</f>
        <v>0</v>
      </c>
      <c r="F257" s="67">
        <f t="shared" si="161"/>
        <v>0</v>
      </c>
      <c r="G257" s="67">
        <f t="shared" si="161"/>
        <v>0</v>
      </c>
      <c r="H257" s="67">
        <f t="shared" si="161"/>
        <v>0</v>
      </c>
      <c r="I257" s="67">
        <f t="shared" si="161"/>
        <v>0</v>
      </c>
      <c r="J257" s="67">
        <f t="shared" si="161"/>
        <v>0</v>
      </c>
      <c r="K257" s="67">
        <f t="shared" si="161"/>
        <v>0</v>
      </c>
      <c r="L257" s="67">
        <f t="shared" si="161"/>
        <v>0</v>
      </c>
      <c r="M257" s="67">
        <f t="shared" si="161"/>
        <v>0</v>
      </c>
      <c r="N257" s="67">
        <f t="shared" si="161"/>
        <v>0</v>
      </c>
      <c r="O257" s="67">
        <f t="shared" si="161"/>
        <v>0</v>
      </c>
      <c r="P257" s="67">
        <f t="shared" si="161"/>
        <v>0</v>
      </c>
      <c r="Q257" s="67">
        <f t="shared" si="161"/>
        <v>0</v>
      </c>
      <c r="R257" s="67">
        <f t="shared" si="161"/>
        <v>0</v>
      </c>
      <c r="S257" s="67">
        <f t="shared" si="161"/>
        <v>0</v>
      </c>
      <c r="T257" s="67">
        <f t="shared" si="161"/>
        <v>0</v>
      </c>
      <c r="U257" s="67">
        <f t="shared" si="161"/>
        <v>0</v>
      </c>
      <c r="V257" s="67">
        <f t="shared" si="161"/>
        <v>0</v>
      </c>
      <c r="W257" s="67">
        <f t="shared" si="161"/>
        <v>0</v>
      </c>
      <c r="X257" s="67">
        <f t="shared" si="161"/>
        <v>0</v>
      </c>
      <c r="Y257" s="67">
        <f t="shared" si="161"/>
        <v>0</v>
      </c>
      <c r="Z257" s="67">
        <f t="shared" si="161"/>
        <v>0</v>
      </c>
      <c r="AA257" s="67">
        <f t="shared" si="161"/>
        <v>0</v>
      </c>
      <c r="AB257" s="67">
        <f t="shared" si="161"/>
        <v>0</v>
      </c>
      <c r="AC257" s="67">
        <f t="shared" si="161"/>
        <v>78.065829461258318</v>
      </c>
      <c r="AD257" s="67">
        <f t="shared" si="161"/>
        <v>83.308539132571582</v>
      </c>
      <c r="AE257" s="67">
        <f t="shared" si="161"/>
        <v>80.653376514333701</v>
      </c>
      <c r="AF257" s="67">
        <f t="shared" si="161"/>
        <v>77.567031177291767</v>
      </c>
      <c r="AG257" s="67">
        <f t="shared" si="161"/>
        <v>71.139736516158095</v>
      </c>
      <c r="AH257" s="67">
        <f t="shared" si="161"/>
        <v>29.080508939344089</v>
      </c>
      <c r="AI257" s="67">
        <f t="shared" si="161"/>
        <v>29.68632360742706</v>
      </c>
      <c r="AJ257" s="67">
        <f t="shared" si="161"/>
        <v>35.956655688940828</v>
      </c>
      <c r="AK257" s="67">
        <f t="shared" si="161"/>
        <v>0</v>
      </c>
      <c r="AL257" s="67">
        <f t="shared" si="161"/>
        <v>0</v>
      </c>
      <c r="AM257" s="67">
        <f t="shared" si="161"/>
        <v>0</v>
      </c>
      <c r="AN257" s="67">
        <f t="shared" si="161"/>
        <v>0</v>
      </c>
      <c r="AO257" s="67">
        <f t="shared" si="161"/>
        <v>0</v>
      </c>
      <c r="AP257" s="67">
        <f t="shared" si="161"/>
        <v>0</v>
      </c>
      <c r="AQ257" s="67">
        <f t="shared" si="161"/>
        <v>0</v>
      </c>
      <c r="AR257" s="67">
        <f t="shared" si="161"/>
        <v>0</v>
      </c>
      <c r="AS257" s="67">
        <f t="shared" si="161"/>
        <v>0</v>
      </c>
      <c r="AT257" s="67">
        <f t="shared" si="161"/>
        <v>0</v>
      </c>
      <c r="AU257" s="67">
        <f t="shared" si="161"/>
        <v>0</v>
      </c>
      <c r="AV257" s="67">
        <f t="shared" si="161"/>
        <v>0</v>
      </c>
      <c r="AW257" s="67">
        <f t="shared" si="161"/>
        <v>0</v>
      </c>
      <c r="AX257" s="67">
        <f t="shared" si="161"/>
        <v>0</v>
      </c>
      <c r="AY257" s="67">
        <f t="shared" ref="AY257" si="162">AY49/AY200</f>
        <v>0</v>
      </c>
      <c r="AZ257" s="35" t="s">
        <v>44</v>
      </c>
      <c r="BA257" s="35"/>
      <c r="BB257" s="35"/>
      <c r="BC257" s="12"/>
      <c r="BD257" s="300"/>
      <c r="BE257" s="35"/>
      <c r="BF257"/>
      <c r="BG257" s="50"/>
      <c r="BH257" s="43"/>
      <c r="BI257" s="13"/>
      <c r="BJ257" s="13"/>
      <c r="BK257" s="13"/>
      <c r="BL257" s="12"/>
      <c r="BM257" s="12"/>
      <c r="BN257" s="12"/>
      <c r="BO257" s="12"/>
      <c r="BP257" s="12"/>
      <c r="BQ257" s="35"/>
      <c r="BR257" s="35"/>
      <c r="BS257" s="47"/>
      <c r="BT257" s="3"/>
      <c r="BU257" s="3"/>
      <c r="BV257" s="3"/>
      <c r="BW257" s="3"/>
      <c r="BX257" s="3"/>
      <c r="BY257" s="3"/>
      <c r="BZ257" s="3"/>
      <c r="CA257" s="3"/>
      <c r="CB257" s="3"/>
      <c r="CC257" s="3"/>
    </row>
    <row r="258" spans="1:81" ht="12.75" x14ac:dyDescent="0.35">
      <c r="A258" s="48"/>
      <c r="B258" s="35" t="s">
        <v>327</v>
      </c>
      <c r="C258" s="35"/>
      <c r="D258" s="12"/>
      <c r="E258" s="68">
        <f t="shared" ref="E258:AX258" si="163">E50/E200</f>
        <v>0</v>
      </c>
      <c r="F258" s="68">
        <f t="shared" si="163"/>
        <v>0</v>
      </c>
      <c r="G258" s="68">
        <f t="shared" si="163"/>
        <v>0</v>
      </c>
      <c r="H258" s="68">
        <f t="shared" si="163"/>
        <v>0</v>
      </c>
      <c r="I258" s="68">
        <f t="shared" si="163"/>
        <v>0</v>
      </c>
      <c r="J258" s="68">
        <f t="shared" si="163"/>
        <v>0</v>
      </c>
      <c r="K258" s="68">
        <f t="shared" si="163"/>
        <v>0</v>
      </c>
      <c r="L258" s="68">
        <f t="shared" si="163"/>
        <v>0</v>
      </c>
      <c r="M258" s="68">
        <f t="shared" si="163"/>
        <v>0</v>
      </c>
      <c r="N258" s="68">
        <f t="shared" si="163"/>
        <v>0</v>
      </c>
      <c r="O258" s="68">
        <f t="shared" si="163"/>
        <v>0</v>
      </c>
      <c r="P258" s="68">
        <f t="shared" si="163"/>
        <v>0</v>
      </c>
      <c r="Q258" s="68">
        <f t="shared" si="163"/>
        <v>0</v>
      </c>
      <c r="R258" s="68">
        <f t="shared" si="163"/>
        <v>0</v>
      </c>
      <c r="S258" s="68">
        <f t="shared" si="163"/>
        <v>0</v>
      </c>
      <c r="T258" s="68">
        <f t="shared" si="163"/>
        <v>0</v>
      </c>
      <c r="U258" s="68">
        <f t="shared" si="163"/>
        <v>0</v>
      </c>
      <c r="V258" s="68">
        <f t="shared" si="163"/>
        <v>0</v>
      </c>
      <c r="W258" s="68">
        <f t="shared" si="163"/>
        <v>0</v>
      </c>
      <c r="X258" s="68">
        <f t="shared" si="163"/>
        <v>0</v>
      </c>
      <c r="Y258" s="68">
        <f t="shared" si="163"/>
        <v>0</v>
      </c>
      <c r="Z258" s="68">
        <f t="shared" si="163"/>
        <v>0</v>
      </c>
      <c r="AA258" s="68">
        <f t="shared" si="163"/>
        <v>0</v>
      </c>
      <c r="AB258" s="68">
        <f t="shared" si="163"/>
        <v>0</v>
      </c>
      <c r="AC258" s="68">
        <f t="shared" si="163"/>
        <v>35.136707271128969</v>
      </c>
      <c r="AD258" s="68">
        <f t="shared" si="163"/>
        <v>33.406585575623545</v>
      </c>
      <c r="AE258" s="68">
        <f t="shared" si="163"/>
        <v>9.4727120067170461</v>
      </c>
      <c r="AF258" s="68">
        <f t="shared" si="163"/>
        <v>0</v>
      </c>
      <c r="AG258" s="68">
        <f t="shared" si="163"/>
        <v>0</v>
      </c>
      <c r="AH258" s="68">
        <f t="shared" si="163"/>
        <v>0</v>
      </c>
      <c r="AI258" s="68">
        <f t="shared" si="163"/>
        <v>0</v>
      </c>
      <c r="AJ258" s="68">
        <f t="shared" si="163"/>
        <v>0</v>
      </c>
      <c r="AK258" s="68">
        <f t="shared" si="163"/>
        <v>0</v>
      </c>
      <c r="AL258" s="68">
        <f t="shared" si="163"/>
        <v>0</v>
      </c>
      <c r="AM258" s="68">
        <f t="shared" si="163"/>
        <v>0</v>
      </c>
      <c r="AN258" s="68">
        <f t="shared" si="163"/>
        <v>0</v>
      </c>
      <c r="AO258" s="68">
        <f t="shared" si="163"/>
        <v>0</v>
      </c>
      <c r="AP258" s="68">
        <f t="shared" si="163"/>
        <v>0</v>
      </c>
      <c r="AQ258" s="68">
        <f t="shared" si="163"/>
        <v>0</v>
      </c>
      <c r="AR258" s="68">
        <f t="shared" si="163"/>
        <v>0</v>
      </c>
      <c r="AS258" s="68">
        <f t="shared" si="163"/>
        <v>0</v>
      </c>
      <c r="AT258" s="68">
        <f t="shared" si="163"/>
        <v>0</v>
      </c>
      <c r="AU258" s="68">
        <f t="shared" si="163"/>
        <v>0</v>
      </c>
      <c r="AV258" s="68">
        <f t="shared" si="163"/>
        <v>0</v>
      </c>
      <c r="AW258" s="68">
        <f t="shared" si="163"/>
        <v>0</v>
      </c>
      <c r="AX258" s="68">
        <f t="shared" si="163"/>
        <v>0</v>
      </c>
      <c r="AY258" s="68">
        <f t="shared" ref="AY258" si="164">AY50/AY200</f>
        <v>0</v>
      </c>
      <c r="AZ258" s="35" t="s">
        <v>327</v>
      </c>
      <c r="BA258" s="35"/>
      <c r="BB258" s="35"/>
      <c r="BC258" s="12"/>
      <c r="BD258" s="300"/>
      <c r="BE258" s="35"/>
      <c r="BF258"/>
      <c r="BG258" s="50"/>
      <c r="BH258" s="43"/>
      <c r="BI258" s="13"/>
      <c r="BJ258" s="14"/>
      <c r="BK258" s="142"/>
      <c r="BL258" s="12"/>
      <c r="BM258" s="12"/>
      <c r="BN258" s="12"/>
      <c r="BO258" s="12"/>
      <c r="BP258" s="12"/>
      <c r="BQ258" s="35"/>
      <c r="BR258" s="35"/>
      <c r="BS258" s="47"/>
      <c r="BT258" s="3"/>
      <c r="BU258" s="3"/>
      <c r="BV258" s="3"/>
      <c r="BW258" s="3"/>
      <c r="BX258" s="3"/>
      <c r="BY258" s="3"/>
      <c r="BZ258" s="3"/>
      <c r="CA258" s="3"/>
      <c r="CB258" s="3"/>
      <c r="CC258" s="3"/>
    </row>
    <row r="259" spans="1:81" ht="12.75" x14ac:dyDescent="0.35">
      <c r="A259" s="48"/>
      <c r="B259" s="35" t="s">
        <v>168</v>
      </c>
      <c r="C259" s="35"/>
      <c r="D259" s="12"/>
      <c r="E259" s="67"/>
      <c r="F259" s="67"/>
      <c r="G259" s="67"/>
      <c r="H259" s="67"/>
      <c r="I259" s="67"/>
      <c r="J259" s="67"/>
      <c r="K259" s="67"/>
      <c r="L259" s="67"/>
      <c r="M259" s="67"/>
      <c r="N259" s="67"/>
      <c r="O259" s="67"/>
      <c r="P259" s="67"/>
      <c r="Q259" s="67"/>
      <c r="R259" s="67"/>
      <c r="S259" s="67"/>
      <c r="T259" s="67"/>
      <c r="U259" s="68"/>
      <c r="V259" s="68"/>
      <c r="W259" s="67"/>
      <c r="X259" s="68"/>
      <c r="Y259" s="67"/>
      <c r="Z259" s="67"/>
      <c r="AA259" s="69"/>
      <c r="AB259" s="67"/>
      <c r="AC259" s="67"/>
      <c r="AD259" s="68"/>
      <c r="AE259" s="67"/>
      <c r="AF259" s="67"/>
      <c r="AG259" s="67"/>
      <c r="AH259" s="67"/>
      <c r="AI259" s="162"/>
      <c r="AJ259" s="162"/>
      <c r="AK259" s="162"/>
      <c r="AL259" s="162"/>
      <c r="AM259" s="162"/>
      <c r="AN259" s="162"/>
      <c r="AO259" s="162"/>
      <c r="AP259" s="162"/>
      <c r="AQ259" s="162"/>
      <c r="AR259" s="162"/>
      <c r="AS259" s="162"/>
      <c r="AT259" s="35"/>
      <c r="AU259" s="35"/>
      <c r="AV259" s="35"/>
      <c r="AW259" s="35"/>
      <c r="AX259" s="35"/>
      <c r="AY259" s="35"/>
      <c r="AZ259" s="35"/>
      <c r="BA259" s="35"/>
      <c r="BB259" s="35"/>
      <c r="BC259" s="12"/>
      <c r="BD259" s="300"/>
      <c r="BE259" s="35"/>
      <c r="BF259"/>
      <c r="BG259" s="50"/>
      <c r="BH259" s="46"/>
      <c r="BI259" s="143"/>
      <c r="BJ259" s="13"/>
      <c r="BK259" s="13"/>
      <c r="BL259" s="35"/>
      <c r="BM259" s="35"/>
      <c r="BN259" s="35"/>
      <c r="BO259" s="35"/>
      <c r="BP259" s="35"/>
      <c r="BQ259" s="35"/>
      <c r="BR259" s="35"/>
      <c r="BS259" s="47"/>
      <c r="BT259" s="3"/>
      <c r="BU259" s="3"/>
      <c r="BV259" s="3"/>
      <c r="BW259" s="3"/>
      <c r="BX259" s="3"/>
      <c r="BY259" s="3"/>
      <c r="BZ259" s="3"/>
      <c r="CA259" s="3"/>
      <c r="CB259" s="3"/>
      <c r="CC259" s="3"/>
    </row>
    <row r="260" spans="1:81" ht="12.75" x14ac:dyDescent="0.35">
      <c r="A260" s="48"/>
      <c r="B260" s="35"/>
      <c r="C260" s="35"/>
      <c r="D260" s="12"/>
      <c r="E260" s="67"/>
      <c r="F260" s="67"/>
      <c r="G260" s="67"/>
      <c r="H260" s="67"/>
      <c r="I260" s="67"/>
      <c r="J260" s="67"/>
      <c r="K260" s="67"/>
      <c r="L260" s="67"/>
      <c r="M260" s="67"/>
      <c r="N260" s="67"/>
      <c r="O260" s="67"/>
      <c r="P260" s="67"/>
      <c r="Q260" s="67"/>
      <c r="R260" s="67"/>
      <c r="S260" s="67"/>
      <c r="T260" s="67"/>
      <c r="U260" s="68"/>
      <c r="V260" s="162" t="e">
        <f>V52*#REF!</f>
        <v>#REF!</v>
      </c>
      <c r="W260" s="162" t="e">
        <f>W52*#REF!</f>
        <v>#REF!</v>
      </c>
      <c r="X260" s="162" t="e">
        <f>X52*#REF!</f>
        <v>#REF!</v>
      </c>
      <c r="Y260" s="162" t="e">
        <f>Y52*#REF!</f>
        <v>#REF!</v>
      </c>
      <c r="Z260" s="162" t="e">
        <f>Z52*#REF!</f>
        <v>#REF!</v>
      </c>
      <c r="AA260" s="162" t="e">
        <f>AA52*#REF!</f>
        <v>#REF!</v>
      </c>
      <c r="AB260" s="162" t="e">
        <f>AB52*#REF!</f>
        <v>#REF!</v>
      </c>
      <c r="AC260" s="162" t="e">
        <f>AC52*#REF!</f>
        <v>#REF!</v>
      </c>
      <c r="AD260" s="162" t="e">
        <f>AD52*#REF!</f>
        <v>#REF!</v>
      </c>
      <c r="AE260" s="162" t="e">
        <f>AE52*#REF!</f>
        <v>#REF!</v>
      </c>
      <c r="AF260" s="162" t="e">
        <f>AF52*#REF!</f>
        <v>#REF!</v>
      </c>
      <c r="AG260" s="162" t="e">
        <f>AG52*#REF!</f>
        <v>#REF!</v>
      </c>
      <c r="AH260" s="162" t="e">
        <f>AH52*#REF!</f>
        <v>#REF!</v>
      </c>
      <c r="AI260" s="162">
        <f t="shared" ref="AI260:AX260" si="165">AI52/AI200</f>
        <v>63.322843501326261</v>
      </c>
      <c r="AJ260" s="162">
        <f t="shared" si="165"/>
        <v>57.171082545415921</v>
      </c>
      <c r="AK260" s="162">
        <f t="shared" si="165"/>
        <v>0</v>
      </c>
      <c r="AL260" s="162">
        <f t="shared" si="165"/>
        <v>64.286912961803381</v>
      </c>
      <c r="AM260" s="162">
        <f t="shared" si="165"/>
        <v>0</v>
      </c>
      <c r="AN260" s="162">
        <f t="shared" si="165"/>
        <v>0</v>
      </c>
      <c r="AO260" s="162">
        <f t="shared" si="165"/>
        <v>0</v>
      </c>
      <c r="AP260" s="162">
        <f t="shared" si="165"/>
        <v>0</v>
      </c>
      <c r="AQ260" s="162">
        <f t="shared" si="165"/>
        <v>0</v>
      </c>
      <c r="AR260" s="162">
        <f t="shared" si="165"/>
        <v>0</v>
      </c>
      <c r="AS260" s="162">
        <f t="shared" si="165"/>
        <v>0</v>
      </c>
      <c r="AT260" s="162">
        <f t="shared" si="165"/>
        <v>0</v>
      </c>
      <c r="AU260" s="162">
        <f t="shared" si="165"/>
        <v>0</v>
      </c>
      <c r="AV260" s="162">
        <f t="shared" si="165"/>
        <v>0</v>
      </c>
      <c r="AW260" s="162">
        <f t="shared" si="165"/>
        <v>0</v>
      </c>
      <c r="AX260" s="162">
        <f t="shared" si="165"/>
        <v>0</v>
      </c>
      <c r="AY260" s="162">
        <f t="shared" ref="AY260" si="166">AY52/AY200</f>
        <v>0</v>
      </c>
      <c r="AZ260" s="35" t="s">
        <v>253</v>
      </c>
      <c r="BA260" s="35"/>
      <c r="BB260" s="35"/>
      <c r="BC260" s="35"/>
      <c r="BD260" s="300"/>
      <c r="BE260" s="35"/>
      <c r="BF260"/>
      <c r="BG260" s="50"/>
      <c r="BH260" s="46"/>
      <c r="BI260" s="143"/>
      <c r="BJ260" s="13"/>
      <c r="BK260" s="13"/>
      <c r="BL260" s="35"/>
      <c r="BM260" s="35"/>
      <c r="BN260" s="35"/>
      <c r="BO260" s="35"/>
      <c r="BP260" s="35"/>
      <c r="BQ260" s="35"/>
      <c r="BR260" s="35"/>
      <c r="BS260" s="47"/>
      <c r="BT260" s="3"/>
      <c r="BU260" s="3"/>
      <c r="BV260" s="3"/>
      <c r="BW260" s="3"/>
      <c r="BX260" s="3"/>
      <c r="BY260" s="3"/>
      <c r="BZ260" s="3"/>
      <c r="CA260" s="3"/>
      <c r="CB260" s="3"/>
      <c r="CC260" s="3"/>
    </row>
    <row r="261" spans="1:81" ht="12.75" x14ac:dyDescent="0.35">
      <c r="A261" s="48"/>
      <c r="B261" s="35"/>
      <c r="C261" s="35"/>
      <c r="D261" s="12"/>
      <c r="E261" s="153"/>
      <c r="F261" s="153"/>
      <c r="G261" s="153"/>
      <c r="H261" s="153"/>
      <c r="I261" s="153"/>
      <c r="J261" s="153"/>
      <c r="K261" s="153"/>
      <c r="L261" s="153"/>
      <c r="M261" s="153"/>
      <c r="N261" s="153"/>
      <c r="O261" s="153"/>
      <c r="P261" s="153"/>
      <c r="Q261" s="153"/>
      <c r="R261" s="153"/>
      <c r="S261" s="153"/>
      <c r="T261" s="153"/>
      <c r="U261" s="154"/>
      <c r="V261" s="156"/>
      <c r="W261" s="156"/>
      <c r="X261" s="156"/>
      <c r="Y261" s="156"/>
      <c r="Z261" s="163"/>
      <c r="AA261" s="163"/>
      <c r="AB261" s="163"/>
      <c r="AC261" s="156"/>
      <c r="AD261" s="156"/>
      <c r="AE261" s="156"/>
      <c r="AF261" s="156"/>
      <c r="AG261" s="156"/>
      <c r="AH261" s="156"/>
      <c r="AI261" s="156"/>
      <c r="AJ261" s="156"/>
      <c r="AK261" s="156"/>
      <c r="AL261" s="156"/>
      <c r="AM261" s="156"/>
      <c r="AN261" s="156"/>
      <c r="AO261" s="35"/>
      <c r="AP261" s="35"/>
      <c r="AQ261" s="35"/>
      <c r="AR261" s="35"/>
      <c r="AS261" s="35"/>
      <c r="AT261" s="35"/>
      <c r="AU261" s="35"/>
      <c r="AV261" s="35"/>
      <c r="AW261" s="35"/>
      <c r="AX261" s="35"/>
      <c r="AY261" s="35"/>
      <c r="AZ261" s="35"/>
      <c r="BA261" s="35"/>
      <c r="BB261" s="35"/>
      <c r="BC261" s="35"/>
      <c r="BD261" s="300"/>
      <c r="BE261" s="35"/>
      <c r="BF261"/>
      <c r="BG261" s="50"/>
      <c r="BH261" s="46"/>
      <c r="BI261" s="143"/>
      <c r="BJ261" s="13"/>
      <c r="BK261" s="13"/>
      <c r="BL261" s="35"/>
      <c r="BM261" s="35"/>
      <c r="BN261" s="35"/>
      <c r="BO261" s="35"/>
      <c r="BP261" s="35"/>
      <c r="BQ261" s="35"/>
      <c r="BR261" s="35"/>
      <c r="BS261" s="47"/>
      <c r="BT261" s="3"/>
      <c r="BU261" s="3"/>
      <c r="BV261" s="3"/>
      <c r="BW261" s="3"/>
      <c r="BX261" s="3"/>
      <c r="BY261" s="3"/>
      <c r="BZ261" s="3"/>
      <c r="CA261" s="3"/>
      <c r="CB261" s="3"/>
      <c r="CC261" s="3"/>
    </row>
    <row r="262" spans="1:81" ht="12.75" x14ac:dyDescent="0.35">
      <c r="A262" s="48"/>
      <c r="B262" s="35"/>
      <c r="C262" s="35"/>
      <c r="D262" s="12"/>
      <c r="E262" s="158"/>
      <c r="F262" s="158"/>
      <c r="G262" s="158"/>
      <c r="H262" s="158"/>
      <c r="I262" s="158"/>
      <c r="J262" s="158"/>
      <c r="K262" s="158"/>
      <c r="L262" s="158"/>
      <c r="M262" s="158"/>
      <c r="N262" s="158"/>
      <c r="O262" s="158"/>
      <c r="P262" s="158"/>
      <c r="Q262" s="158"/>
      <c r="R262" s="158"/>
      <c r="S262" s="158"/>
      <c r="T262" s="158"/>
      <c r="U262" s="159"/>
      <c r="V262" s="159"/>
      <c r="W262" s="158"/>
      <c r="X262" s="159"/>
      <c r="Y262" s="158"/>
      <c r="Z262" s="159"/>
      <c r="AA262" s="159"/>
      <c r="AB262" s="159"/>
      <c r="AC262" s="158"/>
      <c r="AD262" s="159"/>
      <c r="AE262" s="158"/>
      <c r="AF262" s="158"/>
      <c r="AG262" s="158"/>
      <c r="AH262" s="158"/>
      <c r="AI262" s="161"/>
      <c r="AJ262" s="161"/>
      <c r="AK262" s="161"/>
      <c r="AL262" s="161"/>
      <c r="AM262" s="161"/>
      <c r="AN262" s="161"/>
      <c r="AO262" s="35"/>
      <c r="AP262" s="35"/>
      <c r="AQ262" s="35"/>
      <c r="AR262" s="35"/>
      <c r="AS262" s="35"/>
      <c r="AT262" s="35"/>
      <c r="AU262" s="35"/>
      <c r="AV262" s="35"/>
      <c r="AW262" s="35"/>
      <c r="AX262" s="35"/>
      <c r="AY262" s="35"/>
      <c r="AZ262" s="332" t="s">
        <v>445</v>
      </c>
      <c r="BA262" s="35"/>
      <c r="BB262" s="35"/>
      <c r="BC262" s="35"/>
      <c r="BD262" s="300"/>
      <c r="BE262" s="35"/>
      <c r="BF262"/>
      <c r="BG262" s="50"/>
      <c r="BH262" s="46"/>
      <c r="BI262" s="143"/>
      <c r="BJ262" s="13"/>
      <c r="BK262" s="13"/>
      <c r="BL262" s="35"/>
      <c r="BM262" s="35"/>
      <c r="BN262" s="35"/>
      <c r="BO262" s="35"/>
      <c r="BP262" s="35"/>
      <c r="BQ262" s="35"/>
      <c r="BR262" s="35"/>
      <c r="BS262" s="47"/>
      <c r="BT262" s="3"/>
      <c r="BU262" s="3"/>
      <c r="BV262" s="3"/>
      <c r="BW262" s="3"/>
      <c r="BX262" s="3"/>
      <c r="BY262" s="3"/>
      <c r="BZ262" s="3"/>
      <c r="CA262" s="3"/>
      <c r="CB262" s="3"/>
      <c r="CC262" s="3"/>
    </row>
    <row r="263" spans="1:81" ht="12.75" x14ac:dyDescent="0.35">
      <c r="A263" s="48"/>
      <c r="B263" s="97" t="str">
        <f>AZ57</f>
        <v>Conservation Weatherization Program  - excluding training and technical assistance</v>
      </c>
      <c r="C263" s="35"/>
      <c r="D263" s="12"/>
      <c r="E263" s="115">
        <f t="shared" ref="E263:AX263" si="167">E57/E200</f>
        <v>0</v>
      </c>
      <c r="F263" s="115">
        <f t="shared" si="167"/>
        <v>0</v>
      </c>
      <c r="G263" s="115">
        <f t="shared" si="167"/>
        <v>0</v>
      </c>
      <c r="H263" s="115">
        <f t="shared" si="167"/>
        <v>0</v>
      </c>
      <c r="I263" s="115">
        <f t="shared" si="167"/>
        <v>0</v>
      </c>
      <c r="J263" s="115">
        <f t="shared" si="167"/>
        <v>0</v>
      </c>
      <c r="K263" s="115">
        <f t="shared" si="167"/>
        <v>0</v>
      </c>
      <c r="L263" s="115">
        <f t="shared" si="167"/>
        <v>0</v>
      </c>
      <c r="M263" s="115">
        <f t="shared" si="167"/>
        <v>0</v>
      </c>
      <c r="N263" s="115">
        <f t="shared" si="167"/>
        <v>0</v>
      </c>
      <c r="O263" s="115">
        <f t="shared" si="167"/>
        <v>0</v>
      </c>
      <c r="P263" s="115">
        <f t="shared" si="167"/>
        <v>0</v>
      </c>
      <c r="Q263" s="115">
        <f t="shared" si="167"/>
        <v>0</v>
      </c>
      <c r="R263" s="115">
        <f t="shared" si="167"/>
        <v>0</v>
      </c>
      <c r="S263" s="115">
        <f t="shared" si="167"/>
        <v>334.49232415902145</v>
      </c>
      <c r="T263" s="115">
        <f t="shared" si="167"/>
        <v>309.32901508429461</v>
      </c>
      <c r="U263" s="115">
        <f t="shared" si="167"/>
        <v>339.06664728963813</v>
      </c>
      <c r="V263" s="115">
        <f t="shared" si="167"/>
        <v>341.94632425567949</v>
      </c>
      <c r="W263" s="115">
        <f t="shared" si="167"/>
        <v>174.67492037113976</v>
      </c>
      <c r="X263" s="115">
        <f t="shared" si="167"/>
        <v>184.67013550135502</v>
      </c>
      <c r="Y263" s="115">
        <f t="shared" si="167"/>
        <v>190.18880647336479</v>
      </c>
      <c r="Z263" s="115">
        <f t="shared" si="167"/>
        <v>200.33457943925237</v>
      </c>
      <c r="AA263" s="115">
        <f t="shared" si="167"/>
        <v>198.57496740547592</v>
      </c>
      <c r="AB263" s="115">
        <f t="shared" si="167"/>
        <v>219.15295763897723</v>
      </c>
      <c r="AC263" s="115">
        <f t="shared" si="167"/>
        <v>325.86462388547028</v>
      </c>
      <c r="AD263" s="115">
        <f t="shared" si="167"/>
        <v>309.80796166605234</v>
      </c>
      <c r="AE263" s="115">
        <f t="shared" si="167"/>
        <v>307.45716684658754</v>
      </c>
      <c r="AF263" s="115">
        <f t="shared" si="167"/>
        <v>299.24336900884134</v>
      </c>
      <c r="AG263" s="115">
        <f t="shared" si="167"/>
        <v>302.34388019367191</v>
      </c>
      <c r="AH263" s="115">
        <f t="shared" si="167"/>
        <v>247.49369310080075</v>
      </c>
      <c r="AI263" s="115">
        <f t="shared" si="167"/>
        <v>266.57839787798412</v>
      </c>
      <c r="AJ263" s="115">
        <f t="shared" si="167"/>
        <v>534.91518113247639</v>
      </c>
      <c r="AK263" s="115">
        <f t="shared" si="167"/>
        <v>5845.9529374269632</v>
      </c>
      <c r="AL263" s="115">
        <f t="shared" si="167"/>
        <v>247.25735754539761</v>
      </c>
      <c r="AM263" s="115">
        <f t="shared" si="167"/>
        <v>200.74036341363825</v>
      </c>
      <c r="AN263" s="115">
        <f t="shared" si="167"/>
        <v>73.333000000000013</v>
      </c>
      <c r="AO263" s="115">
        <f t="shared" si="167"/>
        <v>143.1489122945172</v>
      </c>
      <c r="AP263" s="115">
        <f t="shared" si="167"/>
        <v>190.25663888350456</v>
      </c>
      <c r="AQ263" s="115">
        <f t="shared" si="167"/>
        <v>209.89261615577405</v>
      </c>
      <c r="AR263" s="115">
        <f t="shared" si="167"/>
        <v>232.25105323630794</v>
      </c>
      <c r="AS263" s="115">
        <f t="shared" si="167"/>
        <v>238.89045736871824</v>
      </c>
      <c r="AT263" s="115">
        <f t="shared" si="167"/>
        <v>257.56568167172975</v>
      </c>
      <c r="AU263" s="115">
        <f t="shared" si="167"/>
        <v>262.41958548284913</v>
      </c>
      <c r="AV263" s="115">
        <f t="shared" si="167"/>
        <v>305</v>
      </c>
      <c r="AW263" s="115">
        <f t="shared" si="167"/>
        <v>302.1268140981341</v>
      </c>
      <c r="AX263" s="115">
        <f t="shared" si="167"/>
        <v>286.97956839254948</v>
      </c>
      <c r="AY263" s="115">
        <f t="shared" ref="AY263" si="168">AY57/AY200</f>
        <v>0</v>
      </c>
      <c r="AZ263" s="97" t="str">
        <f t="shared" ref="AZ263:AZ268" si="169">B263</f>
        <v>Conservation Weatherization Program  - excluding training and technical assistance</v>
      </c>
      <c r="BA263" s="97"/>
      <c r="BB263" s="97"/>
      <c r="BC263" s="97"/>
      <c r="BD263" s="300"/>
      <c r="BE263" s="35"/>
      <c r="BF263"/>
      <c r="BG263" s="50"/>
      <c r="BH263" s="46"/>
      <c r="BI263" s="143"/>
      <c r="BJ263" s="13"/>
      <c r="BK263" s="13"/>
      <c r="BL263" s="35"/>
      <c r="BM263" s="35"/>
      <c r="BN263" s="35"/>
      <c r="BO263" s="35"/>
      <c r="BP263" s="35"/>
      <c r="BQ263" s="35"/>
      <c r="BR263" s="35"/>
      <c r="BS263" s="47"/>
      <c r="BT263" s="3"/>
      <c r="BU263" s="3"/>
      <c r="BV263" s="3"/>
      <c r="BW263" s="3"/>
      <c r="BX263" s="3"/>
      <c r="BY263" s="3"/>
      <c r="BZ263" s="3"/>
      <c r="CA263" s="3"/>
      <c r="CB263" s="3"/>
      <c r="CC263" s="3"/>
    </row>
    <row r="264" spans="1:81" ht="12.75" x14ac:dyDescent="0.35">
      <c r="A264" s="48"/>
      <c r="B264" s="97" t="str">
        <f>AZ59</f>
        <v>Federal Energy Management Program</v>
      </c>
      <c r="C264" s="35"/>
      <c r="D264" s="12"/>
      <c r="E264" s="115">
        <f t="shared" ref="E264:AX264" si="170">E59/E200</f>
        <v>0</v>
      </c>
      <c r="F264" s="115">
        <f t="shared" si="170"/>
        <v>0</v>
      </c>
      <c r="G264" s="115">
        <f t="shared" si="170"/>
        <v>0</v>
      </c>
      <c r="H264" s="115">
        <f t="shared" si="170"/>
        <v>0</v>
      </c>
      <c r="I264" s="115">
        <f t="shared" si="170"/>
        <v>0</v>
      </c>
      <c r="J264" s="115">
        <f t="shared" si="170"/>
        <v>0</v>
      </c>
      <c r="K264" s="115">
        <f t="shared" si="170"/>
        <v>0</v>
      </c>
      <c r="L264" s="115">
        <f t="shared" si="170"/>
        <v>0</v>
      </c>
      <c r="M264" s="115">
        <f t="shared" si="170"/>
        <v>0</v>
      </c>
      <c r="N264" s="115">
        <f t="shared" si="170"/>
        <v>0</v>
      </c>
      <c r="O264" s="115">
        <f t="shared" si="170"/>
        <v>0</v>
      </c>
      <c r="P264" s="115">
        <f t="shared" si="170"/>
        <v>0</v>
      </c>
      <c r="Q264" s="115">
        <f t="shared" si="170"/>
        <v>0</v>
      </c>
      <c r="R264" s="115">
        <f t="shared" si="170"/>
        <v>0</v>
      </c>
      <c r="S264" s="115">
        <f t="shared" si="170"/>
        <v>6.9003058103975539</v>
      </c>
      <c r="T264" s="115">
        <f t="shared" si="170"/>
        <v>7.6748299319727886</v>
      </c>
      <c r="U264" s="115">
        <f t="shared" si="170"/>
        <v>25.413602674029939</v>
      </c>
      <c r="V264" s="115">
        <f t="shared" si="170"/>
        <v>27.381176802596308</v>
      </c>
      <c r="W264" s="115">
        <f t="shared" si="170"/>
        <v>25.310677191524722</v>
      </c>
      <c r="X264" s="115">
        <f t="shared" si="170"/>
        <v>30.268780487804879</v>
      </c>
      <c r="Y264" s="115">
        <f t="shared" si="170"/>
        <v>30.125906945380986</v>
      </c>
      <c r="Z264" s="115">
        <f t="shared" si="170"/>
        <v>35.849345794392526</v>
      </c>
      <c r="AA264" s="115">
        <f t="shared" si="170"/>
        <v>35.18454237288136</v>
      </c>
      <c r="AB264" s="115">
        <f t="shared" si="170"/>
        <v>36.740770894288261</v>
      </c>
      <c r="AC264" s="115">
        <f t="shared" si="170"/>
        <v>26.777571267110385</v>
      </c>
      <c r="AD264" s="115">
        <f t="shared" si="170"/>
        <v>26.752991768030473</v>
      </c>
      <c r="AE264" s="115">
        <f t="shared" si="170"/>
        <v>26.252944704330094</v>
      </c>
      <c r="AF264" s="115">
        <f t="shared" si="170"/>
        <v>26.118171242438343</v>
      </c>
      <c r="AG264" s="115">
        <f t="shared" si="170"/>
        <v>21.595991442405136</v>
      </c>
      <c r="AH264" s="115">
        <f t="shared" si="170"/>
        <v>24.130635077328073</v>
      </c>
      <c r="AI264" s="115">
        <f t="shared" si="170"/>
        <v>23.701177718832895</v>
      </c>
      <c r="AJ264" s="115">
        <f t="shared" si="170"/>
        <v>26.368214171889942</v>
      </c>
      <c r="AK264" s="115">
        <f t="shared" si="170"/>
        <v>26.847636247742486</v>
      </c>
      <c r="AL264" s="115">
        <f t="shared" si="170"/>
        <v>37.677311625965352</v>
      </c>
      <c r="AM264" s="115">
        <f t="shared" si="170"/>
        <v>35.011514904042471</v>
      </c>
      <c r="AN264" s="115">
        <f t="shared" si="170"/>
        <v>33.733180000000004</v>
      </c>
      <c r="AO264" s="115">
        <f t="shared" si="170"/>
        <v>31.428349246973131</v>
      </c>
      <c r="AP264" s="115">
        <f t="shared" si="170"/>
        <v>30.834696646636946</v>
      </c>
      <c r="AQ264" s="115">
        <f t="shared" si="170"/>
        <v>29.363215731636785</v>
      </c>
      <c r="AR264" s="115">
        <f t="shared" si="170"/>
        <v>29.166411336652626</v>
      </c>
      <c r="AS264" s="115">
        <f t="shared" si="170"/>
        <v>28.666854884246192</v>
      </c>
      <c r="AT264" s="115">
        <f t="shared" si="170"/>
        <v>28.041425020712513</v>
      </c>
      <c r="AU264" s="115">
        <f t="shared" si="170"/>
        <v>30.632636437686671</v>
      </c>
      <c r="AV264" s="115">
        <f t="shared" si="170"/>
        <v>40</v>
      </c>
      <c r="AW264" s="115">
        <f t="shared" si="170"/>
        <v>38.984105044920526</v>
      </c>
      <c r="AX264" s="115">
        <f t="shared" si="170"/>
        <v>37.0296217280709</v>
      </c>
      <c r="AY264" s="115">
        <f t="shared" ref="AY264" si="171">AY59/AY200</f>
        <v>0</v>
      </c>
      <c r="AZ264" s="97" t="str">
        <f t="shared" si="169"/>
        <v>Federal Energy Management Program</v>
      </c>
      <c r="BA264" s="97"/>
      <c r="BB264" s="97"/>
      <c r="BC264" s="97"/>
      <c r="BD264" s="300"/>
      <c r="BE264" s="35"/>
      <c r="BF264"/>
      <c r="BG264" s="50"/>
      <c r="BH264" s="46"/>
      <c r="BI264" s="143"/>
      <c r="BJ264" s="13"/>
      <c r="BK264" s="13"/>
      <c r="BL264" s="35"/>
      <c r="BM264" s="35"/>
      <c r="BN264" s="35"/>
      <c r="BO264" s="35"/>
      <c r="BP264" s="35"/>
      <c r="BQ264" s="35"/>
      <c r="BR264" s="35"/>
      <c r="BS264" s="47"/>
      <c r="BT264" s="3"/>
      <c r="BU264" s="3"/>
      <c r="BV264" s="3"/>
      <c r="BW264" s="3"/>
      <c r="BX264" s="3"/>
      <c r="BY264" s="3"/>
      <c r="BZ264" s="3"/>
      <c r="CA264" s="3"/>
      <c r="CB264" s="3"/>
      <c r="CC264" s="3"/>
    </row>
    <row r="265" spans="1:81" ht="12.75" x14ac:dyDescent="0.35">
      <c r="A265" s="48"/>
      <c r="B265" s="97" t="str">
        <f>AZ60</f>
        <v>State energy program grants (FY17 on inc. Cities, Counties and Communities)</v>
      </c>
      <c r="C265" s="35"/>
      <c r="D265" s="12"/>
      <c r="E265" s="115">
        <f t="shared" ref="E265:AX265" si="172">E60/E200</f>
        <v>0</v>
      </c>
      <c r="F265" s="115">
        <f t="shared" si="172"/>
        <v>0</v>
      </c>
      <c r="G265" s="115">
        <f t="shared" si="172"/>
        <v>0</v>
      </c>
      <c r="H265" s="115">
        <f t="shared" si="172"/>
        <v>0</v>
      </c>
      <c r="I265" s="115">
        <f t="shared" si="172"/>
        <v>0</v>
      </c>
      <c r="J265" s="115">
        <f t="shared" si="172"/>
        <v>0</v>
      </c>
      <c r="K265" s="115">
        <f t="shared" si="172"/>
        <v>0</v>
      </c>
      <c r="L265" s="115">
        <f t="shared" si="172"/>
        <v>0</v>
      </c>
      <c r="M265" s="115">
        <f t="shared" si="172"/>
        <v>0</v>
      </c>
      <c r="N265" s="115">
        <f t="shared" si="172"/>
        <v>0</v>
      </c>
      <c r="O265" s="115">
        <f t="shared" si="172"/>
        <v>0</v>
      </c>
      <c r="P265" s="115">
        <f t="shared" si="172"/>
        <v>0</v>
      </c>
      <c r="Q265" s="115">
        <f t="shared" si="172"/>
        <v>0</v>
      </c>
      <c r="R265" s="115">
        <f t="shared" si="172"/>
        <v>0</v>
      </c>
      <c r="S265" s="115">
        <f t="shared" si="172"/>
        <v>27.946238532110094</v>
      </c>
      <c r="T265" s="115">
        <f t="shared" si="172"/>
        <v>25.860839988169182</v>
      </c>
      <c r="U265" s="115">
        <f t="shared" si="172"/>
        <v>30.004447028048251</v>
      </c>
      <c r="V265" s="115">
        <f t="shared" si="172"/>
        <v>38.206293212925083</v>
      </c>
      <c r="W265" s="115">
        <f t="shared" si="172"/>
        <v>40.62207450491622</v>
      </c>
      <c r="X265" s="115">
        <f t="shared" si="172"/>
        <v>44.333062330623306</v>
      </c>
      <c r="Y265" s="115">
        <f t="shared" si="172"/>
        <v>46.101766689143631</v>
      </c>
      <c r="Z265" s="115">
        <f t="shared" si="172"/>
        <v>49.70707610146863</v>
      </c>
      <c r="AA265" s="115">
        <f t="shared" si="172"/>
        <v>49.276010430247723</v>
      </c>
      <c r="AB265" s="115">
        <f t="shared" si="172"/>
        <v>80.083399058643934</v>
      </c>
      <c r="AC265" s="115">
        <f t="shared" si="172"/>
        <v>63.756122064548535</v>
      </c>
      <c r="AD265" s="115">
        <f t="shared" si="172"/>
        <v>61.961592333210476</v>
      </c>
      <c r="AE265" s="115">
        <f t="shared" si="172"/>
        <v>60.444924233337332</v>
      </c>
      <c r="AF265" s="115">
        <f t="shared" si="172"/>
        <v>58.011214518380648</v>
      </c>
      <c r="AG265" s="115">
        <f t="shared" si="172"/>
        <v>45.224546785271933</v>
      </c>
      <c r="AH265" s="115">
        <f t="shared" si="172"/>
        <v>61.254689042448184</v>
      </c>
      <c r="AI265" s="115">
        <f t="shared" si="172"/>
        <v>52.788986737400535</v>
      </c>
      <c r="AJ265" s="115">
        <f t="shared" si="172"/>
        <v>59.927759481568053</v>
      </c>
      <c r="AK265" s="115">
        <f t="shared" si="172"/>
        <v>3696.943482417933</v>
      </c>
      <c r="AL265" s="115">
        <f t="shared" si="172"/>
        <v>58.870799415570858</v>
      </c>
      <c r="AM265" s="115">
        <f t="shared" si="172"/>
        <v>57.584728460596168</v>
      </c>
      <c r="AN265" s="115">
        <f t="shared" si="172"/>
        <v>56.410000000000004</v>
      </c>
      <c r="AO265" s="115">
        <f t="shared" si="172"/>
        <v>52.306545919874011</v>
      </c>
      <c r="AP265" s="115">
        <f t="shared" si="172"/>
        <v>54.671447955030047</v>
      </c>
      <c r="AQ265" s="115">
        <f t="shared" si="172"/>
        <v>54.37632542895701</v>
      </c>
      <c r="AR265" s="115">
        <f t="shared" si="172"/>
        <v>54.011872845653009</v>
      </c>
      <c r="AS265" s="115">
        <f t="shared" si="172"/>
        <v>53.086768304159612</v>
      </c>
      <c r="AT265" s="115">
        <f t="shared" si="172"/>
        <v>57.121421338488453</v>
      </c>
      <c r="AU265" s="115">
        <f t="shared" si="172"/>
        <v>56.159833469092234</v>
      </c>
      <c r="AV265" s="115">
        <f t="shared" si="172"/>
        <v>62.5</v>
      </c>
      <c r="AW265" s="115">
        <f t="shared" si="172"/>
        <v>60.912664132688327</v>
      </c>
      <c r="AX265" s="115">
        <f t="shared" si="172"/>
        <v>57.858783950110784</v>
      </c>
      <c r="AY265" s="115">
        <f t="shared" ref="AY265" si="173">AY60/AY200</f>
        <v>0</v>
      </c>
      <c r="AZ265" s="97" t="str">
        <f t="shared" si="169"/>
        <v>State energy program grants (FY17 on inc. Cities, Counties and Communities)</v>
      </c>
      <c r="BA265" s="97"/>
      <c r="BB265" s="97"/>
      <c r="BC265" s="97"/>
      <c r="BD265" s="300"/>
      <c r="BE265" s="35"/>
      <c r="BF265"/>
      <c r="BG265" s="50"/>
      <c r="BH265" s="46"/>
      <c r="BI265" s="143"/>
      <c r="BJ265" s="13"/>
      <c r="BK265" s="13"/>
      <c r="BL265" s="35"/>
      <c r="BM265" s="35"/>
      <c r="BN265" s="35"/>
      <c r="BO265" s="35"/>
      <c r="BP265" s="35"/>
      <c r="BQ265" s="35"/>
      <c r="BR265" s="35"/>
      <c r="BS265" s="47"/>
      <c r="BT265" s="3"/>
      <c r="BU265" s="3"/>
      <c r="BV265" s="3"/>
      <c r="BW265" s="3"/>
      <c r="BX265" s="3"/>
      <c r="BY265" s="3"/>
      <c r="BZ265" s="3"/>
      <c r="CA265" s="3"/>
      <c r="CB265" s="3"/>
      <c r="CC265" s="3"/>
    </row>
    <row r="266" spans="1:81" ht="12.75" x14ac:dyDescent="0.35">
      <c r="A266" s="48"/>
      <c r="B266" s="97" t="str">
        <f>AZ61</f>
        <v>Energy efficiency and conservation block grants</v>
      </c>
      <c r="C266" s="35"/>
      <c r="D266" s="12"/>
      <c r="E266" s="115">
        <f t="shared" ref="E266:AX266" si="174">E61/E200</f>
        <v>0</v>
      </c>
      <c r="F266" s="115">
        <f t="shared" si="174"/>
        <v>0</v>
      </c>
      <c r="G266" s="115">
        <f t="shared" si="174"/>
        <v>0</v>
      </c>
      <c r="H266" s="115">
        <f t="shared" si="174"/>
        <v>0</v>
      </c>
      <c r="I266" s="115">
        <f t="shared" si="174"/>
        <v>0</v>
      </c>
      <c r="J266" s="115">
        <f t="shared" si="174"/>
        <v>0</v>
      </c>
      <c r="K266" s="115">
        <f t="shared" si="174"/>
        <v>0</v>
      </c>
      <c r="L266" s="115">
        <f t="shared" si="174"/>
        <v>0</v>
      </c>
      <c r="M266" s="115">
        <f t="shared" si="174"/>
        <v>0</v>
      </c>
      <c r="N266" s="115">
        <f t="shared" si="174"/>
        <v>0</v>
      </c>
      <c r="O266" s="115">
        <f t="shared" si="174"/>
        <v>0</v>
      </c>
      <c r="P266" s="115">
        <f t="shared" si="174"/>
        <v>0</v>
      </c>
      <c r="Q266" s="115">
        <f t="shared" si="174"/>
        <v>0</v>
      </c>
      <c r="R266" s="115">
        <f t="shared" si="174"/>
        <v>0</v>
      </c>
      <c r="S266" s="115">
        <f t="shared" si="174"/>
        <v>0</v>
      </c>
      <c r="T266" s="115">
        <f t="shared" si="174"/>
        <v>0</v>
      </c>
      <c r="U266" s="115">
        <f t="shared" si="174"/>
        <v>0</v>
      </c>
      <c r="V266" s="115">
        <f t="shared" si="174"/>
        <v>0</v>
      </c>
      <c r="W266" s="115">
        <f t="shared" si="174"/>
        <v>0</v>
      </c>
      <c r="X266" s="115">
        <f t="shared" si="174"/>
        <v>0</v>
      </c>
      <c r="Y266" s="115">
        <f t="shared" si="174"/>
        <v>0</v>
      </c>
      <c r="Z266" s="115">
        <f t="shared" si="174"/>
        <v>0</v>
      </c>
      <c r="AA266" s="115">
        <f t="shared" si="174"/>
        <v>0</v>
      </c>
      <c r="AB266" s="115">
        <f t="shared" si="174"/>
        <v>0</v>
      </c>
      <c r="AC266" s="115">
        <f t="shared" si="174"/>
        <v>0</v>
      </c>
      <c r="AD266" s="115">
        <f t="shared" si="174"/>
        <v>0</v>
      </c>
      <c r="AE266" s="115">
        <f t="shared" si="174"/>
        <v>0</v>
      </c>
      <c r="AF266" s="115">
        <f t="shared" si="174"/>
        <v>0</v>
      </c>
      <c r="AG266" s="115">
        <f t="shared" si="174"/>
        <v>0</v>
      </c>
      <c r="AH266" s="115">
        <f t="shared" si="174"/>
        <v>0</v>
      </c>
      <c r="AI266" s="115">
        <f t="shared" si="174"/>
        <v>0</v>
      </c>
      <c r="AJ266" s="115">
        <f t="shared" si="174"/>
        <v>0</v>
      </c>
      <c r="AK266" s="115">
        <f t="shared" si="174"/>
        <v>3816.1997237862533</v>
      </c>
      <c r="AL266" s="115">
        <f t="shared" si="174"/>
        <v>0</v>
      </c>
      <c r="AM266" s="115">
        <f t="shared" si="174"/>
        <v>0</v>
      </c>
      <c r="AN266" s="115">
        <f t="shared" si="174"/>
        <v>0</v>
      </c>
      <c r="AO266" s="115">
        <f t="shared" si="174"/>
        <v>0</v>
      </c>
      <c r="AP266" s="115">
        <f t="shared" si="174"/>
        <v>0</v>
      </c>
      <c r="AQ266" s="115">
        <f t="shared" si="174"/>
        <v>0</v>
      </c>
      <c r="AR266" s="115">
        <f t="shared" si="174"/>
        <v>0</v>
      </c>
      <c r="AS266" s="115">
        <f t="shared" si="174"/>
        <v>0</v>
      </c>
      <c r="AT266" s="115">
        <f t="shared" si="174"/>
        <v>0</v>
      </c>
      <c r="AU266" s="115">
        <f t="shared" si="174"/>
        <v>0</v>
      </c>
      <c r="AV266" s="115">
        <f t="shared" si="174"/>
        <v>0</v>
      </c>
      <c r="AW266" s="115">
        <f t="shared" si="174"/>
        <v>0</v>
      </c>
      <c r="AX266" s="115">
        <f t="shared" si="174"/>
        <v>0</v>
      </c>
      <c r="AY266" s="115">
        <f t="shared" ref="AY266" si="175">AY61/AY200</f>
        <v>0</v>
      </c>
      <c r="AZ266" s="97" t="str">
        <f t="shared" si="169"/>
        <v>Energy efficiency and conservation block grants</v>
      </c>
      <c r="BA266" s="97"/>
      <c r="BB266" s="97"/>
      <c r="BC266" s="97"/>
      <c r="BD266" s="300"/>
      <c r="BE266" s="35"/>
      <c r="BF266"/>
      <c r="BG266" s="50"/>
      <c r="BH266" s="46"/>
      <c r="BI266" s="143"/>
      <c r="BJ266" s="13"/>
      <c r="BK266" s="13"/>
      <c r="BL266" s="35"/>
      <c r="BM266" s="35"/>
      <c r="BN266" s="35"/>
      <c r="BO266" s="35"/>
      <c r="BP266" s="35"/>
      <c r="BQ266" s="35"/>
      <c r="BR266" s="35"/>
      <c r="BS266" s="47"/>
      <c r="BT266" s="3"/>
      <c r="BU266" s="3"/>
      <c r="BV266" s="3"/>
      <c r="BW266" s="3"/>
      <c r="BX266" s="3"/>
      <c r="BY266" s="3"/>
      <c r="BZ266" s="3"/>
      <c r="CA266" s="3"/>
      <c r="CB266" s="3"/>
      <c r="CC266" s="3"/>
    </row>
    <row r="267" spans="1:81" ht="12.75" x14ac:dyDescent="0.35">
      <c r="A267" s="48"/>
      <c r="B267" s="97" t="str">
        <f>AZ62</f>
        <v>Advanced technology vehicles manufacturing loans</v>
      </c>
      <c r="C267" s="35"/>
      <c r="D267" s="12"/>
      <c r="E267" s="115">
        <f t="shared" ref="E267:AX267" si="176">E62/E200</f>
        <v>0</v>
      </c>
      <c r="F267" s="115">
        <f t="shared" si="176"/>
        <v>0</v>
      </c>
      <c r="G267" s="115">
        <f t="shared" si="176"/>
        <v>0</v>
      </c>
      <c r="H267" s="115">
        <f t="shared" si="176"/>
        <v>0</v>
      </c>
      <c r="I267" s="115">
        <f t="shared" si="176"/>
        <v>0</v>
      </c>
      <c r="J267" s="115">
        <f t="shared" si="176"/>
        <v>0</v>
      </c>
      <c r="K267" s="115">
        <f t="shared" si="176"/>
        <v>0</v>
      </c>
      <c r="L267" s="115">
        <f t="shared" si="176"/>
        <v>0</v>
      </c>
      <c r="M267" s="115">
        <f t="shared" si="176"/>
        <v>0</v>
      </c>
      <c r="N267" s="115">
        <f t="shared" si="176"/>
        <v>0</v>
      </c>
      <c r="O267" s="115">
        <f t="shared" si="176"/>
        <v>0</v>
      </c>
      <c r="P267" s="115">
        <f t="shared" si="176"/>
        <v>0</v>
      </c>
      <c r="Q267" s="115">
        <f t="shared" si="176"/>
        <v>0</v>
      </c>
      <c r="R267" s="115">
        <f t="shared" si="176"/>
        <v>0</v>
      </c>
      <c r="S267" s="115">
        <f t="shared" si="176"/>
        <v>0</v>
      </c>
      <c r="T267" s="115">
        <f t="shared" si="176"/>
        <v>0</v>
      </c>
      <c r="U267" s="115">
        <f t="shared" si="176"/>
        <v>0</v>
      </c>
      <c r="V267" s="115">
        <f t="shared" si="176"/>
        <v>0</v>
      </c>
      <c r="W267" s="115">
        <f t="shared" si="176"/>
        <v>0</v>
      </c>
      <c r="X267" s="115">
        <f t="shared" si="176"/>
        <v>0</v>
      </c>
      <c r="Y267" s="115">
        <f t="shared" si="176"/>
        <v>0</v>
      </c>
      <c r="Z267" s="115">
        <f t="shared" si="176"/>
        <v>0</v>
      </c>
      <c r="AA267" s="115">
        <f t="shared" si="176"/>
        <v>0</v>
      </c>
      <c r="AB267" s="115">
        <f t="shared" si="176"/>
        <v>0</v>
      </c>
      <c r="AC267" s="115">
        <f t="shared" si="176"/>
        <v>0</v>
      </c>
      <c r="AD267" s="115">
        <f t="shared" si="176"/>
        <v>0</v>
      </c>
      <c r="AE267" s="115">
        <f t="shared" si="176"/>
        <v>0</v>
      </c>
      <c r="AF267" s="115">
        <f t="shared" si="176"/>
        <v>0</v>
      </c>
      <c r="AG267" s="115">
        <f t="shared" si="176"/>
        <v>0</v>
      </c>
      <c r="AH267" s="115">
        <f t="shared" si="176"/>
        <v>0</v>
      </c>
      <c r="AI267" s="115">
        <f t="shared" si="176"/>
        <v>0</v>
      </c>
      <c r="AJ267" s="115">
        <f t="shared" si="176"/>
        <v>9001.1494741315219</v>
      </c>
      <c r="AK267" s="115">
        <f t="shared" si="176"/>
        <v>11.985551896313611</v>
      </c>
      <c r="AL267" s="115">
        <f t="shared" si="176"/>
        <v>23.548319766228346</v>
      </c>
      <c r="AM267" s="115">
        <f t="shared" si="176"/>
        <v>11.516945692119233</v>
      </c>
      <c r="AN267" s="115">
        <f t="shared" si="176"/>
        <v>6.7692000000000005</v>
      </c>
      <c r="AO267" s="115">
        <f t="shared" si="176"/>
        <v>6.3300915444433512</v>
      </c>
      <c r="AP267" s="115">
        <f t="shared" si="176"/>
        <v>6.5605737546036051</v>
      </c>
      <c r="AQ267" s="115">
        <f t="shared" si="176"/>
        <v>4.3501060343165605</v>
      </c>
      <c r="AR267" s="115">
        <f t="shared" si="176"/>
        <v>6.481424741478361</v>
      </c>
      <c r="AS267" s="115">
        <f t="shared" si="176"/>
        <v>4.1407679277244496</v>
      </c>
      <c r="AT267" s="115">
        <f t="shared" si="176"/>
        <v>5.1928564853171322</v>
      </c>
      <c r="AU267" s="115">
        <f t="shared" si="176"/>
        <v>5.1054394062811124</v>
      </c>
      <c r="AV267" s="115">
        <f t="shared" si="176"/>
        <v>5</v>
      </c>
      <c r="AW267" s="115">
        <f t="shared" si="176"/>
        <v>0</v>
      </c>
      <c r="AX267" s="115">
        <f t="shared" si="176"/>
        <v>0</v>
      </c>
      <c r="AY267" s="115">
        <f t="shared" ref="AY267" si="177">AY62/AY200</f>
        <v>0</v>
      </c>
      <c r="AZ267" s="97" t="str">
        <f t="shared" si="169"/>
        <v>Advanced technology vehicles manufacturing loans</v>
      </c>
      <c r="BA267" s="97"/>
      <c r="BB267" s="97"/>
      <c r="BC267" s="97"/>
      <c r="BD267" s="300"/>
      <c r="BE267" s="35"/>
      <c r="BF267"/>
      <c r="BG267" s="50"/>
      <c r="BH267" s="46"/>
      <c r="BI267" s="143"/>
      <c r="BJ267" s="13"/>
      <c r="BK267" s="13"/>
      <c r="BL267" s="35"/>
      <c r="BM267" s="35"/>
      <c r="BN267" s="35"/>
      <c r="BO267" s="35"/>
      <c r="BP267" s="35"/>
      <c r="BQ267" s="35"/>
      <c r="BR267" s="35"/>
      <c r="BS267" s="47"/>
      <c r="BT267" s="3"/>
      <c r="BU267" s="3"/>
      <c r="BV267" s="3"/>
      <c r="BW267" s="3"/>
      <c r="BX267" s="3"/>
      <c r="BY267" s="3"/>
      <c r="BZ267" s="3"/>
      <c r="CA267" s="3"/>
      <c r="CB267" s="3"/>
      <c r="CC267" s="3"/>
    </row>
    <row r="268" spans="1:81" ht="12.75" x14ac:dyDescent="0.35">
      <c r="A268" s="48"/>
      <c r="B268" s="97" t="str">
        <f>AZ63</f>
        <v>Other ARRA deployment - energy efficient appliance rebates, advanced battery manufacturing, alternative fueled vehicles pilot grant program, transportation electrification, information and communication efficiency</v>
      </c>
      <c r="C268" s="35"/>
      <c r="D268" s="12"/>
      <c r="E268" s="115">
        <f t="shared" ref="E268:AX268" si="178">E63/E200</f>
        <v>0</v>
      </c>
      <c r="F268" s="115">
        <f t="shared" si="178"/>
        <v>0</v>
      </c>
      <c r="G268" s="115">
        <f t="shared" si="178"/>
        <v>0</v>
      </c>
      <c r="H268" s="115">
        <f t="shared" si="178"/>
        <v>0</v>
      </c>
      <c r="I268" s="115">
        <f t="shared" si="178"/>
        <v>0</v>
      </c>
      <c r="J268" s="115">
        <f t="shared" si="178"/>
        <v>0</v>
      </c>
      <c r="K268" s="115">
        <f t="shared" si="178"/>
        <v>0</v>
      </c>
      <c r="L268" s="115">
        <f t="shared" si="178"/>
        <v>0</v>
      </c>
      <c r="M268" s="115">
        <f t="shared" si="178"/>
        <v>0</v>
      </c>
      <c r="N268" s="115">
        <f t="shared" si="178"/>
        <v>0</v>
      </c>
      <c r="O268" s="115">
        <f t="shared" si="178"/>
        <v>0</v>
      </c>
      <c r="P268" s="115">
        <f t="shared" si="178"/>
        <v>0</v>
      </c>
      <c r="Q268" s="115">
        <f t="shared" si="178"/>
        <v>0</v>
      </c>
      <c r="R268" s="115">
        <f t="shared" si="178"/>
        <v>0</v>
      </c>
      <c r="S268" s="115">
        <f t="shared" si="178"/>
        <v>0</v>
      </c>
      <c r="T268" s="115">
        <f t="shared" si="178"/>
        <v>0</v>
      </c>
      <c r="U268" s="115">
        <f t="shared" si="178"/>
        <v>0</v>
      </c>
      <c r="V268" s="115">
        <f t="shared" si="178"/>
        <v>0</v>
      </c>
      <c r="W268" s="115">
        <f t="shared" si="178"/>
        <v>0</v>
      </c>
      <c r="X268" s="115">
        <f t="shared" si="178"/>
        <v>0</v>
      </c>
      <c r="Y268" s="115">
        <f t="shared" si="178"/>
        <v>0</v>
      </c>
      <c r="Z268" s="115">
        <f t="shared" si="178"/>
        <v>0</v>
      </c>
      <c r="AA268" s="115">
        <f t="shared" si="178"/>
        <v>0</v>
      </c>
      <c r="AB268" s="115">
        <f t="shared" si="178"/>
        <v>0</v>
      </c>
      <c r="AC268" s="115">
        <f t="shared" si="178"/>
        <v>0</v>
      </c>
      <c r="AD268" s="115">
        <f t="shared" si="178"/>
        <v>0</v>
      </c>
      <c r="AE268" s="115">
        <f t="shared" si="178"/>
        <v>0</v>
      </c>
      <c r="AF268" s="115">
        <f t="shared" si="178"/>
        <v>0</v>
      </c>
      <c r="AG268" s="115">
        <f t="shared" si="178"/>
        <v>0</v>
      </c>
      <c r="AH268" s="115">
        <f t="shared" si="178"/>
        <v>0</v>
      </c>
      <c r="AI268" s="115">
        <f t="shared" si="178"/>
        <v>0</v>
      </c>
      <c r="AJ268" s="115">
        <f t="shared" si="178"/>
        <v>0</v>
      </c>
      <c r="AK268" s="115">
        <f t="shared" si="178"/>
        <v>3635.9370232656966</v>
      </c>
      <c r="AL268" s="115">
        <f t="shared" si="178"/>
        <v>0</v>
      </c>
      <c r="AM268" s="115">
        <f t="shared" si="178"/>
        <v>0</v>
      </c>
      <c r="AN268" s="115">
        <f t="shared" si="178"/>
        <v>0</v>
      </c>
      <c r="AO268" s="115">
        <f t="shared" si="178"/>
        <v>0</v>
      </c>
      <c r="AP268" s="115">
        <f t="shared" si="178"/>
        <v>0</v>
      </c>
      <c r="AQ268" s="115">
        <f t="shared" si="178"/>
        <v>0</v>
      </c>
      <c r="AR268" s="115">
        <f t="shared" si="178"/>
        <v>0</v>
      </c>
      <c r="AS268" s="115">
        <f t="shared" si="178"/>
        <v>0</v>
      </c>
      <c r="AT268" s="115">
        <f t="shared" si="178"/>
        <v>0</v>
      </c>
      <c r="AU268" s="115">
        <f t="shared" si="178"/>
        <v>0</v>
      </c>
      <c r="AV268" s="115">
        <f t="shared" si="178"/>
        <v>0</v>
      </c>
      <c r="AW268" s="115">
        <f t="shared" si="178"/>
        <v>0</v>
      </c>
      <c r="AX268" s="115">
        <f t="shared" si="178"/>
        <v>0</v>
      </c>
      <c r="AY268" s="115">
        <f t="shared" ref="AY268" si="179">AY63/AY200</f>
        <v>0</v>
      </c>
      <c r="AZ268" s="97" t="str">
        <f t="shared" si="169"/>
        <v>Other ARRA deployment - energy efficient appliance rebates, advanced battery manufacturing, alternative fueled vehicles pilot grant program, transportation electrification, information and communication efficiency</v>
      </c>
      <c r="BA268" s="97"/>
      <c r="BB268" s="97"/>
      <c r="BC268" s="97"/>
      <c r="BD268" s="300"/>
      <c r="BE268" s="35"/>
      <c r="BF268"/>
      <c r="BG268" s="50"/>
      <c r="BH268" s="46"/>
      <c r="BI268" s="143"/>
      <c r="BJ268" s="13"/>
      <c r="BK268" s="13"/>
      <c r="BL268" s="35"/>
      <c r="BM268" s="35"/>
      <c r="BN268" s="35"/>
      <c r="BO268" s="35"/>
      <c r="BP268" s="35"/>
      <c r="BQ268" s="35"/>
      <c r="BR268" s="35"/>
      <c r="BS268" s="47"/>
      <c r="BT268" s="3"/>
      <c r="BU268" s="3"/>
      <c r="BV268" s="3"/>
      <c r="BW268" s="3"/>
      <c r="BX268" s="3"/>
      <c r="BY268" s="3"/>
      <c r="BZ268" s="3"/>
      <c r="CA268" s="3"/>
      <c r="CB268" s="3"/>
      <c r="CC268" s="3"/>
    </row>
    <row r="269" spans="1:81" ht="12.75" x14ac:dyDescent="0.35">
      <c r="A269" s="48"/>
      <c r="B269" s="97"/>
      <c r="C269" s="35"/>
      <c r="D269" s="12"/>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167"/>
      <c r="AJ269" s="167"/>
      <c r="AK269" s="167"/>
      <c r="AL269" s="167"/>
      <c r="AM269" s="167"/>
      <c r="AN269" s="167"/>
      <c r="AP269" s="167">
        <f>AP64/AO200</f>
        <v>0</v>
      </c>
      <c r="AQ269" s="167">
        <f>AQ64/AP200</f>
        <v>0</v>
      </c>
      <c r="AR269" s="167">
        <f>AR64/AQ200</f>
        <v>0</v>
      </c>
      <c r="AS269" s="167">
        <f t="shared" ref="AS269:AX269" si="180">AS64/AS200</f>
        <v>0</v>
      </c>
      <c r="AT269" s="167">
        <f t="shared" si="180"/>
        <v>0</v>
      </c>
      <c r="AU269" s="167">
        <f t="shared" si="180"/>
        <v>0</v>
      </c>
      <c r="AV269" s="167">
        <f t="shared" si="180"/>
        <v>0</v>
      </c>
      <c r="AW269" s="167">
        <f t="shared" si="180"/>
        <v>0</v>
      </c>
      <c r="AX269" s="167">
        <f t="shared" si="180"/>
        <v>0</v>
      </c>
      <c r="AY269" s="167">
        <f t="shared" ref="AY269" si="181">AY64/AY200</f>
        <v>0</v>
      </c>
      <c r="AZ269" s="97" t="str">
        <f>AZ64</f>
        <v>Race to the Top for Energy Efficiency and Grid Modernization</v>
      </c>
      <c r="BA269" s="97"/>
      <c r="BB269" s="97"/>
      <c r="BC269" s="97"/>
      <c r="BD269" s="300"/>
      <c r="BE269" s="35"/>
      <c r="BF269"/>
      <c r="BG269" s="50"/>
      <c r="BH269" s="46"/>
      <c r="BI269" s="143"/>
      <c r="BJ269" s="13"/>
      <c r="BK269" s="13"/>
      <c r="BL269" s="35"/>
      <c r="BM269" s="35"/>
      <c r="BN269" s="35"/>
      <c r="BO269" s="35"/>
      <c r="BP269" s="35"/>
      <c r="BQ269" s="35"/>
      <c r="BR269" s="35"/>
      <c r="BS269" s="47"/>
      <c r="BT269" s="3"/>
      <c r="BU269" s="3"/>
      <c r="BV269" s="3"/>
      <c r="BW269" s="3"/>
      <c r="BX269" s="3"/>
      <c r="BY269" s="3"/>
      <c r="BZ269" s="3"/>
      <c r="CA269" s="3"/>
      <c r="CB269" s="3"/>
      <c r="CC269" s="3"/>
    </row>
    <row r="270" spans="1:81" ht="12.75" x14ac:dyDescent="0.35">
      <c r="A270" s="48"/>
      <c r="B270" s="97"/>
      <c r="C270" s="35"/>
      <c r="D270" s="12"/>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167"/>
      <c r="AJ270" s="167"/>
      <c r="AK270" s="167"/>
      <c r="AL270" s="167"/>
      <c r="AM270" s="167"/>
      <c r="AN270" s="167"/>
      <c r="AP270" s="167"/>
      <c r="AQ270" s="97">
        <f>AQ65</f>
        <v>0</v>
      </c>
      <c r="AR270" s="97">
        <f>AR65</f>
        <v>0</v>
      </c>
      <c r="AS270" s="167">
        <f t="shared" ref="AS270:AX270" si="182">AS65/AS200</f>
        <v>1417.4167137210616</v>
      </c>
      <c r="AT270" s="167">
        <f t="shared" si="182"/>
        <v>0</v>
      </c>
      <c r="AU270" s="167">
        <f t="shared" si="182"/>
        <v>0</v>
      </c>
      <c r="AV270" s="167">
        <f t="shared" si="182"/>
        <v>0</v>
      </c>
      <c r="AW270" s="167">
        <f t="shared" si="182"/>
        <v>0</v>
      </c>
      <c r="AX270" s="167">
        <f t="shared" si="182"/>
        <v>0</v>
      </c>
      <c r="AY270" s="167">
        <f t="shared" ref="AY270" si="183">AY65/AY200</f>
        <v>0</v>
      </c>
      <c r="AZ270" s="97" t="str">
        <f>AZ65</f>
        <v>21st Century Clean Transportation Plan Investments</v>
      </c>
      <c r="BA270" s="97"/>
      <c r="BB270" s="97"/>
      <c r="BC270" s="97"/>
      <c r="BD270" s="300"/>
      <c r="BE270" s="35"/>
      <c r="BF270"/>
      <c r="BG270" s="50"/>
      <c r="BH270" s="46"/>
      <c r="BI270" s="143"/>
      <c r="BJ270" s="13"/>
      <c r="BK270" s="13"/>
      <c r="BL270" s="35"/>
      <c r="BM270" s="35"/>
      <c r="BN270" s="35"/>
      <c r="BO270" s="35"/>
      <c r="BP270" s="35"/>
      <c r="BQ270" s="35"/>
      <c r="BR270" s="35"/>
      <c r="BS270" s="47"/>
      <c r="BT270" s="3"/>
      <c r="BU270" s="3"/>
      <c r="BV270" s="3"/>
      <c r="BW270" s="3"/>
      <c r="BX270" s="3"/>
      <c r="BY270" s="3"/>
      <c r="BZ270" s="3"/>
      <c r="CA270" s="3"/>
      <c r="CB270" s="3"/>
      <c r="CC270" s="3"/>
    </row>
    <row r="271" spans="1:81" ht="12.75" x14ac:dyDescent="0.35">
      <c r="A271" s="48"/>
      <c r="B271" s="97"/>
      <c r="C271" s="35"/>
      <c r="D271" s="12"/>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167"/>
      <c r="AJ271" s="167"/>
      <c r="AK271" s="167"/>
      <c r="AL271" s="167"/>
      <c r="AM271" s="167"/>
      <c r="AN271" s="167"/>
      <c r="AP271" s="167"/>
      <c r="AQ271" s="97"/>
      <c r="AR271" s="97"/>
      <c r="AS271" s="167"/>
      <c r="AT271" s="167"/>
      <c r="AU271" s="167"/>
      <c r="AV271" s="167"/>
      <c r="AW271" s="97">
        <f t="shared" ref="AW271" si="184">AW66</f>
        <v>0</v>
      </c>
      <c r="AX271" s="167">
        <f>AX66/AX200</f>
        <v>0</v>
      </c>
      <c r="AY271" s="167">
        <f>AY66/AY200</f>
        <v>0</v>
      </c>
      <c r="AZ271" s="97" t="str">
        <f>AZ66</f>
        <v>Build Back Better Challenge Grants</v>
      </c>
      <c r="BA271" s="97"/>
      <c r="BB271" s="97"/>
      <c r="BC271" s="97"/>
      <c r="BD271" s="300"/>
      <c r="BE271" s="35"/>
      <c r="BF271"/>
      <c r="BG271" s="50"/>
      <c r="BH271" s="46"/>
      <c r="BI271" s="143"/>
      <c r="BJ271" s="13"/>
      <c r="BK271" s="13"/>
      <c r="BL271" s="35"/>
      <c r="BM271" s="35"/>
      <c r="BN271" s="35"/>
      <c r="BO271" s="35"/>
      <c r="BP271" s="35"/>
      <c r="BQ271" s="35"/>
      <c r="BR271" s="35"/>
      <c r="BS271" s="47"/>
      <c r="BT271" s="3"/>
      <c r="BU271" s="3"/>
      <c r="BV271" s="3"/>
      <c r="BW271" s="3"/>
      <c r="BX271" s="3"/>
      <c r="BY271" s="3"/>
      <c r="BZ271" s="3"/>
      <c r="CA271" s="3"/>
      <c r="CB271" s="3"/>
      <c r="CC271" s="3"/>
    </row>
    <row r="272" spans="1:81" ht="12.75" x14ac:dyDescent="0.35">
      <c r="A272" s="48"/>
      <c r="B272" s="97"/>
      <c r="C272" s="35"/>
      <c r="D272" s="12"/>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167"/>
      <c r="AJ272" s="167"/>
      <c r="AK272" s="167"/>
      <c r="AL272" s="167"/>
      <c r="AM272" s="167"/>
      <c r="AN272" s="167"/>
      <c r="AP272" s="167"/>
      <c r="AQ272" s="97"/>
      <c r="AR272" s="97"/>
      <c r="AS272" s="167"/>
      <c r="AT272" s="167"/>
      <c r="AU272" s="167"/>
      <c r="AV272" s="167"/>
      <c r="AW272" s="97">
        <f t="shared" ref="AW272" si="185">AW67</f>
        <v>0</v>
      </c>
      <c r="AX272" s="167">
        <f>AX67/AX200</f>
        <v>0</v>
      </c>
      <c r="AY272" s="167">
        <f>AY67/AY200</f>
        <v>0</v>
      </c>
      <c r="AZ272" s="97" t="str">
        <f>AZ67</f>
        <v>Local Government Clean Energy Workforce Program</v>
      </c>
      <c r="BA272" s="97"/>
      <c r="BB272" s="97"/>
      <c r="BC272" s="97"/>
      <c r="BD272" s="300"/>
      <c r="BE272" s="35"/>
      <c r="BF272"/>
      <c r="BG272" s="50"/>
      <c r="BH272" s="46"/>
      <c r="BI272" s="143"/>
      <c r="BJ272" s="13"/>
      <c r="BK272" s="13"/>
      <c r="BL272" s="35"/>
      <c r="BM272" s="35"/>
      <c r="BN272" s="35"/>
      <c r="BO272" s="35"/>
      <c r="BP272" s="35"/>
      <c r="BQ272" s="35"/>
      <c r="BR272" s="35"/>
      <c r="BS272" s="47"/>
      <c r="BT272" s="3"/>
      <c r="BU272" s="3"/>
      <c r="BV272" s="3"/>
      <c r="BW272" s="3"/>
      <c r="BX272" s="3"/>
      <c r="BY272" s="3"/>
      <c r="BZ272" s="3"/>
      <c r="CA272" s="3"/>
      <c r="CB272" s="3"/>
      <c r="CC272" s="3"/>
    </row>
    <row r="273" spans="1:81" ht="12.75" x14ac:dyDescent="0.35">
      <c r="A273" s="48"/>
      <c r="B273" s="35"/>
      <c r="C273" s="35"/>
      <c r="D273" s="12"/>
      <c r="E273" s="153"/>
      <c r="F273" s="153"/>
      <c r="G273" s="153"/>
      <c r="H273" s="153"/>
      <c r="I273" s="153"/>
      <c r="J273" s="153"/>
      <c r="K273" s="153"/>
      <c r="L273" s="153"/>
      <c r="M273" s="153"/>
      <c r="N273" s="153"/>
      <c r="O273" s="153"/>
      <c r="P273" s="153"/>
      <c r="Q273" s="153"/>
      <c r="R273" s="153"/>
      <c r="S273" s="153"/>
      <c r="T273" s="153"/>
      <c r="U273" s="154"/>
      <c r="V273" s="154"/>
      <c r="W273" s="153"/>
      <c r="X273" s="154"/>
      <c r="Y273" s="153"/>
      <c r="Z273" s="153"/>
      <c r="AA273" s="154"/>
      <c r="AB273" s="153"/>
      <c r="AC273" s="153"/>
      <c r="AD273" s="154"/>
      <c r="AE273" s="153"/>
      <c r="AF273" s="153"/>
      <c r="AG273" s="153"/>
      <c r="AH273" s="153"/>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00"/>
      <c r="BE273" s="35"/>
      <c r="BF273"/>
      <c r="BG273" s="50"/>
      <c r="BH273" s="46"/>
      <c r="BI273" s="143"/>
      <c r="BJ273" s="13"/>
      <c r="BK273" s="13"/>
      <c r="BL273" s="35"/>
      <c r="BM273" s="35"/>
      <c r="BN273" s="35"/>
      <c r="BO273" s="35"/>
      <c r="BP273" s="35"/>
      <c r="BQ273" s="35"/>
      <c r="BR273" s="35"/>
      <c r="BS273" s="47"/>
      <c r="BT273" s="3"/>
      <c r="BU273" s="3"/>
      <c r="BV273" s="3"/>
      <c r="BW273" s="3"/>
      <c r="BX273" s="3"/>
      <c r="BY273" s="3"/>
      <c r="BZ273" s="3"/>
      <c r="CA273" s="3"/>
      <c r="CB273" s="3"/>
      <c r="CC273" s="3"/>
    </row>
    <row r="274" spans="1:81" ht="12.75" x14ac:dyDescent="0.35">
      <c r="A274" s="48"/>
      <c r="B274" s="110" t="s">
        <v>150</v>
      </c>
      <c r="C274" s="35"/>
      <c r="D274" s="12"/>
      <c r="E274" s="158"/>
      <c r="F274" s="158"/>
      <c r="G274" s="158"/>
      <c r="H274" s="158"/>
      <c r="I274" s="158"/>
      <c r="J274" s="158"/>
      <c r="K274" s="158"/>
      <c r="L274" s="158"/>
      <c r="M274" s="158"/>
      <c r="N274" s="158"/>
      <c r="O274" s="158"/>
      <c r="P274" s="158"/>
      <c r="Q274" s="158"/>
      <c r="R274" s="158"/>
      <c r="S274" s="158"/>
      <c r="T274" s="158"/>
      <c r="U274" s="159"/>
      <c r="V274" s="159"/>
      <c r="W274" s="158"/>
      <c r="X274" s="159"/>
      <c r="Y274" s="158"/>
      <c r="Z274" s="158"/>
      <c r="AA274" s="159"/>
      <c r="AB274" s="158"/>
      <c r="AC274" s="158"/>
      <c r="AD274" s="159"/>
      <c r="AE274" s="158"/>
      <c r="AF274" s="158"/>
      <c r="AG274" s="158"/>
      <c r="AH274" s="158"/>
      <c r="AI274" s="35"/>
      <c r="AJ274" s="35"/>
      <c r="AK274" s="35"/>
      <c r="AL274" s="35"/>
      <c r="AM274" s="35"/>
      <c r="AN274" s="35"/>
      <c r="AO274" s="35"/>
      <c r="AP274" s="35"/>
      <c r="AQ274" s="35"/>
      <c r="AR274" s="35"/>
      <c r="AS274" s="35"/>
      <c r="AT274" s="35"/>
      <c r="AU274" s="35"/>
      <c r="AV274" s="35"/>
      <c r="AW274" s="35"/>
      <c r="AX274" s="35"/>
      <c r="AY274" s="35"/>
      <c r="AZ274" s="110" t="s">
        <v>150</v>
      </c>
      <c r="BA274" s="35"/>
      <c r="BB274" s="35"/>
      <c r="BC274" s="35"/>
      <c r="BD274" s="300"/>
      <c r="BE274" s="35"/>
      <c r="BF274"/>
      <c r="BG274" s="50"/>
      <c r="BH274" s="46"/>
      <c r="BI274" s="143"/>
      <c r="BJ274" s="13"/>
      <c r="BK274" s="13"/>
      <c r="BL274" s="35"/>
      <c r="BM274" s="35"/>
      <c r="BN274" s="35"/>
      <c r="BO274" s="35"/>
      <c r="BP274" s="35"/>
      <c r="BQ274" s="35"/>
      <c r="BR274" s="35"/>
      <c r="BS274" s="47"/>
      <c r="BT274" s="3"/>
      <c r="BU274" s="3"/>
      <c r="BV274" s="3"/>
      <c r="BW274" s="3"/>
      <c r="BX274" s="3"/>
      <c r="BY274" s="3"/>
      <c r="BZ274" s="3"/>
      <c r="CA274" s="3"/>
      <c r="CB274" s="3"/>
      <c r="CC274" s="3"/>
    </row>
    <row r="275" spans="1:81" ht="12.75" x14ac:dyDescent="0.35">
      <c r="A275" s="48"/>
      <c r="B275" s="101" t="s">
        <v>152</v>
      </c>
      <c r="C275" s="35"/>
      <c r="D275" s="12"/>
      <c r="E275" s="98">
        <f t="shared" ref="E275:AX275" si="186">E74/E200</f>
        <v>0</v>
      </c>
      <c r="F275" s="98">
        <f t="shared" si="186"/>
        <v>0</v>
      </c>
      <c r="G275" s="98">
        <f t="shared" si="186"/>
        <v>0</v>
      </c>
      <c r="H275" s="98">
        <f t="shared" si="186"/>
        <v>0</v>
      </c>
      <c r="I275" s="98">
        <f t="shared" si="186"/>
        <v>0</v>
      </c>
      <c r="J275" s="98">
        <f t="shared" si="186"/>
        <v>0</v>
      </c>
      <c r="K275" s="98">
        <f t="shared" si="186"/>
        <v>0</v>
      </c>
      <c r="L275" s="98">
        <f t="shared" si="186"/>
        <v>0</v>
      </c>
      <c r="M275" s="98">
        <f t="shared" si="186"/>
        <v>0</v>
      </c>
      <c r="N275" s="98">
        <f t="shared" si="186"/>
        <v>0</v>
      </c>
      <c r="O275" s="98">
        <f t="shared" si="186"/>
        <v>0</v>
      </c>
      <c r="P275" s="98">
        <f t="shared" si="186"/>
        <v>0</v>
      </c>
      <c r="Q275" s="98">
        <f t="shared" si="186"/>
        <v>0</v>
      </c>
      <c r="R275" s="98">
        <f t="shared" si="186"/>
        <v>0</v>
      </c>
      <c r="S275" s="98">
        <f t="shared" si="186"/>
        <v>0</v>
      </c>
      <c r="T275" s="98">
        <f t="shared" si="186"/>
        <v>0</v>
      </c>
      <c r="U275" s="98">
        <f t="shared" si="186"/>
        <v>0</v>
      </c>
      <c r="V275" s="98">
        <f t="shared" si="186"/>
        <v>0</v>
      </c>
      <c r="W275" s="98">
        <f t="shared" si="186"/>
        <v>0</v>
      </c>
      <c r="X275" s="98">
        <f t="shared" si="186"/>
        <v>0</v>
      </c>
      <c r="Y275" s="98">
        <f t="shared" si="186"/>
        <v>0</v>
      </c>
      <c r="Z275" s="98">
        <f t="shared" si="186"/>
        <v>0</v>
      </c>
      <c r="AA275" s="98">
        <f t="shared" si="186"/>
        <v>0</v>
      </c>
      <c r="AB275" s="98">
        <f t="shared" si="186"/>
        <v>0</v>
      </c>
      <c r="AC275" s="98">
        <f t="shared" si="186"/>
        <v>0</v>
      </c>
      <c r="AD275" s="98">
        <f t="shared" si="186"/>
        <v>0</v>
      </c>
      <c r="AE275" s="98">
        <f t="shared" si="186"/>
        <v>0</v>
      </c>
      <c r="AF275" s="98">
        <f t="shared" si="186"/>
        <v>0</v>
      </c>
      <c r="AG275" s="98">
        <f t="shared" si="186"/>
        <v>0</v>
      </c>
      <c r="AH275" s="98">
        <f t="shared" si="186"/>
        <v>0</v>
      </c>
      <c r="AI275" s="115">
        <f t="shared" si="186"/>
        <v>5.3866312997347485</v>
      </c>
      <c r="AJ275" s="115">
        <f t="shared" si="186"/>
        <v>0</v>
      </c>
      <c r="AK275" s="115">
        <f t="shared" si="186"/>
        <v>0</v>
      </c>
      <c r="AL275" s="115">
        <f t="shared" si="186"/>
        <v>0</v>
      </c>
      <c r="AM275" s="115">
        <f t="shared" si="186"/>
        <v>195.44256839526338</v>
      </c>
      <c r="AN275" s="115">
        <f t="shared" si="186"/>
        <v>0</v>
      </c>
      <c r="AO275" s="115">
        <f t="shared" si="186"/>
        <v>0</v>
      </c>
      <c r="AP275" s="115">
        <f t="shared" si="186"/>
        <v>21.868579182012017</v>
      </c>
      <c r="AQ275" s="115">
        <f t="shared" si="186"/>
        <v>18.487950645845384</v>
      </c>
      <c r="AR275" s="115">
        <f t="shared" si="186"/>
        <v>18.364036767522023</v>
      </c>
      <c r="AS275" s="115">
        <f t="shared" si="186"/>
        <v>-0.10617353660831923</v>
      </c>
      <c r="AT275" s="115">
        <f t="shared" si="186"/>
        <v>32.091853079259877</v>
      </c>
      <c r="AU275" s="115">
        <f t="shared" si="186"/>
        <v>12.559380939451536</v>
      </c>
      <c r="AV275" s="115">
        <f t="shared" si="186"/>
        <v>34</v>
      </c>
      <c r="AW275" s="115">
        <f t="shared" si="186"/>
        <v>28.263476157567382</v>
      </c>
      <c r="AX275" s="115">
        <f t="shared" si="186"/>
        <v>26.846475752851404</v>
      </c>
      <c r="AY275" s="115">
        <f t="shared" ref="AY275" si="187">AY74/AY200</f>
        <v>152.041695376973</v>
      </c>
      <c r="AZ275" s="101" t="str">
        <f>AZ74</f>
        <v>Title 17 - Innovative technology loan guarantee program - renewable, adv. fossil, hydrogen fuel cells, adv. nuclear, CCS, efficiency, pollution control, refineries; FY22 on incl. Loan Guarantee Credit Subsidy</v>
      </c>
      <c r="BA275" s="35"/>
      <c r="BB275" s="35"/>
      <c r="BC275" s="35"/>
      <c r="BD275" s="300"/>
      <c r="BE275" s="35"/>
      <c r="BF275"/>
      <c r="BG275" s="50"/>
      <c r="BH275" s="46"/>
      <c r="BI275" s="143"/>
      <c r="BJ275" s="13"/>
      <c r="BK275" s="13"/>
      <c r="BL275" s="35"/>
      <c r="BM275" s="35"/>
      <c r="BN275" s="35"/>
      <c r="BO275" s="35"/>
      <c r="BP275" s="35"/>
      <c r="BQ275" s="35"/>
      <c r="BR275" s="35"/>
      <c r="BS275" s="47"/>
      <c r="BT275" s="3"/>
      <c r="BU275" s="3"/>
      <c r="BV275" s="3"/>
      <c r="BW275" s="3"/>
      <c r="BX275" s="3"/>
      <c r="BY275" s="3"/>
      <c r="BZ275" s="3"/>
      <c r="CA275" s="3"/>
      <c r="CB275" s="3"/>
      <c r="CC275" s="3"/>
    </row>
    <row r="276" spans="1:81" ht="12.75" x14ac:dyDescent="0.35">
      <c r="A276" s="48"/>
      <c r="B276" s="101"/>
      <c r="C276" s="35"/>
      <c r="D276" s="12"/>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115"/>
      <c r="AJ276" s="115"/>
      <c r="AK276" s="115"/>
      <c r="AL276" s="115"/>
      <c r="AM276" s="115"/>
      <c r="AN276" s="115"/>
      <c r="AO276" s="115"/>
      <c r="AP276" s="115"/>
      <c r="AQ276" s="115"/>
      <c r="AR276" s="115"/>
      <c r="AS276" s="115"/>
      <c r="AT276" s="115"/>
      <c r="AU276" s="115"/>
      <c r="AV276" s="115">
        <f t="shared" ref="AV276:AW276" si="188">AV75/AV200</f>
        <v>0</v>
      </c>
      <c r="AW276" s="115">
        <f t="shared" si="188"/>
        <v>-2241.5860400829306</v>
      </c>
      <c r="AX276" s="115">
        <f>AX75/AX200</f>
        <v>0</v>
      </c>
      <c r="AY276" s="115">
        <f>AY75/AY200</f>
        <v>0</v>
      </c>
      <c r="AZ276" s="101" t="str">
        <f>AZ75</f>
        <v xml:space="preserve">       Rescision of Emergency Funding (for Title 17 and Advanced Technology Vehicle Manufacturing Loan Program)</v>
      </c>
      <c r="BA276" s="35"/>
      <c r="BB276" s="35"/>
      <c r="BC276" s="35"/>
      <c r="BD276" s="300"/>
      <c r="BE276" s="35"/>
      <c r="BF276"/>
      <c r="BG276" s="50"/>
      <c r="BH276" s="46"/>
      <c r="BI276" s="143"/>
      <c r="BJ276" s="13"/>
      <c r="BK276" s="13"/>
      <c r="BL276" s="35"/>
      <c r="BM276" s="35"/>
      <c r="BN276" s="35"/>
      <c r="BO276" s="35"/>
      <c r="BP276" s="35"/>
      <c r="BQ276" s="35"/>
      <c r="BR276" s="35"/>
      <c r="BS276" s="47"/>
      <c r="BT276" s="3"/>
      <c r="BU276" s="3"/>
      <c r="BV276" s="3"/>
      <c r="BW276" s="3"/>
      <c r="BX276" s="3"/>
      <c r="BY276" s="3"/>
      <c r="BZ276" s="3"/>
      <c r="CA276" s="3"/>
      <c r="CB276" s="3"/>
      <c r="CC276" s="3"/>
    </row>
    <row r="277" spans="1:81" ht="12.75" x14ac:dyDescent="0.35">
      <c r="A277" s="48"/>
      <c r="B277" s="101" t="s">
        <v>153</v>
      </c>
      <c r="C277" s="35"/>
      <c r="D277" s="12"/>
      <c r="E277" s="98">
        <f t="shared" ref="E277:AX277" si="189">E76/E200</f>
        <v>0</v>
      </c>
      <c r="F277" s="98">
        <f t="shared" si="189"/>
        <v>0</v>
      </c>
      <c r="G277" s="98">
        <f t="shared" si="189"/>
        <v>0</v>
      </c>
      <c r="H277" s="98">
        <f t="shared" si="189"/>
        <v>0</v>
      </c>
      <c r="I277" s="98">
        <f t="shared" si="189"/>
        <v>0</v>
      </c>
      <c r="J277" s="98">
        <f t="shared" si="189"/>
        <v>0</v>
      </c>
      <c r="K277" s="98">
        <f t="shared" si="189"/>
        <v>0</v>
      </c>
      <c r="L277" s="98">
        <f t="shared" si="189"/>
        <v>0</v>
      </c>
      <c r="M277" s="98">
        <f t="shared" si="189"/>
        <v>0</v>
      </c>
      <c r="N277" s="98">
        <f t="shared" si="189"/>
        <v>0</v>
      </c>
      <c r="O277" s="98">
        <f t="shared" si="189"/>
        <v>0</v>
      </c>
      <c r="P277" s="98">
        <f t="shared" si="189"/>
        <v>0</v>
      </c>
      <c r="Q277" s="98">
        <f t="shared" si="189"/>
        <v>0</v>
      </c>
      <c r="R277" s="98">
        <f t="shared" si="189"/>
        <v>0</v>
      </c>
      <c r="S277" s="98">
        <f t="shared" si="189"/>
        <v>0</v>
      </c>
      <c r="T277" s="98">
        <f t="shared" si="189"/>
        <v>0</v>
      </c>
      <c r="U277" s="98">
        <f t="shared" si="189"/>
        <v>0</v>
      </c>
      <c r="V277" s="98">
        <f t="shared" si="189"/>
        <v>0</v>
      </c>
      <c r="W277" s="98">
        <f t="shared" si="189"/>
        <v>0</v>
      </c>
      <c r="X277" s="98">
        <f t="shared" si="189"/>
        <v>0</v>
      </c>
      <c r="Y277" s="98">
        <f t="shared" si="189"/>
        <v>0</v>
      </c>
      <c r="Z277" s="98">
        <f t="shared" si="189"/>
        <v>0</v>
      </c>
      <c r="AA277" s="98">
        <f t="shared" si="189"/>
        <v>0</v>
      </c>
      <c r="AB277" s="98">
        <f t="shared" si="189"/>
        <v>0</v>
      </c>
      <c r="AC277" s="98">
        <f t="shared" si="189"/>
        <v>0</v>
      </c>
      <c r="AD277" s="98">
        <f t="shared" si="189"/>
        <v>0</v>
      </c>
      <c r="AE277" s="98">
        <f t="shared" si="189"/>
        <v>0</v>
      </c>
      <c r="AF277" s="98">
        <f t="shared" si="189"/>
        <v>0</v>
      </c>
      <c r="AG277" s="98">
        <f t="shared" si="189"/>
        <v>0</v>
      </c>
      <c r="AH277" s="98">
        <f t="shared" si="189"/>
        <v>0</v>
      </c>
      <c r="AI277" s="115">
        <f t="shared" si="189"/>
        <v>0</v>
      </c>
      <c r="AJ277" s="115">
        <f t="shared" si="189"/>
        <v>0</v>
      </c>
      <c r="AK277" s="115">
        <f t="shared" si="189"/>
        <v>4746.2785509401892</v>
      </c>
      <c r="AL277" s="115">
        <f t="shared" si="189"/>
        <v>0</v>
      </c>
      <c r="AM277" s="115">
        <f t="shared" si="189"/>
        <v>0</v>
      </c>
      <c r="AN277" s="115">
        <f t="shared" si="189"/>
        <v>0</v>
      </c>
      <c r="AO277" s="115">
        <f t="shared" si="189"/>
        <v>0</v>
      </c>
      <c r="AP277" s="115">
        <f t="shared" si="189"/>
        <v>0</v>
      </c>
      <c r="AQ277" s="115">
        <f t="shared" si="189"/>
        <v>0</v>
      </c>
      <c r="AR277" s="115">
        <f t="shared" si="189"/>
        <v>0</v>
      </c>
      <c r="AS277" s="115">
        <f t="shared" si="189"/>
        <v>0</v>
      </c>
      <c r="AT277" s="115">
        <f t="shared" si="189"/>
        <v>0</v>
      </c>
      <c r="AU277" s="115">
        <f t="shared" si="189"/>
        <v>0</v>
      </c>
      <c r="AV277" s="115">
        <f t="shared" si="189"/>
        <v>0</v>
      </c>
      <c r="AW277" s="115">
        <f t="shared" si="189"/>
        <v>0</v>
      </c>
      <c r="AX277" s="115">
        <f t="shared" si="189"/>
        <v>0</v>
      </c>
      <c r="AY277" s="115">
        <f t="shared" ref="AY277" si="190">AY76/AY200</f>
        <v>0</v>
      </c>
      <c r="AZ277" s="101" t="s">
        <v>153</v>
      </c>
      <c r="BA277" s="35"/>
      <c r="BB277" s="35"/>
      <c r="BC277" s="35"/>
      <c r="BD277" s="300"/>
      <c r="BE277" s="35"/>
      <c r="BF277"/>
      <c r="BG277" s="50"/>
      <c r="BH277" s="46"/>
      <c r="BI277" s="143"/>
      <c r="BJ277" s="13"/>
      <c r="BK277" s="13"/>
      <c r="BL277" s="35"/>
      <c r="BM277" s="35"/>
      <c r="BN277" s="35"/>
      <c r="BO277" s="35"/>
      <c r="BP277" s="35"/>
      <c r="BQ277" s="35"/>
      <c r="BR277" s="35"/>
      <c r="BS277" s="47"/>
      <c r="BT277" s="3"/>
      <c r="BU277" s="3"/>
      <c r="BV277" s="3"/>
      <c r="BW277" s="3"/>
      <c r="BX277" s="3"/>
      <c r="BY277" s="3"/>
      <c r="BZ277" s="3"/>
      <c r="CA277" s="3"/>
      <c r="CB277" s="3"/>
      <c r="CC277" s="3"/>
    </row>
    <row r="278" spans="1:81" ht="12.75" x14ac:dyDescent="0.35">
      <c r="A278" s="48"/>
      <c r="B278" s="101" t="str">
        <f>AZ278</f>
        <v>Home Energy Retrofit Rebate Program (HomeStar)</v>
      </c>
      <c r="C278" s="35"/>
      <c r="D278" s="12"/>
      <c r="E278" s="98"/>
      <c r="F278" s="98"/>
      <c r="G278" s="98"/>
      <c r="H278" s="98"/>
      <c r="I278" s="98"/>
      <c r="J278" s="98"/>
      <c r="K278" s="98"/>
      <c r="L278" s="98"/>
      <c r="M278" s="98"/>
      <c r="N278" s="98"/>
      <c r="O278" s="98"/>
      <c r="P278" s="98"/>
      <c r="Q278" s="98"/>
      <c r="R278" s="98"/>
      <c r="S278" s="98"/>
      <c r="T278" s="98"/>
      <c r="U278" s="98"/>
      <c r="V278" s="98"/>
      <c r="W278" s="98"/>
      <c r="X278" s="98"/>
      <c r="Y278" s="98"/>
      <c r="Z278" s="98"/>
      <c r="AA278" s="99"/>
      <c r="AB278" s="98"/>
      <c r="AC278" s="98"/>
      <c r="AD278" s="98"/>
      <c r="AE278" s="98"/>
      <c r="AF278" s="98"/>
      <c r="AG278" s="98"/>
      <c r="AH278" s="98"/>
      <c r="AI278" s="115"/>
      <c r="AJ278" s="115"/>
      <c r="AK278" s="115">
        <f t="shared" ref="AK278:AS278" si="191">AK77/AK200</f>
        <v>0</v>
      </c>
      <c r="AL278" s="115">
        <f t="shared" si="191"/>
        <v>0</v>
      </c>
      <c r="AM278" s="115">
        <f t="shared" si="191"/>
        <v>0</v>
      </c>
      <c r="AN278" s="115">
        <f t="shared" si="191"/>
        <v>0</v>
      </c>
      <c r="AO278" s="115">
        <f t="shared" si="191"/>
        <v>0</v>
      </c>
      <c r="AP278" s="115">
        <f t="shared" si="191"/>
        <v>0</v>
      </c>
      <c r="AQ278" s="115">
        <f t="shared" si="191"/>
        <v>0</v>
      </c>
      <c r="AR278" s="115">
        <f t="shared" si="191"/>
        <v>0</v>
      </c>
      <c r="AS278" s="115">
        <f t="shared" si="191"/>
        <v>0</v>
      </c>
      <c r="AT278" s="115">
        <f t="shared" ref="AT278:AX278" si="192">AT77/AT200</f>
        <v>0</v>
      </c>
      <c r="AU278" s="115">
        <f t="shared" si="192"/>
        <v>0</v>
      </c>
      <c r="AV278" s="115">
        <f t="shared" si="192"/>
        <v>0</v>
      </c>
      <c r="AW278" s="115">
        <f t="shared" si="192"/>
        <v>0</v>
      </c>
      <c r="AX278" s="115">
        <f t="shared" si="192"/>
        <v>0</v>
      </c>
      <c r="AY278" s="115">
        <f t="shared" ref="AY278" si="193">AY77/AY200</f>
        <v>0</v>
      </c>
      <c r="AZ278" s="101" t="str">
        <f>AZ77</f>
        <v>Home Energy Retrofit Rebate Program (HomeStar)</v>
      </c>
      <c r="BA278" s="35"/>
      <c r="BB278" s="35"/>
      <c r="BC278" s="35"/>
      <c r="BD278" s="300"/>
      <c r="BE278" s="35"/>
      <c r="BF278"/>
      <c r="BG278" s="50"/>
      <c r="BH278" s="46"/>
      <c r="BI278" s="143"/>
      <c r="BJ278" s="13"/>
      <c r="BK278" s="13"/>
      <c r="BL278" s="35"/>
      <c r="BM278" s="35"/>
      <c r="BN278" s="35"/>
      <c r="BO278" s="35"/>
      <c r="BP278" s="35"/>
      <c r="BQ278" s="35"/>
      <c r="BR278" s="35"/>
      <c r="BS278" s="47"/>
      <c r="BT278" s="3"/>
      <c r="BU278" s="3"/>
      <c r="BV278" s="3"/>
      <c r="BW278" s="3"/>
      <c r="BX278" s="3"/>
      <c r="BY278" s="3"/>
      <c r="BZ278" s="3"/>
      <c r="CA278" s="3"/>
      <c r="CB278" s="3"/>
      <c r="CC278" s="3"/>
    </row>
    <row r="279" spans="1:81" ht="12.75" x14ac:dyDescent="0.35">
      <c r="A279" s="48"/>
      <c r="B279" s="101" t="str">
        <f>AZ279</f>
        <v>Advanced Vehicles Community Development Challenge</v>
      </c>
      <c r="C279" s="35"/>
      <c r="D279" s="12"/>
      <c r="E279" s="98"/>
      <c r="F279" s="98"/>
      <c r="G279" s="98"/>
      <c r="H279" s="98"/>
      <c r="I279" s="98"/>
      <c r="J279" s="98"/>
      <c r="K279" s="98"/>
      <c r="L279" s="98"/>
      <c r="M279" s="98"/>
      <c r="N279" s="98"/>
      <c r="O279" s="98"/>
      <c r="P279" s="98"/>
      <c r="Q279" s="98"/>
      <c r="R279" s="98"/>
      <c r="S279" s="98"/>
      <c r="T279" s="98"/>
      <c r="U279" s="98"/>
      <c r="V279" s="98"/>
      <c r="W279" s="98"/>
      <c r="X279" s="98"/>
      <c r="Y279" s="98"/>
      <c r="Z279" s="98"/>
      <c r="AA279" s="99"/>
      <c r="AB279" s="98"/>
      <c r="AC279" s="98"/>
      <c r="AD279" s="98"/>
      <c r="AE279" s="98"/>
      <c r="AF279" s="98"/>
      <c r="AG279" s="98"/>
      <c r="AH279" s="98"/>
      <c r="AI279" s="115"/>
      <c r="AJ279" s="115"/>
      <c r="AK279" s="115"/>
      <c r="AL279" s="115"/>
      <c r="AM279" s="115"/>
      <c r="AN279" s="115"/>
      <c r="AO279" s="115">
        <f>AO79/AO200</f>
        <v>0</v>
      </c>
      <c r="AP279" s="115">
        <f>AP79/AP200</f>
        <v>0</v>
      </c>
      <c r="AQ279" s="115">
        <f>AQ79/AQ200</f>
        <v>0</v>
      </c>
      <c r="AR279" s="115">
        <f>AR79/AR200</f>
        <v>0</v>
      </c>
      <c r="AS279" s="115">
        <f>AS79/AS200</f>
        <v>0</v>
      </c>
      <c r="AT279" s="115">
        <f t="shared" ref="AT279:AX279" si="194">AT79/AT200</f>
        <v>0</v>
      </c>
      <c r="AU279" s="115">
        <f t="shared" si="194"/>
        <v>0</v>
      </c>
      <c r="AV279" s="115">
        <f t="shared" si="194"/>
        <v>0</v>
      </c>
      <c r="AW279" s="115">
        <f t="shared" si="194"/>
        <v>4.8730131306150657</v>
      </c>
      <c r="AX279" s="115">
        <f t="shared" si="194"/>
        <v>4.6287027160088625</v>
      </c>
      <c r="AY279" s="115">
        <f t="shared" ref="AY279" si="195">AY79/AY200</f>
        <v>8.8585530005608533</v>
      </c>
      <c r="AZ279" s="101" t="str">
        <f>AZ79</f>
        <v>Advanced Vehicles Community Development Challenge</v>
      </c>
      <c r="BA279" s="35"/>
      <c r="BB279" s="35"/>
      <c r="BC279" s="35"/>
      <c r="BD279" s="300"/>
      <c r="BE279" s="35"/>
      <c r="BF279"/>
      <c r="BG279" s="50"/>
      <c r="BH279" s="46"/>
      <c r="BI279" s="143"/>
      <c r="BJ279" s="13"/>
      <c r="BK279" s="13"/>
      <c r="BL279" s="35"/>
      <c r="BM279" s="35"/>
      <c r="BN279" s="35"/>
      <c r="BO279" s="35"/>
      <c r="BP279" s="35"/>
      <c r="BQ279" s="35"/>
      <c r="BR279" s="35"/>
      <c r="BS279" s="47"/>
      <c r="BT279" s="3"/>
      <c r="BU279" s="3"/>
      <c r="BV279" s="3"/>
      <c r="BW279" s="3"/>
      <c r="BX279" s="3"/>
      <c r="BY279" s="3"/>
      <c r="BZ279" s="3"/>
      <c r="CA279" s="3"/>
      <c r="CB279" s="3"/>
      <c r="CC279" s="3"/>
    </row>
    <row r="280" spans="1:81" ht="12.75" x14ac:dyDescent="0.35">
      <c r="A280" s="48"/>
      <c r="B280" s="106" t="s">
        <v>151</v>
      </c>
      <c r="C280" s="35"/>
      <c r="D280" s="12"/>
      <c r="E280" s="98">
        <f t="shared" ref="E280:AX280" si="196">E80/E200</f>
        <v>0</v>
      </c>
      <c r="F280" s="98">
        <f t="shared" si="196"/>
        <v>0</v>
      </c>
      <c r="G280" s="98">
        <f t="shared" si="196"/>
        <v>0</v>
      </c>
      <c r="H280" s="98">
        <f t="shared" si="196"/>
        <v>0</v>
      </c>
      <c r="I280" s="98">
        <f t="shared" si="196"/>
        <v>0</v>
      </c>
      <c r="J280" s="98">
        <f t="shared" si="196"/>
        <v>0</v>
      </c>
      <c r="K280" s="98">
        <f t="shared" si="196"/>
        <v>0</v>
      </c>
      <c r="L280" s="98">
        <f t="shared" si="196"/>
        <v>0</v>
      </c>
      <c r="M280" s="98">
        <f t="shared" si="196"/>
        <v>0</v>
      </c>
      <c r="N280" s="98">
        <f t="shared" si="196"/>
        <v>0</v>
      </c>
      <c r="O280" s="98">
        <f t="shared" si="196"/>
        <v>0</v>
      </c>
      <c r="P280" s="98">
        <f t="shared" si="196"/>
        <v>0</v>
      </c>
      <c r="Q280" s="98">
        <f t="shared" si="196"/>
        <v>0</v>
      </c>
      <c r="R280" s="98">
        <f t="shared" si="196"/>
        <v>0</v>
      </c>
      <c r="S280" s="98">
        <f t="shared" si="196"/>
        <v>0</v>
      </c>
      <c r="T280" s="98">
        <f t="shared" si="196"/>
        <v>0</v>
      </c>
      <c r="U280" s="98">
        <f t="shared" si="196"/>
        <v>0</v>
      </c>
      <c r="V280" s="98">
        <f t="shared" si="196"/>
        <v>0</v>
      </c>
      <c r="W280" s="98">
        <f t="shared" si="196"/>
        <v>0</v>
      </c>
      <c r="X280" s="98">
        <f t="shared" si="196"/>
        <v>0</v>
      </c>
      <c r="Y280" s="98">
        <f t="shared" si="196"/>
        <v>0</v>
      </c>
      <c r="Z280" s="98">
        <f t="shared" si="196"/>
        <v>0</v>
      </c>
      <c r="AA280" s="98">
        <f t="shared" si="196"/>
        <v>0</v>
      </c>
      <c r="AB280" s="98">
        <f t="shared" si="196"/>
        <v>0</v>
      </c>
      <c r="AC280" s="98">
        <f t="shared" si="196"/>
        <v>0</v>
      </c>
      <c r="AD280" s="98">
        <f t="shared" si="196"/>
        <v>0</v>
      </c>
      <c r="AE280" s="98">
        <f t="shared" si="196"/>
        <v>0</v>
      </c>
      <c r="AF280" s="98">
        <f t="shared" si="196"/>
        <v>0</v>
      </c>
      <c r="AG280" s="98">
        <f t="shared" si="196"/>
        <v>0</v>
      </c>
      <c r="AH280" s="98">
        <f t="shared" si="196"/>
        <v>0</v>
      </c>
      <c r="AI280" s="115">
        <f t="shared" si="196"/>
        <v>5.3866312997347485</v>
      </c>
      <c r="AJ280" s="115">
        <f t="shared" si="196"/>
        <v>0</v>
      </c>
      <c r="AK280" s="115">
        <f t="shared" si="196"/>
        <v>4746.2785509401892</v>
      </c>
      <c r="AL280" s="115">
        <f t="shared" si="196"/>
        <v>0</v>
      </c>
      <c r="AM280" s="115">
        <f t="shared" si="196"/>
        <v>195.44256839526338</v>
      </c>
      <c r="AN280" s="115">
        <f t="shared" si="196"/>
        <v>0</v>
      </c>
      <c r="AO280" s="115">
        <f t="shared" si="196"/>
        <v>0</v>
      </c>
      <c r="AP280" s="115">
        <f t="shared" si="196"/>
        <v>21.868579182012017</v>
      </c>
      <c r="AQ280" s="115">
        <f t="shared" si="196"/>
        <v>18.487950645845384</v>
      </c>
      <c r="AR280" s="115">
        <f t="shared" si="196"/>
        <v>18.364036767522023</v>
      </c>
      <c r="AS280" s="115">
        <f t="shared" si="196"/>
        <v>-0.10617353660831923</v>
      </c>
      <c r="AT280" s="115">
        <f t="shared" si="196"/>
        <v>32.091853079259877</v>
      </c>
      <c r="AU280" s="115">
        <f t="shared" si="196"/>
        <v>12.559380939451536</v>
      </c>
      <c r="AV280" s="115">
        <f t="shared" si="196"/>
        <v>34</v>
      </c>
      <c r="AW280" s="115">
        <f t="shared" si="196"/>
        <v>-2206.5003455425017</v>
      </c>
      <c r="AX280" s="115">
        <f t="shared" si="196"/>
        <v>33.326659555263809</v>
      </c>
      <c r="AY280" s="115">
        <f t="shared" ref="AY280" si="197">AY80/AY200</f>
        <v>162.61772293886708</v>
      </c>
      <c r="AZ280" s="106" t="s">
        <v>151</v>
      </c>
      <c r="BA280" s="35"/>
      <c r="BB280" s="35"/>
      <c r="BC280" s="35"/>
      <c r="BD280" s="300"/>
      <c r="BE280" s="35"/>
      <c r="BF280"/>
      <c r="BG280" s="50"/>
      <c r="BH280" s="46"/>
      <c r="BI280" s="143"/>
      <c r="BJ280" s="13"/>
      <c r="BK280" s="13"/>
      <c r="BL280" s="35"/>
      <c r="BM280" s="35"/>
      <c r="BN280" s="35"/>
      <c r="BO280" s="35"/>
      <c r="BP280" s="35"/>
      <c r="BQ280" s="35"/>
      <c r="BR280" s="35"/>
      <c r="BS280" s="47"/>
      <c r="BT280" s="3"/>
      <c r="BU280" s="3"/>
      <c r="BV280" s="3"/>
      <c r="BW280" s="3"/>
      <c r="BX280" s="3"/>
      <c r="BY280" s="3"/>
      <c r="BZ280" s="3"/>
      <c r="CA280" s="3"/>
      <c r="CB280" s="3"/>
      <c r="CC280" s="3"/>
    </row>
    <row r="281" spans="1:81" ht="12.75" x14ac:dyDescent="0.35">
      <c r="A281" s="48"/>
      <c r="B281" s="35"/>
      <c r="C281" s="35"/>
      <c r="D281" s="12"/>
      <c r="E281" s="153"/>
      <c r="F281" s="153"/>
      <c r="G281" s="153"/>
      <c r="H281" s="153"/>
      <c r="I281" s="153"/>
      <c r="J281" s="153"/>
      <c r="K281" s="153"/>
      <c r="L281" s="153"/>
      <c r="M281" s="153"/>
      <c r="N281" s="153"/>
      <c r="O281" s="153"/>
      <c r="P281" s="153"/>
      <c r="Q281" s="153"/>
      <c r="R281" s="153"/>
      <c r="S281" s="153"/>
      <c r="T281" s="153"/>
      <c r="U281" s="154"/>
      <c r="V281" s="154"/>
      <c r="W281" s="153"/>
      <c r="X281" s="154"/>
      <c r="Y281" s="153"/>
      <c r="Z281" s="153"/>
      <c r="AA281" s="154"/>
      <c r="AB281" s="153"/>
      <c r="AC281" s="153"/>
      <c r="AD281" s="154"/>
      <c r="AE281" s="153"/>
      <c r="AF281" s="153"/>
      <c r="AG281" s="153"/>
      <c r="AH281" s="153"/>
      <c r="AI281" s="156"/>
      <c r="AJ281" s="156"/>
      <c r="AK281" s="153"/>
      <c r="AL281" s="153"/>
      <c r="AM281" s="153"/>
      <c r="AN281" s="153"/>
      <c r="AO281" s="12"/>
      <c r="AP281" s="12"/>
      <c r="AQ281" s="12"/>
      <c r="AR281" s="12"/>
      <c r="AS281" s="12"/>
      <c r="AT281" s="12"/>
      <c r="AU281" s="12"/>
      <c r="AV281" s="12"/>
      <c r="AW281" s="12"/>
      <c r="AX281" s="12"/>
      <c r="AY281" s="12"/>
      <c r="AZ281" s="35"/>
      <c r="BA281" s="35"/>
      <c r="BB281" s="35"/>
      <c r="BC281" s="35"/>
      <c r="BD281" s="300"/>
      <c r="BE281" s="35"/>
      <c r="BF281"/>
      <c r="BG281" s="50"/>
      <c r="BH281" s="46"/>
      <c r="BI281" s="143"/>
      <c r="BJ281" s="13"/>
      <c r="BK281" s="13"/>
      <c r="BL281" s="35"/>
      <c r="BM281" s="35"/>
      <c r="BN281" s="35"/>
      <c r="BO281" s="35"/>
      <c r="BP281" s="35"/>
      <c r="BQ281" s="35"/>
      <c r="BR281" s="35"/>
      <c r="BS281" s="47"/>
      <c r="BT281" s="3"/>
      <c r="BU281" s="3"/>
      <c r="BV281" s="3"/>
      <c r="BW281" s="3"/>
      <c r="BX281" s="3"/>
      <c r="BY281" s="3"/>
      <c r="BZ281" s="3"/>
      <c r="CA281" s="3"/>
      <c r="CB281" s="3"/>
      <c r="CC281" s="3"/>
    </row>
    <row r="282" spans="1:81" ht="12.75" x14ac:dyDescent="0.35">
      <c r="A282" s="48"/>
      <c r="B282" s="35"/>
      <c r="C282" s="35"/>
      <c r="D282" s="12"/>
      <c r="E282" s="12"/>
      <c r="F282" s="12"/>
      <c r="G282" s="12"/>
      <c r="H282" s="12"/>
      <c r="I282" s="12"/>
      <c r="J282" s="12"/>
      <c r="K282" s="12"/>
      <c r="L282" s="12"/>
      <c r="M282" s="12"/>
      <c r="N282" s="12"/>
      <c r="O282" s="12"/>
      <c r="P282" s="12"/>
      <c r="Q282" s="12"/>
      <c r="R282" s="12"/>
      <c r="S282" s="12"/>
      <c r="T282" s="12"/>
      <c r="U282" s="43"/>
      <c r="V282" s="43"/>
      <c r="W282" s="12"/>
      <c r="X282" s="43"/>
      <c r="Y282" s="12"/>
      <c r="Z282" s="12"/>
      <c r="AA282" s="43"/>
      <c r="AB282" s="12"/>
      <c r="AC282" s="12"/>
      <c r="AD282" s="43"/>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35"/>
      <c r="BA282" s="35"/>
      <c r="BB282" s="35"/>
      <c r="BC282" s="35"/>
      <c r="BD282" s="300"/>
      <c r="BE282" s="35"/>
      <c r="BF282"/>
      <c r="BG282" s="50"/>
      <c r="BH282" s="43"/>
      <c r="BI282" s="13"/>
      <c r="BJ282" s="13"/>
      <c r="BK282" s="13"/>
      <c r="BL282" s="35"/>
      <c r="BM282" s="12"/>
      <c r="BN282" s="12"/>
      <c r="BO282" s="12"/>
      <c r="BP282" s="12"/>
      <c r="BQ282" s="35"/>
      <c r="BR282" s="35"/>
      <c r="BS282" s="47"/>
      <c r="BT282" s="3"/>
      <c r="BU282" s="3"/>
      <c r="BV282" s="3"/>
      <c r="BW282" s="3"/>
      <c r="BX282" s="3"/>
      <c r="BY282" s="3"/>
      <c r="BZ282" s="3"/>
      <c r="CA282" s="3"/>
      <c r="CB282" s="3"/>
      <c r="CC282" s="3"/>
    </row>
    <row r="283" spans="1:81" ht="12.75" x14ac:dyDescent="0.35">
      <c r="A283" s="51" t="s">
        <v>397</v>
      </c>
      <c r="B283" s="35"/>
      <c r="C283" s="35"/>
      <c r="D283" s="12"/>
      <c r="E283" s="158"/>
      <c r="F283" s="158"/>
      <c r="G283" s="158"/>
      <c r="H283" s="158"/>
      <c r="I283" s="158"/>
      <c r="J283" s="158"/>
      <c r="K283" s="158"/>
      <c r="L283" s="158"/>
      <c r="M283" s="158"/>
      <c r="N283" s="158"/>
      <c r="O283" s="158"/>
      <c r="P283" s="158"/>
      <c r="Q283" s="158"/>
      <c r="R283" s="158"/>
      <c r="S283" s="164"/>
      <c r="T283" s="164"/>
      <c r="U283" s="165"/>
      <c r="V283" s="165"/>
      <c r="W283" s="164"/>
      <c r="X283" s="165"/>
      <c r="Y283" s="164"/>
      <c r="Z283" s="164"/>
      <c r="AA283" s="165"/>
      <c r="AB283" s="164"/>
      <c r="AC283" s="164"/>
      <c r="AD283" s="166"/>
      <c r="AE283" s="164"/>
      <c r="AF283" s="164"/>
      <c r="AG283" s="164"/>
      <c r="AH283" s="164"/>
      <c r="AI283" s="164"/>
      <c r="AJ283" s="164"/>
      <c r="AK283" s="164"/>
      <c r="AL283" s="164"/>
      <c r="AM283" s="164"/>
      <c r="AN283" s="164"/>
      <c r="AO283" s="221"/>
      <c r="AP283" s="221"/>
      <c r="AQ283" s="221"/>
      <c r="AR283" s="221"/>
      <c r="AS283" s="221"/>
      <c r="AT283" s="221"/>
      <c r="AU283" s="221"/>
      <c r="AV283" s="221"/>
      <c r="AW283" s="221"/>
      <c r="AX283" s="221"/>
      <c r="AY283" s="221"/>
      <c r="AZ283" s="44" t="s">
        <v>457</v>
      </c>
      <c r="BA283" s="35"/>
      <c r="BB283" s="35"/>
      <c r="BC283" s="35"/>
      <c r="BD283" s="300"/>
      <c r="BE283" s="35"/>
      <c r="BF283"/>
      <c r="BG283" s="50"/>
      <c r="BH283" s="43"/>
      <c r="BI283" s="13"/>
      <c r="BJ283" s="13"/>
      <c r="BK283" s="13"/>
      <c r="BL283" s="35"/>
      <c r="BM283" s="12"/>
      <c r="BN283" s="12"/>
      <c r="BO283" s="12"/>
      <c r="BP283" s="12"/>
      <c r="BQ283" s="35"/>
      <c r="BR283" s="35"/>
      <c r="BS283" s="47"/>
      <c r="BT283" s="3"/>
      <c r="BU283" s="3"/>
      <c r="BV283" s="3"/>
      <c r="BW283" s="3"/>
      <c r="BX283" s="3"/>
      <c r="BY283" s="3"/>
      <c r="BZ283" s="3"/>
      <c r="CA283" s="3"/>
      <c r="CB283" s="3"/>
      <c r="CC283" s="3"/>
    </row>
    <row r="284" spans="1:81" ht="12.75" x14ac:dyDescent="0.35">
      <c r="A284" s="48"/>
      <c r="B284" s="35" t="s">
        <v>9</v>
      </c>
      <c r="C284" s="35"/>
      <c r="D284" s="12"/>
      <c r="E284" s="67"/>
      <c r="F284" s="67"/>
      <c r="G284" s="67"/>
      <c r="H284" s="67"/>
      <c r="I284" s="67"/>
      <c r="J284" s="67"/>
      <c r="K284" s="67"/>
      <c r="L284" s="67"/>
      <c r="M284" s="67"/>
      <c r="N284" s="67"/>
      <c r="O284" s="67"/>
      <c r="P284" s="67"/>
      <c r="Q284" s="67"/>
      <c r="R284" s="67"/>
      <c r="S284" s="67">
        <f t="shared" ref="S284:AP284" si="198">S104/S200</f>
        <v>196.65871559633032</v>
      </c>
      <c r="T284" s="67">
        <f t="shared" si="198"/>
        <v>189.86861875184854</v>
      </c>
      <c r="U284" s="67">
        <f t="shared" si="198"/>
        <v>257.9070774596716</v>
      </c>
      <c r="V284" s="67">
        <f t="shared" si="198"/>
        <v>272.53822491886552</v>
      </c>
      <c r="W284" s="67">
        <f t="shared" si="198"/>
        <v>163.11325301204823</v>
      </c>
      <c r="X284" s="67">
        <f t="shared" si="198"/>
        <v>128.35185907859079</v>
      </c>
      <c r="Y284" s="67">
        <f t="shared" si="198"/>
        <v>133.28431557653406</v>
      </c>
      <c r="Z284" s="67">
        <f t="shared" si="198"/>
        <v>172.67936982643525</v>
      </c>
      <c r="AA284" s="67">
        <f t="shared" si="198"/>
        <v>120.6600338983051</v>
      </c>
      <c r="AB284" s="67">
        <f t="shared" si="198"/>
        <v>131.606589492431</v>
      </c>
      <c r="AC284" s="67">
        <f t="shared" si="198"/>
        <v>123.40351626271504</v>
      </c>
      <c r="AD284" s="67">
        <f t="shared" si="198"/>
        <v>114.08141049268953</v>
      </c>
      <c r="AE284" s="67">
        <f t="shared" si="198"/>
        <v>109.20683699172365</v>
      </c>
      <c r="AF284" s="67">
        <f t="shared" si="198"/>
        <v>110.64129827826896</v>
      </c>
      <c r="AG284" s="67">
        <f t="shared" si="198"/>
        <v>103.91482941110236</v>
      </c>
      <c r="AH284" s="67">
        <f t="shared" si="198"/>
        <v>194.28254908412859</v>
      </c>
      <c r="AI284" s="67">
        <f t="shared" si="198"/>
        <v>199.06595225464193</v>
      </c>
      <c r="AJ284" s="67">
        <f t="shared" si="198"/>
        <v>206.63091469244665</v>
      </c>
      <c r="AK284" s="67">
        <f t="shared" si="198"/>
        <v>139.03240199723788</v>
      </c>
      <c r="AL284" s="67">
        <f t="shared" si="198"/>
        <v>286.58305155499897</v>
      </c>
      <c r="AM284" s="67">
        <f t="shared" si="198"/>
        <v>298.97991016741531</v>
      </c>
      <c r="AN284" s="67">
        <f t="shared" si="198"/>
        <v>321.19854000000004</v>
      </c>
      <c r="AO284" s="67">
        <f t="shared" si="198"/>
        <v>298.73589920267744</v>
      </c>
      <c r="AP284" s="67">
        <f t="shared" si="198"/>
        <v>281.12058538476452</v>
      </c>
      <c r="AQ284" s="67">
        <f t="shared" ref="AQ284:AV284" si="199">AQ104/AQ200</f>
        <v>251.00111818006556</v>
      </c>
      <c r="AR284" s="67">
        <f t="shared" si="199"/>
        <v>260.98536959019532</v>
      </c>
      <c r="AS284" s="67">
        <f t="shared" si="199"/>
        <v>220.41626199887071</v>
      </c>
      <c r="AT284" s="67">
        <f t="shared" si="199"/>
        <v>250.91882537052382</v>
      </c>
      <c r="AU284" s="67">
        <f t="shared" si="199"/>
        <v>251.6981627296588</v>
      </c>
      <c r="AV284" s="67">
        <f t="shared" si="199"/>
        <v>280</v>
      </c>
      <c r="AW284" s="67">
        <f>AW104/AW200</f>
        <v>272.88873531444369</v>
      </c>
      <c r="AX284" s="67">
        <f>AX104/AX200</f>
        <v>259.20735209649632</v>
      </c>
      <c r="AY284" s="67">
        <f>AY104/AY200</f>
        <v>483.243105520391</v>
      </c>
      <c r="AZ284" s="35" t="s">
        <v>9</v>
      </c>
      <c r="BA284" s="35"/>
      <c r="BB284" s="35"/>
      <c r="BC284" s="35"/>
      <c r="BD284" s="300"/>
      <c r="BE284" s="35"/>
      <c r="BF284"/>
      <c r="BG284" s="50"/>
      <c r="BH284" s="43"/>
      <c r="BI284" s="13"/>
      <c r="BJ284" s="13"/>
      <c r="BK284" s="13"/>
      <c r="BL284" s="35"/>
      <c r="BM284" s="12"/>
      <c r="BN284" s="12"/>
      <c r="BO284" s="12"/>
      <c r="BP284" s="12"/>
      <c r="BQ284" s="35"/>
      <c r="BR284" s="35"/>
      <c r="BS284" s="47"/>
      <c r="BT284" s="3"/>
      <c r="BU284" s="3"/>
      <c r="BV284" s="3"/>
      <c r="BW284" s="3"/>
      <c r="BX284" s="3"/>
      <c r="BY284" s="3"/>
      <c r="BZ284" s="3"/>
      <c r="CA284" s="3"/>
      <c r="CB284" s="3"/>
      <c r="CC284" s="3"/>
    </row>
    <row r="285" spans="1:81" ht="12.75" x14ac:dyDescent="0.35">
      <c r="A285" s="48"/>
      <c r="B285" s="35" t="s">
        <v>328</v>
      </c>
      <c r="C285" s="35"/>
      <c r="D285" s="12"/>
      <c r="E285" s="67"/>
      <c r="F285" s="67"/>
      <c r="G285" s="67"/>
      <c r="H285" s="67"/>
      <c r="I285" s="67"/>
      <c r="J285" s="67"/>
      <c r="K285" s="67"/>
      <c r="L285" s="67"/>
      <c r="M285" s="67"/>
      <c r="N285" s="67"/>
      <c r="O285" s="67"/>
      <c r="P285" s="67"/>
      <c r="Q285" s="67"/>
      <c r="R285" s="67"/>
      <c r="S285" s="67">
        <f>S105/S200</f>
        <v>67.277981651376152</v>
      </c>
      <c r="T285" s="67">
        <f t="shared" ref="T285:AP285" si="200">T105/T200</f>
        <v>80.752558414670219</v>
      </c>
      <c r="U285" s="67">
        <f t="shared" si="200"/>
        <v>91.488969626507767</v>
      </c>
      <c r="V285" s="67">
        <f t="shared" si="200"/>
        <v>83.098687738112048</v>
      </c>
      <c r="W285" s="67">
        <f t="shared" si="200"/>
        <v>83.119013986982424</v>
      </c>
      <c r="X285" s="67">
        <f t="shared" si="200"/>
        <v>83.009837398373975</v>
      </c>
      <c r="Y285" s="67">
        <f t="shared" si="200"/>
        <v>147.20613621038436</v>
      </c>
      <c r="Z285" s="67">
        <f t="shared" si="200"/>
        <v>149.57311081441924</v>
      </c>
      <c r="AA285" s="67">
        <f t="shared" si="200"/>
        <v>102.77357757496742</v>
      </c>
      <c r="AB285" s="67">
        <f t="shared" si="200"/>
        <v>122.56491540516475</v>
      </c>
      <c r="AC285" s="67">
        <f t="shared" si="200"/>
        <v>124.25359789024238</v>
      </c>
      <c r="AD285" s="67">
        <f t="shared" si="200"/>
        <v>118.2399066224352</v>
      </c>
      <c r="AE285" s="67">
        <f t="shared" si="200"/>
        <v>114.48449082403742</v>
      </c>
      <c r="AF285" s="67">
        <f t="shared" si="200"/>
        <v>114.84120521172639</v>
      </c>
      <c r="AG285" s="67">
        <f t="shared" si="200"/>
        <v>114.07764891341066</v>
      </c>
      <c r="AH285" s="67">
        <f t="shared" si="200"/>
        <v>242.91505977843593</v>
      </c>
      <c r="AI285" s="67">
        <f t="shared" si="200"/>
        <v>234.13890716180373</v>
      </c>
      <c r="AJ285" s="67">
        <f t="shared" si="200"/>
        <v>256.73052161903752</v>
      </c>
      <c r="AK285" s="67">
        <f t="shared" si="200"/>
        <v>931.39723786253069</v>
      </c>
      <c r="AL285" s="67">
        <f t="shared" si="200"/>
        <v>254.55733667292839</v>
      </c>
      <c r="AM285" s="67">
        <f t="shared" si="200"/>
        <v>207.3050224581462</v>
      </c>
      <c r="AN285" s="67">
        <f t="shared" si="200"/>
        <v>219.99900000000002</v>
      </c>
      <c r="AO285" s="67">
        <f t="shared" si="200"/>
        <v>205.672448075598</v>
      </c>
      <c r="AP285" s="67">
        <f t="shared" si="200"/>
        <v>254.0035471990696</v>
      </c>
      <c r="AQ285" s="67">
        <f t="shared" ref="AQ285:AV285" si="201">AQ105/AQ200</f>
        <v>191.29591285907077</v>
      </c>
      <c r="AR285" s="67">
        <f t="shared" si="201"/>
        <v>243.05342780543853</v>
      </c>
      <c r="AS285" s="67">
        <f t="shared" si="201"/>
        <v>217.6557500470544</v>
      </c>
      <c r="AT285" s="67">
        <f t="shared" si="201"/>
        <v>230.04354229954893</v>
      </c>
      <c r="AU285" s="67">
        <f t="shared" si="201"/>
        <v>230.76586116390627</v>
      </c>
      <c r="AV285" s="67">
        <f t="shared" si="201"/>
        <v>259.5</v>
      </c>
      <c r="AW285" s="67">
        <f t="shared" ref="AW285:AX285" si="202">AW105/AW200</f>
        <v>248.52366966136836</v>
      </c>
      <c r="AX285" s="67">
        <f t="shared" si="202"/>
        <v>236.06383851645199</v>
      </c>
      <c r="AY285" s="67">
        <f t="shared" ref="AY285" si="203">AY105/AY200</f>
        <v>307.33755308068265</v>
      </c>
      <c r="AZ285" s="35" t="s">
        <v>328</v>
      </c>
      <c r="BA285" s="35"/>
      <c r="BB285" s="35"/>
      <c r="BC285" s="35"/>
      <c r="BD285" s="300"/>
      <c r="BE285" s="35"/>
      <c r="BF285"/>
      <c r="BG285" s="50"/>
      <c r="BH285" s="43"/>
      <c r="BI285" s="13"/>
      <c r="BJ285" s="13"/>
      <c r="BK285" s="13"/>
      <c r="BL285" s="35"/>
      <c r="BM285" s="12"/>
      <c r="BN285" s="12"/>
      <c r="BO285" s="12"/>
      <c r="BP285" s="12"/>
      <c r="BQ285" s="35"/>
      <c r="BR285" s="35"/>
      <c r="BS285" s="47"/>
      <c r="BT285" s="3"/>
      <c r="BU285" s="3"/>
      <c r="BV285" s="3"/>
      <c r="BW285" s="3"/>
      <c r="BX285" s="3"/>
      <c r="BY285" s="3"/>
      <c r="BZ285" s="3"/>
      <c r="CA285" s="3"/>
      <c r="CB285" s="3"/>
      <c r="CC285" s="3"/>
    </row>
    <row r="286" spans="1:81" ht="12.75" x14ac:dyDescent="0.35">
      <c r="A286" s="48"/>
      <c r="B286" s="35" t="s">
        <v>10</v>
      </c>
      <c r="C286" s="35"/>
      <c r="D286" s="12"/>
      <c r="E286" s="67"/>
      <c r="F286" s="67"/>
      <c r="G286" s="67"/>
      <c r="H286" s="67"/>
      <c r="I286" s="67"/>
      <c r="J286" s="67"/>
      <c r="K286" s="67"/>
      <c r="L286" s="67"/>
      <c r="M286" s="67"/>
      <c r="N286" s="67"/>
      <c r="O286" s="67"/>
      <c r="P286" s="67"/>
      <c r="Q286" s="67"/>
      <c r="R286" s="67"/>
      <c r="S286" s="67">
        <f>S106/S200</f>
        <v>36.744128440366978</v>
      </c>
      <c r="T286" s="67">
        <f t="shared" ref="T286:AP286" si="204">T106/T200</f>
        <v>40.04259094942325</v>
      </c>
      <c r="U286" s="67">
        <f t="shared" si="204"/>
        <v>47.875948263333818</v>
      </c>
      <c r="V286" s="67">
        <f t="shared" si="204"/>
        <v>70.840835332298582</v>
      </c>
      <c r="W286" s="67">
        <f t="shared" si="204"/>
        <v>49.058966902091129</v>
      </c>
      <c r="X286" s="67">
        <f t="shared" si="204"/>
        <v>43.721571815718157</v>
      </c>
      <c r="Y286" s="67">
        <f t="shared" si="204"/>
        <v>49.296938637896154</v>
      </c>
      <c r="Z286" s="67">
        <f t="shared" si="204"/>
        <v>51.815861148197598</v>
      </c>
      <c r="AA286" s="67">
        <f t="shared" si="204"/>
        <v>47.202005215123869</v>
      </c>
      <c r="AB286" s="67">
        <f t="shared" si="204"/>
        <v>56.115786795573086</v>
      </c>
      <c r="AC286" s="67">
        <f t="shared" si="204"/>
        <v>54.121863619238987</v>
      </c>
      <c r="AD286" s="67">
        <f t="shared" si="204"/>
        <v>57.664479665806617</v>
      </c>
      <c r="AE286" s="67">
        <f t="shared" si="204"/>
        <v>53.859133981048338</v>
      </c>
      <c r="AF286" s="67">
        <f t="shared" si="204"/>
        <v>53.286319218241047</v>
      </c>
      <c r="AG286" s="67">
        <f t="shared" si="204"/>
        <v>48.654498367300981</v>
      </c>
      <c r="AH286" s="67">
        <f t="shared" si="204"/>
        <v>60.264714270044983</v>
      </c>
      <c r="AI286" s="67">
        <f t="shared" si="204"/>
        <v>58.654429708222814</v>
      </c>
      <c r="AJ286" s="67">
        <f t="shared" si="204"/>
        <v>65.201402315946041</v>
      </c>
      <c r="AK286" s="67">
        <f t="shared" si="204"/>
        <v>128.12554977159249</v>
      </c>
      <c r="AL286" s="67">
        <f t="shared" si="204"/>
        <v>93.01586307660196</v>
      </c>
      <c r="AM286" s="67">
        <f t="shared" si="204"/>
        <v>90.753532053899562</v>
      </c>
      <c r="AN286" s="67">
        <f t="shared" si="204"/>
        <v>103.56876000000001</v>
      </c>
      <c r="AO286" s="67">
        <f t="shared" si="204"/>
        <v>95.617698592381146</v>
      </c>
      <c r="AP286" s="67">
        <f t="shared" si="204"/>
        <v>96.331091296762935</v>
      </c>
      <c r="AQ286" s="67">
        <f t="shared" ref="AQ286:AV286" si="205">AQ106/AQ200</f>
        <v>115.16905725853096</v>
      </c>
      <c r="AR286" s="67">
        <f t="shared" si="205"/>
        <v>103.05465338950594</v>
      </c>
      <c r="AS286" s="67">
        <f t="shared" si="205"/>
        <v>95.556182947487301</v>
      </c>
      <c r="AT286" s="67">
        <f t="shared" si="205"/>
        <v>95.548559329835228</v>
      </c>
      <c r="AU286" s="67">
        <f t="shared" si="205"/>
        <v>93.940085075572455</v>
      </c>
      <c r="AV286" s="67">
        <f t="shared" si="205"/>
        <v>104</v>
      </c>
      <c r="AW286" s="67">
        <f t="shared" ref="AW286:AX286" si="206">AW106/AW200</f>
        <v>107.20628887353145</v>
      </c>
      <c r="AX286" s="67">
        <f t="shared" si="206"/>
        <v>101.83145975219497</v>
      </c>
      <c r="AY286" s="67">
        <f t="shared" ref="AY286" si="207">AY106/AY200</f>
        <v>312.21879657078756</v>
      </c>
      <c r="AZ286" s="35" t="s">
        <v>10</v>
      </c>
      <c r="BA286" s="35"/>
      <c r="BB286" s="35"/>
      <c r="BC286" s="35"/>
      <c r="BD286" s="300"/>
      <c r="BE286" s="35"/>
      <c r="BF286"/>
      <c r="BG286" s="50"/>
      <c r="BH286" s="43"/>
      <c r="BI286" s="13"/>
      <c r="BJ286" s="13"/>
      <c r="BK286" s="13"/>
      <c r="BL286" s="35"/>
      <c r="BM286" s="12"/>
      <c r="BN286" s="12"/>
      <c r="BO286" s="12"/>
      <c r="BP286" s="12"/>
      <c r="BQ286" s="35"/>
      <c r="BR286" s="35"/>
      <c r="BS286" s="47"/>
      <c r="BT286" s="3"/>
      <c r="BU286" s="3"/>
      <c r="BV286" s="3"/>
      <c r="BW286" s="3"/>
      <c r="BX286" s="3"/>
      <c r="BY286" s="3"/>
      <c r="BZ286" s="3"/>
      <c r="CA286" s="3"/>
      <c r="CB286" s="3"/>
      <c r="CC286" s="3"/>
    </row>
    <row r="287" spans="1:81" ht="12.75" x14ac:dyDescent="0.35">
      <c r="A287" s="48"/>
      <c r="B287" s="35" t="s">
        <v>11</v>
      </c>
      <c r="C287" s="35"/>
      <c r="D287" s="12"/>
      <c r="E287" s="67"/>
      <c r="F287" s="67"/>
      <c r="G287" s="67"/>
      <c r="H287" s="67"/>
      <c r="I287" s="67"/>
      <c r="J287" s="67"/>
      <c r="K287" s="67"/>
      <c r="L287" s="67"/>
      <c r="M287" s="67"/>
      <c r="N287" s="67"/>
      <c r="O287" s="67"/>
      <c r="P287" s="67"/>
      <c r="Q287" s="67"/>
      <c r="R287" s="67"/>
      <c r="S287" s="67">
        <f>S107/S200</f>
        <v>46.404556574923546</v>
      </c>
      <c r="T287" s="67">
        <f t="shared" ref="T287:AP287" si="208">T107/T200</f>
        <v>38.874682046731735</v>
      </c>
      <c r="U287" s="67">
        <f t="shared" si="208"/>
        <v>37.710507193721838</v>
      </c>
      <c r="V287" s="67">
        <f t="shared" si="208"/>
        <v>65.905855792295768</v>
      </c>
      <c r="W287" s="67">
        <f t="shared" si="208"/>
        <v>45.934191940174493</v>
      </c>
      <c r="X287" s="67">
        <f t="shared" si="208"/>
        <v>45.250298102981034</v>
      </c>
      <c r="Y287" s="67">
        <f t="shared" si="208"/>
        <v>43.667349966284554</v>
      </c>
      <c r="Z287" s="67">
        <f t="shared" si="208"/>
        <v>42.476955941255007</v>
      </c>
      <c r="AA287" s="67">
        <f t="shared" si="208"/>
        <v>34.316696219035201</v>
      </c>
      <c r="AB287" s="67">
        <f t="shared" si="208"/>
        <v>38.175957257346397</v>
      </c>
      <c r="AC287" s="67">
        <f t="shared" si="208"/>
        <v>38.253673238729121</v>
      </c>
      <c r="AD287" s="67">
        <f t="shared" si="208"/>
        <v>39.367096694925671</v>
      </c>
      <c r="AE287" s="67">
        <f t="shared" si="208"/>
        <v>33.289816480748478</v>
      </c>
      <c r="AF287" s="67">
        <f t="shared" si="208"/>
        <v>33.205514192647748</v>
      </c>
      <c r="AG287" s="67">
        <f t="shared" si="208"/>
        <v>28.964035581578653</v>
      </c>
      <c r="AH287" s="67">
        <f t="shared" si="208"/>
        <v>6.1873423275200183</v>
      </c>
      <c r="AI287" s="67">
        <f t="shared" si="208"/>
        <v>23.102663129973479</v>
      </c>
      <c r="AJ287" s="67">
        <f t="shared" si="208"/>
        <v>51.897439711037926</v>
      </c>
      <c r="AK287" s="67">
        <f t="shared" si="208"/>
        <v>471.15204504408803</v>
      </c>
      <c r="AL287" s="67">
        <f t="shared" si="208"/>
        <v>50.628887497390942</v>
      </c>
      <c r="AM287" s="67">
        <f t="shared" si="208"/>
        <v>42.612699060841166</v>
      </c>
      <c r="AN287" s="67">
        <f t="shared" si="208"/>
        <v>41.743400000000001</v>
      </c>
      <c r="AO287" s="67">
        <f t="shared" si="208"/>
        <v>38.868983167634617</v>
      </c>
      <c r="AP287" s="67">
        <f t="shared" si="208"/>
        <v>50.079046326807521</v>
      </c>
      <c r="AQ287" s="67">
        <f t="shared" ref="AQ287:AV287" si="209">AQ107/AQ200</f>
        <v>59.052689415847311</v>
      </c>
      <c r="AR287" s="67">
        <f t="shared" si="209"/>
        <v>76.696859440827268</v>
      </c>
      <c r="AS287" s="67">
        <f t="shared" si="209"/>
        <v>73.790607942781861</v>
      </c>
      <c r="AT287" s="67">
        <f t="shared" si="209"/>
        <v>84.020417932431201</v>
      </c>
      <c r="AU287" s="67">
        <f t="shared" si="209"/>
        <v>85.771382025522684</v>
      </c>
      <c r="AV287" s="67">
        <f t="shared" si="209"/>
        <v>110</v>
      </c>
      <c r="AW287" s="67">
        <f t="shared" ref="AW287:AX287" si="210">AW107/AW200</f>
        <v>103.3078783690394</v>
      </c>
      <c r="AX287" s="67">
        <f t="shared" si="210"/>
        <v>98.128497579387883</v>
      </c>
      <c r="AY287" s="67">
        <f t="shared" ref="AY287" si="211">AY107/AY200</f>
        <v>182.59466388911144</v>
      </c>
      <c r="AZ287" s="35" t="s">
        <v>11</v>
      </c>
      <c r="BA287" s="35"/>
      <c r="BB287" s="35"/>
      <c r="BC287" s="35"/>
      <c r="BD287" s="300"/>
      <c r="BE287" s="35"/>
      <c r="BF287"/>
      <c r="BG287" s="50"/>
      <c r="BH287" s="43"/>
      <c r="BI287" s="13"/>
      <c r="BJ287" s="13"/>
      <c r="BK287" s="144"/>
      <c r="BL287" s="12"/>
      <c r="BM287" s="12"/>
      <c r="BN287" s="12"/>
      <c r="BO287" s="12"/>
      <c r="BP287" s="12"/>
      <c r="BQ287" s="35"/>
      <c r="BR287" s="35"/>
      <c r="BS287" s="47"/>
      <c r="BT287" s="3"/>
      <c r="BU287" s="3"/>
      <c r="BV287" s="3"/>
      <c r="BW287" s="3"/>
      <c r="BX287" s="3"/>
      <c r="BY287" s="3"/>
      <c r="BZ287" s="3"/>
      <c r="CA287" s="3"/>
      <c r="CB287" s="3"/>
      <c r="CC287" s="3"/>
    </row>
    <row r="288" spans="1:81" ht="12.75" x14ac:dyDescent="0.35">
      <c r="A288" s="48"/>
      <c r="B288" s="35" t="s">
        <v>12</v>
      </c>
      <c r="C288" s="35"/>
      <c r="D288" s="12"/>
      <c r="E288" s="67"/>
      <c r="F288" s="67"/>
      <c r="G288" s="67"/>
      <c r="H288" s="67"/>
      <c r="I288" s="67"/>
      <c r="J288" s="67"/>
      <c r="K288" s="67"/>
      <c r="L288" s="67"/>
      <c r="M288" s="67"/>
      <c r="N288" s="67"/>
      <c r="O288" s="67"/>
      <c r="P288" s="67"/>
      <c r="Q288" s="67"/>
      <c r="R288" s="67"/>
      <c r="S288" s="67">
        <f>S108/S200</f>
        <v>1.7250764525993885</v>
      </c>
      <c r="T288" s="67">
        <f t="shared" ref="T288:AP288" si="212">T108/T200</f>
        <v>1.6684412895593019</v>
      </c>
      <c r="U288" s="67">
        <f t="shared" si="212"/>
        <v>1.639587269292254</v>
      </c>
      <c r="V288" s="67">
        <f t="shared" si="212"/>
        <v>7.641258642585016</v>
      </c>
      <c r="W288" s="67">
        <f t="shared" si="212"/>
        <v>5.468356183354107</v>
      </c>
      <c r="X288" s="67">
        <f t="shared" si="212"/>
        <v>1.5287262872628726</v>
      </c>
      <c r="Y288" s="67">
        <f t="shared" si="212"/>
        <v>1.0650573162508428</v>
      </c>
      <c r="Z288" s="67">
        <f t="shared" si="212"/>
        <v>4.8351428571428574</v>
      </c>
      <c r="AA288" s="67">
        <f t="shared" si="212"/>
        <v>7.1486988265971334</v>
      </c>
      <c r="AB288" s="67">
        <f t="shared" si="212"/>
        <v>7.0324131789848634</v>
      </c>
      <c r="AC288" s="67">
        <f t="shared" si="212"/>
        <v>7.0840135627276153</v>
      </c>
      <c r="AD288" s="67">
        <f t="shared" si="212"/>
        <v>6.9308268829094493</v>
      </c>
      <c r="AE288" s="67">
        <f t="shared" si="212"/>
        <v>6.3602494902243025</v>
      </c>
      <c r="AF288" s="67">
        <f t="shared" si="212"/>
        <v>6.431107491856678</v>
      </c>
      <c r="AG288" s="67">
        <f t="shared" si="212"/>
        <v>0.63517621889426867</v>
      </c>
      <c r="AH288" s="67">
        <f t="shared" si="212"/>
        <v>0</v>
      </c>
      <c r="AI288" s="67">
        <f t="shared" si="212"/>
        <v>11.611183023872679</v>
      </c>
      <c r="AJ288" s="67">
        <f t="shared" si="212"/>
        <v>46.863507914586215</v>
      </c>
      <c r="AK288" s="67">
        <f t="shared" si="212"/>
        <v>37.994199511314143</v>
      </c>
      <c r="AL288" s="67">
        <f t="shared" si="212"/>
        <v>57.34015863076602</v>
      </c>
      <c r="AM288" s="67">
        <f t="shared" si="212"/>
        <v>33.629481420988164</v>
      </c>
      <c r="AN288" s="67">
        <f t="shared" si="212"/>
        <v>65.548420000000007</v>
      </c>
      <c r="AO288" s="67">
        <f t="shared" si="212"/>
        <v>60.746667979131814</v>
      </c>
      <c r="AP288" s="67">
        <f t="shared" si="212"/>
        <v>64.074937003295219</v>
      </c>
      <c r="AQ288" s="67">
        <f t="shared" ref="AQ288:AV288" si="213">AQ108/AQ200</f>
        <v>65.251590514748415</v>
      </c>
      <c r="AR288" s="67">
        <f t="shared" si="213"/>
        <v>75.616621983914214</v>
      </c>
      <c r="AS288" s="67">
        <f t="shared" si="213"/>
        <v>89.185770750988155</v>
      </c>
      <c r="AT288" s="67">
        <f t="shared" si="213"/>
        <v>109.04998619165977</v>
      </c>
      <c r="AU288" s="67">
        <f t="shared" si="213"/>
        <v>107.21422753190335</v>
      </c>
      <c r="AV288" s="67">
        <f t="shared" si="213"/>
        <v>148</v>
      </c>
      <c r="AW288" s="67">
        <f t="shared" ref="AW288:AX288" si="214">AW108/AW200</f>
        <v>146.19039391845197</v>
      </c>
      <c r="AX288" s="67">
        <f t="shared" si="214"/>
        <v>138.86108148026588</v>
      </c>
      <c r="AY288" s="67">
        <f t="shared" ref="AY288" si="215">AY108/AY200</f>
        <v>172.19942312314717</v>
      </c>
      <c r="AZ288" s="35" t="s">
        <v>12</v>
      </c>
      <c r="BA288" s="35"/>
      <c r="BB288" s="35"/>
      <c r="BC288" s="35"/>
      <c r="BD288" s="300"/>
      <c r="BE288" s="35"/>
      <c r="BF288"/>
      <c r="BG288" s="50"/>
      <c r="BH288" s="43"/>
      <c r="BI288" s="13"/>
      <c r="BJ288" s="13"/>
      <c r="BK288" s="144"/>
      <c r="BL288" s="12"/>
      <c r="BM288" s="12"/>
      <c r="BN288" s="12"/>
      <c r="BO288" s="12"/>
      <c r="BP288" s="12"/>
      <c r="BQ288" s="35"/>
      <c r="BR288" s="35"/>
      <c r="BS288" s="47"/>
      <c r="BT288" s="3"/>
      <c r="BU288" s="3"/>
      <c r="BV288" s="3"/>
      <c r="BW288" s="3"/>
      <c r="BX288" s="3"/>
      <c r="BY288" s="3"/>
      <c r="BZ288" s="3"/>
      <c r="CA288" s="3"/>
      <c r="CB288" s="3"/>
      <c r="CC288" s="3"/>
    </row>
    <row r="289" spans="1:81" ht="12.75" x14ac:dyDescent="0.35">
      <c r="A289" s="48"/>
      <c r="B289" s="35" t="s">
        <v>13</v>
      </c>
      <c r="C289" s="35"/>
      <c r="D289" s="12"/>
      <c r="E289" s="67"/>
      <c r="F289" s="67"/>
      <c r="G289" s="67"/>
      <c r="H289" s="67"/>
      <c r="I289" s="67"/>
      <c r="J289" s="67"/>
      <c r="K289" s="67"/>
      <c r="L289" s="67"/>
      <c r="M289" s="67"/>
      <c r="N289" s="67"/>
      <c r="O289" s="67"/>
      <c r="P289" s="67"/>
      <c r="Q289" s="67"/>
      <c r="R289" s="67"/>
      <c r="S289" s="67">
        <f>S109/S200</f>
        <v>52.44232415902141</v>
      </c>
      <c r="T289" s="67">
        <f t="shared" ref="T289:AP289" si="216">T109/T200</f>
        <v>53.556965394853599</v>
      </c>
      <c r="U289" s="67">
        <f t="shared" si="216"/>
        <v>60.664728963813396</v>
      </c>
      <c r="V289" s="67">
        <f t="shared" si="216"/>
        <v>59.697333145195437</v>
      </c>
      <c r="W289" s="67">
        <f t="shared" si="216"/>
        <v>49.683921894474459</v>
      </c>
      <c r="X289" s="67">
        <f t="shared" si="216"/>
        <v>48.002005420054196</v>
      </c>
      <c r="Y289" s="67">
        <f t="shared" si="216"/>
        <v>65.881402562373566</v>
      </c>
      <c r="Z289" s="67">
        <f t="shared" si="216"/>
        <v>61.606648865153538</v>
      </c>
      <c r="AA289" s="67">
        <f t="shared" si="216"/>
        <v>54.924365058670155</v>
      </c>
      <c r="AB289" s="67">
        <f t="shared" si="216"/>
        <v>74.19913497010559</v>
      </c>
      <c r="AC289" s="67">
        <f t="shared" si="216"/>
        <v>0</v>
      </c>
      <c r="AD289" s="67">
        <f t="shared" si="216"/>
        <v>0</v>
      </c>
      <c r="AE289" s="67">
        <f t="shared" si="216"/>
        <v>0</v>
      </c>
      <c r="AF289" s="67">
        <f t="shared" si="216"/>
        <v>0</v>
      </c>
      <c r="AG289" s="67">
        <f t="shared" si="216"/>
        <v>0</v>
      </c>
      <c r="AH289" s="67">
        <f t="shared" si="216"/>
        <v>0</v>
      </c>
      <c r="AI289" s="67">
        <f t="shared" si="216"/>
        <v>0</v>
      </c>
      <c r="AJ289" s="67">
        <f t="shared" si="216"/>
        <v>0</v>
      </c>
      <c r="AK289" s="67">
        <f t="shared" si="216"/>
        <v>0</v>
      </c>
      <c r="AL289" s="67">
        <f t="shared" si="216"/>
        <v>0</v>
      </c>
      <c r="AM289" s="67">
        <f t="shared" si="216"/>
        <v>0</v>
      </c>
      <c r="AN289" s="67">
        <f t="shared" si="216"/>
        <v>0</v>
      </c>
      <c r="AO289" s="67">
        <f t="shared" si="216"/>
        <v>0</v>
      </c>
      <c r="AP289" s="67">
        <f t="shared" si="216"/>
        <v>0</v>
      </c>
      <c r="AQ289" s="67">
        <f t="shared" ref="AQ289:AV289" si="217">AQ109/AQ200</f>
        <v>0</v>
      </c>
      <c r="AR289" s="67">
        <f t="shared" si="217"/>
        <v>0</v>
      </c>
      <c r="AS289" s="67">
        <f t="shared" si="217"/>
        <v>0</v>
      </c>
      <c r="AT289" s="67">
        <f t="shared" si="217"/>
        <v>0</v>
      </c>
      <c r="AU289" s="67">
        <f t="shared" si="217"/>
        <v>0</v>
      </c>
      <c r="AV289" s="67">
        <f t="shared" si="217"/>
        <v>0</v>
      </c>
      <c r="AW289" s="67">
        <f t="shared" ref="AW289:AX289" si="218">AW109/AW200</f>
        <v>0</v>
      </c>
      <c r="AX289" s="67">
        <f t="shared" si="218"/>
        <v>0</v>
      </c>
      <c r="AY289" s="67">
        <f t="shared" ref="AY289" si="219">AY109/AY200</f>
        <v>0</v>
      </c>
      <c r="AZ289" s="35" t="s">
        <v>13</v>
      </c>
      <c r="BA289" s="35"/>
      <c r="BB289" s="35"/>
      <c r="BC289" s="35"/>
      <c r="BD289" s="300"/>
      <c r="BE289" s="35"/>
      <c r="BF289"/>
      <c r="BG289" s="50"/>
      <c r="BH289" s="43"/>
      <c r="BI289" s="12"/>
      <c r="BJ289" s="12"/>
      <c r="BK289" s="12"/>
      <c r="BL289" s="12"/>
      <c r="BM289" s="12"/>
      <c r="BN289" s="12"/>
      <c r="BO289" s="12"/>
      <c r="BP289" s="12"/>
      <c r="BQ289" s="35"/>
      <c r="BR289" s="35"/>
      <c r="BS289" s="47"/>
      <c r="BT289" s="3"/>
      <c r="BU289" s="3"/>
      <c r="BV289" s="3"/>
      <c r="BW289" s="3"/>
      <c r="BX289" s="3"/>
      <c r="BY289" s="3"/>
      <c r="BZ289" s="3"/>
      <c r="CA289" s="3"/>
      <c r="CB289" s="3"/>
      <c r="CC289" s="3"/>
    </row>
    <row r="290" spans="1:81" x14ac:dyDescent="0.3">
      <c r="A290" s="48"/>
      <c r="B290" s="35" t="s">
        <v>325</v>
      </c>
      <c r="C290" s="35"/>
      <c r="D290" s="12"/>
      <c r="E290" s="67">
        <f>E110/E200</f>
        <v>184.62107609041706</v>
      </c>
      <c r="F290" s="67">
        <f t="shared" ref="F290:AP290" si="220">F110/F200</f>
        <v>192.65169590643274</v>
      </c>
      <c r="G290" s="67">
        <f t="shared" si="220"/>
        <v>197.93506218576343</v>
      </c>
      <c r="H290" s="67">
        <f t="shared" si="220"/>
        <v>192.82256605570106</v>
      </c>
      <c r="I290" s="67">
        <f t="shared" si="220"/>
        <v>96.224412937527688</v>
      </c>
      <c r="J290" s="67">
        <f t="shared" si="220"/>
        <v>61.170337552742623</v>
      </c>
      <c r="K290" s="67">
        <f t="shared" si="220"/>
        <v>58.171037260825791</v>
      </c>
      <c r="L290" s="67">
        <f t="shared" si="220"/>
        <v>40.802099941668295</v>
      </c>
      <c r="M290" s="67">
        <f t="shared" si="220"/>
        <v>36.733092155369391</v>
      </c>
      <c r="N290" s="67">
        <f t="shared" si="220"/>
        <v>34.348252391464314</v>
      </c>
      <c r="O290" s="67">
        <f t="shared" si="220"/>
        <v>28.915377793543811</v>
      </c>
      <c r="P290" s="67">
        <f t="shared" si="220"/>
        <v>25.41771633384537</v>
      </c>
      <c r="Q290" s="67">
        <f t="shared" si="220"/>
        <v>22.010905452726366</v>
      </c>
      <c r="R290" s="67">
        <f t="shared" si="220"/>
        <v>23.161122694466723</v>
      </c>
      <c r="S290" s="67">
        <f t="shared" si="220"/>
        <v>12.420550458715597</v>
      </c>
      <c r="T290" s="67">
        <f t="shared" si="220"/>
        <v>17.01810115350488</v>
      </c>
      <c r="U290" s="67">
        <f t="shared" si="220"/>
        <v>11.805028338904229</v>
      </c>
      <c r="V290" s="67">
        <f t="shared" si="220"/>
        <v>8.1188373077465794</v>
      </c>
      <c r="W290" s="67">
        <f t="shared" si="220"/>
        <v>3.1247749619166325</v>
      </c>
      <c r="X290" s="67">
        <f t="shared" si="220"/>
        <v>0</v>
      </c>
      <c r="Y290" s="67">
        <f t="shared" si="220"/>
        <v>0</v>
      </c>
      <c r="Z290" s="67">
        <f t="shared" si="220"/>
        <v>0</v>
      </c>
      <c r="AA290" s="67">
        <f t="shared" si="220"/>
        <v>0</v>
      </c>
      <c r="AB290" s="67">
        <f t="shared" si="220"/>
        <v>0</v>
      </c>
      <c r="AC290" s="67">
        <f t="shared" si="220"/>
        <v>0</v>
      </c>
      <c r="AD290" s="67">
        <f t="shared" si="220"/>
        <v>0</v>
      </c>
      <c r="AE290" s="67">
        <f t="shared" si="220"/>
        <v>0</v>
      </c>
      <c r="AF290" s="67">
        <f t="shared" si="220"/>
        <v>0</v>
      </c>
      <c r="AG290" s="67">
        <f t="shared" si="220"/>
        <v>0</v>
      </c>
      <c r="AH290" s="67">
        <f t="shared" si="220"/>
        <v>0</v>
      </c>
      <c r="AI290" s="67">
        <f t="shared" si="220"/>
        <v>0</v>
      </c>
      <c r="AJ290" s="67">
        <f t="shared" si="220"/>
        <v>0</v>
      </c>
      <c r="AK290" s="67">
        <f t="shared" si="220"/>
        <v>0</v>
      </c>
      <c r="AL290" s="67">
        <f t="shared" si="220"/>
        <v>0</v>
      </c>
      <c r="AM290" s="67">
        <f t="shared" si="220"/>
        <v>0</v>
      </c>
      <c r="AN290" s="67">
        <f t="shared" si="220"/>
        <v>0</v>
      </c>
      <c r="AO290" s="67">
        <f t="shared" si="220"/>
        <v>0</v>
      </c>
      <c r="AP290" s="67">
        <f t="shared" si="220"/>
        <v>0</v>
      </c>
      <c r="AQ290" s="67">
        <f t="shared" ref="AQ290:AV290" si="221">AQ110/AQ200</f>
        <v>0</v>
      </c>
      <c r="AR290" s="67">
        <f t="shared" si="221"/>
        <v>0</v>
      </c>
      <c r="AS290" s="67">
        <f t="shared" si="221"/>
        <v>0</v>
      </c>
      <c r="AT290" s="67">
        <f t="shared" si="221"/>
        <v>0</v>
      </c>
      <c r="AU290" s="67">
        <f t="shared" si="221"/>
        <v>0</v>
      </c>
      <c r="AV290" s="67">
        <f t="shared" si="221"/>
        <v>0</v>
      </c>
      <c r="AW290" s="67">
        <f t="shared" ref="AW290:AX290" si="222">AW110/AW200</f>
        <v>0</v>
      </c>
      <c r="AX290" s="67">
        <f t="shared" si="222"/>
        <v>0</v>
      </c>
      <c r="AY290" s="67">
        <f t="shared" ref="AY290" si="223">AY110/AY200</f>
        <v>0</v>
      </c>
      <c r="AZ290" s="35" t="s">
        <v>325</v>
      </c>
      <c r="BA290" s="35"/>
      <c r="BB290" s="35"/>
      <c r="BC290" s="35"/>
      <c r="BD290" s="300"/>
      <c r="BE290" s="35"/>
      <c r="BF290" s="302"/>
      <c r="BG290" s="50"/>
      <c r="BH290" s="43"/>
      <c r="BI290" s="12"/>
      <c r="BJ290" s="12"/>
      <c r="BK290" s="12"/>
      <c r="BL290" s="12"/>
      <c r="BM290" s="12"/>
      <c r="BN290" s="12"/>
      <c r="BO290" s="12"/>
      <c r="BP290" s="12"/>
      <c r="BQ290" s="35"/>
      <c r="BR290" s="35"/>
      <c r="BS290" s="47"/>
      <c r="BT290" s="3"/>
      <c r="BU290" s="3"/>
      <c r="BV290" s="3"/>
      <c r="BW290" s="3"/>
      <c r="BX290" s="3"/>
      <c r="BY290" s="3"/>
      <c r="BZ290" s="3"/>
      <c r="CA290" s="3"/>
      <c r="CB290" s="3"/>
      <c r="CC290" s="3"/>
    </row>
    <row r="291" spans="1:81" ht="12.75" x14ac:dyDescent="0.35">
      <c r="A291" s="48"/>
      <c r="B291" s="35" t="s">
        <v>14</v>
      </c>
      <c r="C291" s="35"/>
      <c r="D291" s="12"/>
      <c r="E291" s="67">
        <f>E111/E200</f>
        <v>0</v>
      </c>
      <c r="F291" s="67">
        <f t="shared" ref="F291:AP291" si="224">F111/F200</f>
        <v>0</v>
      </c>
      <c r="G291" s="67">
        <f t="shared" si="224"/>
        <v>0</v>
      </c>
      <c r="H291" s="67">
        <f t="shared" si="224"/>
        <v>0</v>
      </c>
      <c r="I291" s="67">
        <f t="shared" si="224"/>
        <v>0</v>
      </c>
      <c r="J291" s="67">
        <f t="shared" si="224"/>
        <v>0</v>
      </c>
      <c r="K291" s="67">
        <f t="shared" si="224"/>
        <v>0</v>
      </c>
      <c r="L291" s="67">
        <f t="shared" si="224"/>
        <v>0</v>
      </c>
      <c r="M291" s="67">
        <f t="shared" si="224"/>
        <v>0</v>
      </c>
      <c r="N291" s="67">
        <f t="shared" si="224"/>
        <v>0</v>
      </c>
      <c r="O291" s="67">
        <f t="shared" si="224"/>
        <v>0</v>
      </c>
      <c r="P291" s="67">
        <f t="shared" si="224"/>
        <v>0</v>
      </c>
      <c r="Q291" s="67">
        <f t="shared" si="224"/>
        <v>0</v>
      </c>
      <c r="R291" s="67">
        <f t="shared" si="224"/>
        <v>0</v>
      </c>
      <c r="S291" s="67">
        <f t="shared" si="224"/>
        <v>0</v>
      </c>
      <c r="T291" s="67">
        <f t="shared" si="224"/>
        <v>0</v>
      </c>
      <c r="U291" s="67">
        <f t="shared" si="224"/>
        <v>0</v>
      </c>
      <c r="V291" s="67">
        <f t="shared" si="224"/>
        <v>0</v>
      </c>
      <c r="W291" s="67">
        <f t="shared" si="224"/>
        <v>0</v>
      </c>
      <c r="X291" s="67">
        <f t="shared" si="224"/>
        <v>6.1149051490514905</v>
      </c>
      <c r="Y291" s="67">
        <f t="shared" si="224"/>
        <v>5.933890761968982</v>
      </c>
      <c r="Z291" s="67">
        <f t="shared" si="224"/>
        <v>7.2301201602136187</v>
      </c>
      <c r="AA291" s="67">
        <f t="shared" si="224"/>
        <v>5.7366101694915264</v>
      </c>
      <c r="AB291" s="67">
        <f t="shared" si="224"/>
        <v>9.4722299961836924</v>
      </c>
      <c r="AC291" s="67">
        <f t="shared" si="224"/>
        <v>0</v>
      </c>
      <c r="AD291" s="67">
        <f t="shared" si="224"/>
        <v>0</v>
      </c>
      <c r="AE291" s="67">
        <f t="shared" si="224"/>
        <v>0</v>
      </c>
      <c r="AF291" s="67">
        <f t="shared" si="224"/>
        <v>0</v>
      </c>
      <c r="AG291" s="67">
        <f t="shared" si="224"/>
        <v>0</v>
      </c>
      <c r="AH291" s="67">
        <f t="shared" si="224"/>
        <v>0</v>
      </c>
      <c r="AI291" s="67">
        <f t="shared" si="224"/>
        <v>0</v>
      </c>
      <c r="AJ291" s="67">
        <f t="shared" si="224"/>
        <v>7.1913311377881657</v>
      </c>
      <c r="AK291" s="67">
        <f t="shared" si="224"/>
        <v>0</v>
      </c>
      <c r="AL291" s="67">
        <f t="shared" si="224"/>
        <v>11.774159883114173</v>
      </c>
      <c r="AM291" s="67">
        <f t="shared" si="224"/>
        <v>11.516945692119233</v>
      </c>
      <c r="AN291" s="67">
        <f t="shared" si="224"/>
        <v>11.282000000000002</v>
      </c>
      <c r="AO291" s="67">
        <f t="shared" si="224"/>
        <v>10.43909833645044</v>
      </c>
      <c r="AP291" s="67">
        <f t="shared" si="224"/>
        <v>7.6540027137042062</v>
      </c>
      <c r="AQ291" s="67">
        <f t="shared" ref="AQ291:AV291" si="225">AQ111/AQ200</f>
        <v>0</v>
      </c>
      <c r="AR291" s="67">
        <f t="shared" si="225"/>
        <v>0</v>
      </c>
      <c r="AS291" s="67">
        <f t="shared" si="225"/>
        <v>0</v>
      </c>
      <c r="AT291" s="67">
        <f t="shared" si="225"/>
        <v>0</v>
      </c>
      <c r="AU291" s="67">
        <f t="shared" si="225"/>
        <v>0</v>
      </c>
      <c r="AV291" s="67">
        <f t="shared" si="225"/>
        <v>0</v>
      </c>
      <c r="AW291" s="67">
        <f t="shared" ref="AW291:AX291" si="226">AW111/AW200</f>
        <v>0</v>
      </c>
      <c r="AX291" s="67">
        <f t="shared" si="226"/>
        <v>0</v>
      </c>
      <c r="AY291" s="67">
        <f t="shared" ref="AY291" si="227">AY111/AY200</f>
        <v>0</v>
      </c>
      <c r="AZ291" s="35" t="str">
        <f>AZ111</f>
        <v>Indian renewables (from FY09 onwards: tribal energy activities; from FY15-on inc. energy and development partnerships; from FY16 on includes Indian Energy Programs)</v>
      </c>
      <c r="BA291" s="35"/>
      <c r="BB291" s="35"/>
      <c r="BC291" s="35"/>
      <c r="BD291" s="300"/>
      <c r="BE291" s="35"/>
      <c r="BF291"/>
      <c r="BG291" s="50"/>
      <c r="BH291" s="43"/>
      <c r="BI291" s="12"/>
      <c r="BJ291" s="12"/>
      <c r="BK291" s="12"/>
      <c r="BL291" s="12"/>
      <c r="BM291" s="12"/>
      <c r="BN291" s="12"/>
      <c r="BO291" s="12"/>
      <c r="BP291" s="12"/>
      <c r="BQ291" s="35"/>
      <c r="BR291" s="35"/>
      <c r="BS291" s="47"/>
      <c r="BT291" s="3"/>
      <c r="BU291" s="3"/>
      <c r="BV291" s="3"/>
      <c r="BW291" s="3"/>
      <c r="BX291" s="3"/>
      <c r="BY291" s="3"/>
      <c r="BZ291" s="3"/>
      <c r="CA291" s="3"/>
      <c r="CB291" s="3"/>
      <c r="CC291" s="3"/>
    </row>
    <row r="292" spans="1:81" ht="12.75" x14ac:dyDescent="0.35">
      <c r="A292" s="48"/>
      <c r="B292" s="35"/>
      <c r="C292" s="35"/>
      <c r="D292" s="12"/>
      <c r="E292" s="67"/>
      <c r="F292" s="67"/>
      <c r="G292" s="67"/>
      <c r="H292" s="67"/>
      <c r="I292" s="67"/>
      <c r="J292" s="67"/>
      <c r="K292" s="67"/>
      <c r="L292" s="67"/>
      <c r="M292" s="67"/>
      <c r="N292" s="67"/>
      <c r="O292" s="67"/>
      <c r="P292" s="67"/>
      <c r="Q292" s="67"/>
      <c r="R292" s="67"/>
      <c r="S292" s="67">
        <f>S112/S200</f>
        <v>0</v>
      </c>
      <c r="T292" s="67">
        <f t="shared" ref="T292:AP292" si="228">T112/T200</f>
        <v>0</v>
      </c>
      <c r="U292" s="67">
        <f t="shared" si="228"/>
        <v>0</v>
      </c>
      <c r="V292" s="67">
        <f t="shared" si="228"/>
        <v>13.213009736136591</v>
      </c>
      <c r="W292" s="67">
        <f t="shared" si="228"/>
        <v>0</v>
      </c>
      <c r="X292" s="67">
        <f t="shared" si="228"/>
        <v>0</v>
      </c>
      <c r="Y292" s="67">
        <f t="shared" si="228"/>
        <v>0</v>
      </c>
      <c r="Z292" s="67">
        <f t="shared" si="228"/>
        <v>0</v>
      </c>
      <c r="AA292" s="67">
        <f t="shared" si="228"/>
        <v>0</v>
      </c>
      <c r="AB292" s="67">
        <f t="shared" si="228"/>
        <v>0</v>
      </c>
      <c r="AC292" s="67">
        <f t="shared" si="228"/>
        <v>0</v>
      </c>
      <c r="AD292" s="67">
        <f t="shared" si="228"/>
        <v>0</v>
      </c>
      <c r="AE292" s="67">
        <f t="shared" si="228"/>
        <v>0</v>
      </c>
      <c r="AF292" s="67">
        <f t="shared" si="228"/>
        <v>0</v>
      </c>
      <c r="AG292" s="67">
        <f t="shared" si="228"/>
        <v>0</v>
      </c>
      <c r="AH292" s="67">
        <f t="shared" si="228"/>
        <v>102.7098826368323</v>
      </c>
      <c r="AI292" s="67">
        <f t="shared" si="228"/>
        <v>82.954122015915118</v>
      </c>
      <c r="AJ292" s="67">
        <f t="shared" si="228"/>
        <v>64.721980240093501</v>
      </c>
      <c r="AK292" s="67">
        <f t="shared" si="228"/>
        <v>120.09523000106236</v>
      </c>
      <c r="AL292" s="67">
        <f t="shared" si="228"/>
        <v>0</v>
      </c>
      <c r="AM292" s="67">
        <f t="shared" si="228"/>
        <v>58.736423029808087</v>
      </c>
      <c r="AN292" s="67">
        <f t="shared" si="228"/>
        <v>29.671660000000003</v>
      </c>
      <c r="AO292" s="67">
        <f t="shared" si="228"/>
        <v>27.652505167831482</v>
      </c>
      <c r="AP292" s="67">
        <f t="shared" si="228"/>
        <v>50.297732118627643</v>
      </c>
      <c r="AQ292" s="67">
        <f t="shared" ref="AQ292:AV292" si="229">AQ112/AQ200</f>
        <v>60.901484480431854</v>
      </c>
      <c r="AR292" s="67">
        <f t="shared" si="229"/>
        <v>66.97472232860973</v>
      </c>
      <c r="AS292" s="67">
        <f t="shared" si="229"/>
        <v>97.679653679653683</v>
      </c>
      <c r="AT292" s="67">
        <f t="shared" si="229"/>
        <v>95.548559329835228</v>
      </c>
      <c r="AU292" s="67">
        <f t="shared" si="229"/>
        <v>99.045524481853576</v>
      </c>
      <c r="AV292" s="67">
        <f t="shared" si="229"/>
        <v>130</v>
      </c>
      <c r="AW292" s="67">
        <f t="shared" ref="AW292:AX292" si="230">AW112/AW200</f>
        <v>126.69834139599172</v>
      </c>
      <c r="AX292" s="67">
        <f t="shared" si="230"/>
        <v>120.34627061623043</v>
      </c>
      <c r="AY292" s="67">
        <f t="shared" ref="AY292" si="231">AY112/AY200</f>
        <v>218.39044948321447</v>
      </c>
      <c r="AZ292" s="35" t="s">
        <v>53</v>
      </c>
      <c r="BA292" s="35"/>
      <c r="BB292" s="35"/>
      <c r="BC292" s="35"/>
      <c r="BD292" s="300"/>
      <c r="BE292" s="35"/>
      <c r="BF292"/>
      <c r="BG292" s="50"/>
      <c r="BH292" s="43"/>
      <c r="BI292" s="12"/>
      <c r="BJ292" s="12"/>
      <c r="BK292" s="12"/>
      <c r="BL292" s="12"/>
      <c r="BM292" s="12"/>
      <c r="BN292" s="12"/>
      <c r="BO292" s="12"/>
      <c r="BP292" s="12"/>
      <c r="BQ292" s="35"/>
      <c r="BR292" s="35"/>
      <c r="BS292" s="47"/>
      <c r="BT292" s="3"/>
      <c r="BU292" s="3"/>
      <c r="BV292" s="3"/>
      <c r="BW292" s="3"/>
      <c r="BX292" s="3"/>
      <c r="BY292" s="3"/>
      <c r="BZ292" s="3"/>
      <c r="CA292" s="3"/>
      <c r="CB292" s="3"/>
      <c r="CC292" s="3"/>
    </row>
    <row r="293" spans="1:81" ht="12.75" x14ac:dyDescent="0.35">
      <c r="A293" s="48"/>
      <c r="B293" s="35" t="s">
        <v>326</v>
      </c>
      <c r="C293" s="35"/>
      <c r="D293" s="12"/>
      <c r="E293" s="67"/>
      <c r="F293" s="67"/>
      <c r="G293" s="67"/>
      <c r="H293" s="67"/>
      <c r="I293" s="67"/>
      <c r="J293" s="67"/>
      <c r="K293" s="67"/>
      <c r="L293" s="67"/>
      <c r="M293" s="67"/>
      <c r="N293" s="67"/>
      <c r="O293" s="67"/>
      <c r="P293" s="67"/>
      <c r="Q293" s="67"/>
      <c r="R293" s="67"/>
      <c r="S293" s="67">
        <f>S113/S200</f>
        <v>0</v>
      </c>
      <c r="T293" s="67">
        <f t="shared" ref="T293:AP293" si="232">T113/T200</f>
        <v>0</v>
      </c>
      <c r="U293" s="67">
        <f t="shared" si="232"/>
        <v>0</v>
      </c>
      <c r="V293" s="67">
        <f t="shared" si="232"/>
        <v>0</v>
      </c>
      <c r="W293" s="67">
        <f t="shared" si="232"/>
        <v>0</v>
      </c>
      <c r="X293" s="67">
        <f t="shared" si="232"/>
        <v>0</v>
      </c>
      <c r="Y293" s="67">
        <f t="shared" si="232"/>
        <v>0</v>
      </c>
      <c r="Z293" s="67">
        <f t="shared" si="232"/>
        <v>0</v>
      </c>
      <c r="AA293" s="67">
        <f t="shared" si="232"/>
        <v>0</v>
      </c>
      <c r="AB293" s="67">
        <f t="shared" si="232"/>
        <v>0</v>
      </c>
      <c r="AC293" s="67">
        <f t="shared" si="232"/>
        <v>108.81044832349616</v>
      </c>
      <c r="AD293" s="67">
        <f t="shared" si="232"/>
        <v>0</v>
      </c>
      <c r="AE293" s="67">
        <f t="shared" si="232"/>
        <v>0</v>
      </c>
      <c r="AF293" s="67">
        <f t="shared" si="232"/>
        <v>0</v>
      </c>
      <c r="AG293" s="67">
        <f t="shared" si="232"/>
        <v>0</v>
      </c>
      <c r="AH293" s="67">
        <f t="shared" si="232"/>
        <v>0</v>
      </c>
      <c r="AI293" s="67">
        <f t="shared" si="232"/>
        <v>0</v>
      </c>
      <c r="AJ293" s="67">
        <f t="shared" si="232"/>
        <v>0</v>
      </c>
      <c r="AK293" s="67">
        <f t="shared" si="232"/>
        <v>0</v>
      </c>
      <c r="AL293" s="67">
        <f t="shared" si="232"/>
        <v>0</v>
      </c>
      <c r="AM293" s="67">
        <f t="shared" si="232"/>
        <v>0</v>
      </c>
      <c r="AN293" s="67">
        <f t="shared" si="232"/>
        <v>0</v>
      </c>
      <c r="AO293" s="67">
        <f t="shared" si="232"/>
        <v>0</v>
      </c>
      <c r="AP293" s="67">
        <f t="shared" si="232"/>
        <v>0</v>
      </c>
      <c r="AQ293" s="67">
        <f t="shared" ref="AQ293:AV293" si="233">AQ113/AQ200</f>
        <v>0</v>
      </c>
      <c r="AR293" s="67">
        <f t="shared" si="233"/>
        <v>0</v>
      </c>
      <c r="AS293" s="67">
        <f t="shared" si="233"/>
        <v>0</v>
      </c>
      <c r="AT293" s="67">
        <f t="shared" si="233"/>
        <v>0</v>
      </c>
      <c r="AU293" s="67">
        <f t="shared" si="233"/>
        <v>0</v>
      </c>
      <c r="AV293" s="67">
        <f t="shared" si="233"/>
        <v>0</v>
      </c>
      <c r="AW293" s="67">
        <f t="shared" ref="AW293:AX293" si="234">AW113/AW200</f>
        <v>0</v>
      </c>
      <c r="AX293" s="67">
        <f t="shared" si="234"/>
        <v>0</v>
      </c>
      <c r="AY293" s="67">
        <f t="shared" ref="AY293" si="235">AY113/AY200</f>
        <v>0</v>
      </c>
      <c r="AZ293" s="35" t="s">
        <v>326</v>
      </c>
      <c r="BA293" s="35"/>
      <c r="BB293" s="35"/>
      <c r="BC293" s="35"/>
      <c r="BD293" s="300"/>
      <c r="BE293" s="35"/>
      <c r="BF293"/>
      <c r="BG293" s="50"/>
      <c r="BH293" s="43"/>
      <c r="BI293" s="12"/>
      <c r="BJ293" s="12"/>
      <c r="BK293" s="12"/>
      <c r="BL293" s="12"/>
      <c r="BM293" s="12"/>
      <c r="BN293" s="12"/>
      <c r="BO293" s="12"/>
      <c r="BP293" s="12"/>
      <c r="BQ293" s="35"/>
      <c r="BR293" s="35"/>
      <c r="BS293" s="47"/>
      <c r="BT293" s="3"/>
      <c r="BU293" s="3"/>
      <c r="BV293" s="3"/>
      <c r="BW293" s="3"/>
      <c r="BX293" s="3"/>
      <c r="BY293" s="3"/>
      <c r="BZ293" s="3"/>
      <c r="CA293" s="3"/>
      <c r="CB293" s="3"/>
      <c r="CC293" s="3"/>
    </row>
    <row r="294" spans="1:81" ht="12.75" x14ac:dyDescent="0.35">
      <c r="A294" s="48"/>
      <c r="B294" s="35" t="s">
        <v>169</v>
      </c>
      <c r="C294" s="35"/>
      <c r="D294" s="12"/>
      <c r="E294" s="67"/>
      <c r="F294" s="67"/>
      <c r="G294" s="67"/>
      <c r="H294" s="67"/>
      <c r="I294" s="67"/>
      <c r="J294" s="67"/>
      <c r="K294" s="67"/>
      <c r="L294" s="67"/>
      <c r="M294" s="67"/>
      <c r="N294" s="67"/>
      <c r="O294" s="67"/>
      <c r="P294" s="67"/>
      <c r="Q294" s="67"/>
      <c r="R294" s="67"/>
      <c r="S294" s="67">
        <f>S114/S200</f>
        <v>0</v>
      </c>
      <c r="T294" s="67">
        <f t="shared" ref="T294:AP294" si="236">T114/T200</f>
        <v>0</v>
      </c>
      <c r="U294" s="67">
        <f t="shared" si="236"/>
        <v>0</v>
      </c>
      <c r="V294" s="67">
        <f t="shared" si="236"/>
        <v>0</v>
      </c>
      <c r="W294" s="67">
        <f t="shared" si="236"/>
        <v>0</v>
      </c>
      <c r="X294" s="67">
        <f t="shared" si="236"/>
        <v>0</v>
      </c>
      <c r="Y294" s="67">
        <f t="shared" si="236"/>
        <v>0</v>
      </c>
      <c r="Z294" s="67">
        <f t="shared" si="236"/>
        <v>0</v>
      </c>
      <c r="AA294" s="67">
        <f t="shared" si="236"/>
        <v>0</v>
      </c>
      <c r="AB294" s="67">
        <f t="shared" si="236"/>
        <v>0</v>
      </c>
      <c r="AC294" s="67">
        <f t="shared" si="236"/>
        <v>8.8266808991586085</v>
      </c>
      <c r="AD294" s="67">
        <f t="shared" si="236"/>
        <v>17.881533357906378</v>
      </c>
      <c r="AE294" s="67">
        <f t="shared" si="236"/>
        <v>20.163344128583425</v>
      </c>
      <c r="AF294" s="67">
        <f t="shared" si="236"/>
        <v>17.587110283852954</v>
      </c>
      <c r="AG294" s="67">
        <f t="shared" si="236"/>
        <v>0</v>
      </c>
      <c r="AH294" s="67">
        <f t="shared" si="236"/>
        <v>0</v>
      </c>
      <c r="AI294" s="67">
        <f t="shared" si="236"/>
        <v>0</v>
      </c>
      <c r="AJ294" s="67">
        <f t="shared" si="236"/>
        <v>0</v>
      </c>
      <c r="AK294" s="67">
        <f t="shared" si="236"/>
        <v>0</v>
      </c>
      <c r="AL294" s="67">
        <f t="shared" si="236"/>
        <v>0</v>
      </c>
      <c r="AM294" s="67">
        <f t="shared" si="236"/>
        <v>0</v>
      </c>
      <c r="AN294" s="67">
        <f t="shared" si="236"/>
        <v>0</v>
      </c>
      <c r="AO294" s="67">
        <f t="shared" si="236"/>
        <v>0</v>
      </c>
      <c r="AP294" s="67">
        <f t="shared" si="236"/>
        <v>0</v>
      </c>
      <c r="AQ294" s="67">
        <f t="shared" ref="AQ294:AV294" si="237">AQ114/AQ200</f>
        <v>0</v>
      </c>
      <c r="AR294" s="67">
        <f t="shared" si="237"/>
        <v>0</v>
      </c>
      <c r="AS294" s="67">
        <f t="shared" si="237"/>
        <v>0</v>
      </c>
      <c r="AT294" s="67">
        <f t="shared" si="237"/>
        <v>0</v>
      </c>
      <c r="AU294" s="67">
        <f t="shared" si="237"/>
        <v>0</v>
      </c>
      <c r="AV294" s="67">
        <f t="shared" si="237"/>
        <v>0</v>
      </c>
      <c r="AW294" s="67">
        <f t="shared" ref="AW294:AX294" si="238">AW114/AW200</f>
        <v>0</v>
      </c>
      <c r="AX294" s="67">
        <f t="shared" si="238"/>
        <v>0</v>
      </c>
      <c r="AY294" s="67">
        <f t="shared" ref="AY294" si="239">AY114/AY200</f>
        <v>0</v>
      </c>
      <c r="AZ294" s="35" t="s">
        <v>169</v>
      </c>
      <c r="BA294" s="35"/>
      <c r="BB294" s="35"/>
      <c r="BC294" s="35"/>
      <c r="BD294" s="300"/>
      <c r="BE294" s="35"/>
      <c r="BF294"/>
      <c r="BG294" s="50"/>
      <c r="BH294" s="43"/>
      <c r="BI294" s="12"/>
      <c r="BJ294" s="12"/>
      <c r="BK294" s="12"/>
      <c r="BL294" s="12"/>
      <c r="BM294" s="12"/>
      <c r="BN294" s="12"/>
      <c r="BO294" s="12"/>
      <c r="BP294" s="12"/>
      <c r="BQ294" s="35"/>
      <c r="BR294" s="35"/>
      <c r="BS294" s="47"/>
      <c r="BT294" s="3"/>
      <c r="BU294" s="3"/>
      <c r="BV294" s="3"/>
      <c r="BW294" s="3"/>
      <c r="BX294" s="3"/>
      <c r="BY294" s="3"/>
      <c r="BZ294" s="3"/>
      <c r="CA294" s="3"/>
      <c r="CB294" s="3"/>
      <c r="CC294" s="3"/>
    </row>
    <row r="295" spans="1:81" ht="12.75" x14ac:dyDescent="0.35">
      <c r="A295" s="48"/>
      <c r="B295" s="35" t="s">
        <v>199</v>
      </c>
      <c r="C295" s="35"/>
      <c r="D295" s="12"/>
      <c r="E295" s="67"/>
      <c r="F295" s="67"/>
      <c r="G295" s="67"/>
      <c r="H295" s="67"/>
      <c r="I295" s="67"/>
      <c r="J295" s="67"/>
      <c r="K295" s="67"/>
      <c r="L295" s="67"/>
      <c r="M295" s="67"/>
      <c r="N295" s="67"/>
      <c r="O295" s="67"/>
      <c r="P295" s="67"/>
      <c r="Q295" s="67"/>
      <c r="R295" s="67"/>
      <c r="S295" s="67">
        <f>S115/S200</f>
        <v>3.2776452599388382</v>
      </c>
      <c r="T295" s="67">
        <f t="shared" ref="T295:AP295" si="240">T115/T200</f>
        <v>4.8384797397219756</v>
      </c>
      <c r="U295" s="67">
        <f t="shared" si="240"/>
        <v>6.2304316233105652</v>
      </c>
      <c r="V295" s="67">
        <f t="shared" si="240"/>
        <v>7.641258642585016</v>
      </c>
      <c r="W295" s="67">
        <f t="shared" si="240"/>
        <v>22.185902229608089</v>
      </c>
      <c r="X295" s="67">
        <f t="shared" si="240"/>
        <v>25.071111111111108</v>
      </c>
      <c r="Y295" s="67">
        <f t="shared" si="240"/>
        <v>36.059797707349965</v>
      </c>
      <c r="Z295" s="67">
        <f t="shared" si="240"/>
        <v>45.188251001335118</v>
      </c>
      <c r="AA295" s="67">
        <f t="shared" si="240"/>
        <v>43.936550195567143</v>
      </c>
      <c r="AB295" s="67">
        <f t="shared" si="240"/>
        <v>53.963007250985889</v>
      </c>
      <c r="AC295" s="67">
        <f t="shared" si="240"/>
        <v>36.553509983674488</v>
      </c>
      <c r="AD295" s="67">
        <f t="shared" si="240"/>
        <v>39.367096694925671</v>
      </c>
      <c r="AE295" s="67">
        <f t="shared" si="240"/>
        <v>33.831114309703736</v>
      </c>
      <c r="AF295" s="67">
        <f t="shared" si="240"/>
        <v>47.653079262318059</v>
      </c>
      <c r="AG295" s="67">
        <f t="shared" si="240"/>
        <v>44.444879057216419</v>
      </c>
      <c r="AH295" s="67">
        <f t="shared" si="240"/>
        <v>57.722940669422563</v>
      </c>
      <c r="AI295" s="67">
        <f t="shared" si="240"/>
        <v>57.627634292314816</v>
      </c>
      <c r="AJ295" s="67">
        <f t="shared" si="240"/>
        <v>75.515033054570111</v>
      </c>
      <c r="AK295" s="67">
        <f t="shared" si="240"/>
        <v>82.506650298056599</v>
      </c>
      <c r="AL295" s="67">
        <f t="shared" si="240"/>
        <v>96.562934326239272</v>
      </c>
      <c r="AM295" s="67">
        <f t="shared" si="240"/>
        <v>105.69883447779642</v>
      </c>
      <c r="AN295" s="67">
        <f t="shared" si="240"/>
        <v>100.89750233017938</v>
      </c>
      <c r="AO295" s="67">
        <f t="shared" si="240"/>
        <v>95.559044751767644</v>
      </c>
      <c r="AP295" s="67">
        <f t="shared" si="240"/>
        <v>97.203252468609762</v>
      </c>
      <c r="AQ295" s="67">
        <f t="shared" ref="AQ295:AV295" si="241">AQ115/AQ200</f>
        <v>91.358334888994037</v>
      </c>
      <c r="AR295" s="67">
        <f t="shared" si="241"/>
        <v>86.564520770038271</v>
      </c>
      <c r="AS295" s="67">
        <f t="shared" si="241"/>
        <v>79.019062905924216</v>
      </c>
      <c r="AT295" s="67">
        <f t="shared" si="241"/>
        <v>79.455959908393311</v>
      </c>
      <c r="AU295" s="67">
        <f t="shared" si="241"/>
        <v>77.004414698008773</v>
      </c>
      <c r="AV295" s="67">
        <f t="shared" si="241"/>
        <v>76.060752056404226</v>
      </c>
      <c r="AW295" s="67">
        <f t="shared" ref="AW295:AX295" si="242">AW115/AW200</f>
        <v>73.758537866898394</v>
      </c>
      <c r="AX295" s="67">
        <f t="shared" si="242"/>
        <v>70.060624792583553</v>
      </c>
      <c r="AY295" s="67">
        <f t="shared" ref="AY295" si="243">AY115/AY200</f>
        <v>122.5851842954266</v>
      </c>
      <c r="AZ295" s="35" t="s">
        <v>199</v>
      </c>
      <c r="BA295" s="35"/>
      <c r="BB295" s="35"/>
      <c r="BC295" s="35"/>
      <c r="BD295" s="300"/>
      <c r="BE295" s="35"/>
      <c r="BF295"/>
      <c r="BG295" s="50"/>
      <c r="BH295" s="43"/>
      <c r="BI295" s="12"/>
      <c r="BJ295" s="12"/>
      <c r="BK295" s="12"/>
      <c r="BL295" s="12"/>
      <c r="BM295" s="12"/>
      <c r="BN295" s="12"/>
      <c r="BO295" s="12"/>
      <c r="BP295" s="12"/>
      <c r="BQ295" s="35"/>
      <c r="BR295" s="35"/>
      <c r="BS295" s="47"/>
      <c r="BT295" s="3"/>
      <c r="BU295" s="3"/>
      <c r="BV295" s="3"/>
      <c r="BW295" s="3"/>
      <c r="BX295" s="3"/>
      <c r="BY295" s="3"/>
      <c r="BZ295" s="3"/>
      <c r="CA295" s="3"/>
      <c r="CB295" s="3"/>
      <c r="CC295" s="3"/>
    </row>
    <row r="296" spans="1:81" ht="12.75" x14ac:dyDescent="0.35">
      <c r="A296" s="48"/>
      <c r="B296" s="35"/>
      <c r="C296" s="35"/>
      <c r="D296" s="12"/>
      <c r="E296" s="67"/>
      <c r="F296" s="67"/>
      <c r="G296" s="67"/>
      <c r="H296" s="67"/>
      <c r="I296" s="67"/>
      <c r="J296" s="67"/>
      <c r="K296" s="67"/>
      <c r="L296" s="67"/>
      <c r="M296" s="67"/>
      <c r="N296" s="67"/>
      <c r="O296" s="67"/>
      <c r="P296" s="67"/>
      <c r="Q296" s="67"/>
      <c r="R296" s="67"/>
      <c r="S296" s="67">
        <f>S117/S200</f>
        <v>0</v>
      </c>
      <c r="T296" s="67">
        <f t="shared" ref="T296:AP296" si="244">T117/T200</f>
        <v>0</v>
      </c>
      <c r="U296" s="67">
        <f t="shared" si="244"/>
        <v>0</v>
      </c>
      <c r="V296" s="67">
        <f t="shared" si="244"/>
        <v>0</v>
      </c>
      <c r="W296" s="67">
        <f t="shared" si="244"/>
        <v>0</v>
      </c>
      <c r="X296" s="67">
        <f t="shared" si="244"/>
        <v>0</v>
      </c>
      <c r="Y296" s="67">
        <f t="shared" si="244"/>
        <v>0</v>
      </c>
      <c r="Z296" s="67">
        <f t="shared" si="244"/>
        <v>0</v>
      </c>
      <c r="AA296" s="67">
        <f t="shared" si="244"/>
        <v>0</v>
      </c>
      <c r="AB296" s="67">
        <f t="shared" si="244"/>
        <v>0</v>
      </c>
      <c r="AC296" s="67">
        <f t="shared" si="244"/>
        <v>0</v>
      </c>
      <c r="AD296" s="67">
        <f t="shared" si="244"/>
        <v>0</v>
      </c>
      <c r="AE296" s="67">
        <f t="shared" si="244"/>
        <v>0</v>
      </c>
      <c r="AF296" s="67">
        <f t="shared" si="244"/>
        <v>0</v>
      </c>
      <c r="AG296" s="67">
        <f t="shared" si="244"/>
        <v>0</v>
      </c>
      <c r="AH296" s="67">
        <f t="shared" si="244"/>
        <v>0</v>
      </c>
      <c r="AI296" s="67">
        <f t="shared" si="244"/>
        <v>145.4390450928382</v>
      </c>
      <c r="AJ296" s="67">
        <f t="shared" si="244"/>
        <v>210.22658026134073</v>
      </c>
      <c r="AK296" s="67">
        <f t="shared" si="244"/>
        <v>0</v>
      </c>
      <c r="AL296" s="67">
        <f t="shared" si="244"/>
        <v>279.51855562513043</v>
      </c>
      <c r="AM296" s="67">
        <f t="shared" si="244"/>
        <v>0</v>
      </c>
      <c r="AN296" s="67">
        <f t="shared" si="244"/>
        <v>0</v>
      </c>
      <c r="AO296" s="67">
        <f t="shared" si="244"/>
        <v>0</v>
      </c>
      <c r="AP296" s="67">
        <f t="shared" si="244"/>
        <v>0</v>
      </c>
      <c r="AQ296" s="67">
        <f t="shared" ref="AQ296:AV296" si="245">AQ117/AQ200</f>
        <v>0</v>
      </c>
      <c r="AR296" s="67">
        <f t="shared" si="245"/>
        <v>0</v>
      </c>
      <c r="AS296" s="67">
        <f t="shared" si="245"/>
        <v>0</v>
      </c>
      <c r="AT296" s="67">
        <f t="shared" si="245"/>
        <v>0</v>
      </c>
      <c r="AU296" s="67">
        <f t="shared" si="245"/>
        <v>0</v>
      </c>
      <c r="AV296" s="67">
        <f t="shared" si="245"/>
        <v>0</v>
      </c>
      <c r="AW296" s="67">
        <f t="shared" ref="AW296:AX296" si="246">AW117/AW200</f>
        <v>0</v>
      </c>
      <c r="AX296" s="67">
        <f t="shared" si="246"/>
        <v>0</v>
      </c>
      <c r="AY296" s="67">
        <f t="shared" ref="AY296" si="247">AY117/AY200</f>
        <v>0</v>
      </c>
      <c r="AZ296" s="3" t="s">
        <v>253</v>
      </c>
      <c r="BA296" s="35"/>
      <c r="BB296" s="35"/>
      <c r="BC296" s="35"/>
      <c r="BD296" s="300"/>
      <c r="BE296" s="35"/>
      <c r="BF296"/>
      <c r="BG296" s="50"/>
      <c r="BH296" s="43"/>
      <c r="BI296" s="12"/>
      <c r="BJ296" s="12"/>
      <c r="BK296" s="12"/>
      <c r="BL296" s="12"/>
      <c r="BM296" s="12"/>
      <c r="BN296" s="12"/>
      <c r="BO296" s="12"/>
      <c r="BP296" s="12"/>
      <c r="BQ296" s="35"/>
      <c r="BR296" s="35"/>
      <c r="BS296" s="47"/>
      <c r="BT296" s="3"/>
      <c r="BU296" s="3"/>
      <c r="BV296" s="3"/>
      <c r="BW296" s="3"/>
      <c r="BX296" s="3"/>
      <c r="BY296" s="3"/>
      <c r="BZ296" s="3"/>
      <c r="CA296" s="3"/>
      <c r="CB296" s="3"/>
      <c r="CC296" s="3"/>
    </row>
    <row r="297" spans="1:81" ht="12.75" x14ac:dyDescent="0.35">
      <c r="A297" s="48"/>
      <c r="B297" s="35" t="s">
        <v>15</v>
      </c>
      <c r="C297" s="35"/>
      <c r="D297" s="12"/>
      <c r="E297" s="67"/>
      <c r="F297" s="67"/>
      <c r="G297" s="67"/>
      <c r="H297" s="67"/>
      <c r="I297" s="67"/>
      <c r="J297" s="67"/>
      <c r="K297" s="67"/>
      <c r="L297" s="67"/>
      <c r="M297" s="67"/>
      <c r="N297" s="67"/>
      <c r="O297" s="67"/>
      <c r="P297" s="67"/>
      <c r="Q297" s="67"/>
      <c r="R297" s="67"/>
      <c r="S297" s="67">
        <f>S118/S200</f>
        <v>0</v>
      </c>
      <c r="T297" s="67">
        <f t="shared" ref="T297:AP297" si="248">T118/T200</f>
        <v>0</v>
      </c>
      <c r="U297" s="67">
        <f t="shared" si="248"/>
        <v>-9.3456474349658478</v>
      </c>
      <c r="V297" s="67">
        <f t="shared" si="248"/>
        <v>-14.804938620008469</v>
      </c>
      <c r="W297" s="67">
        <f t="shared" si="248"/>
        <v>-24.685722199141399</v>
      </c>
      <c r="X297" s="67">
        <f t="shared" si="248"/>
        <v>-28.892926829268291</v>
      </c>
      <c r="Y297" s="67">
        <f t="shared" si="248"/>
        <v>-37.124855023600809</v>
      </c>
      <c r="Z297" s="67">
        <f t="shared" si="248"/>
        <v>-1.5062750333778372</v>
      </c>
      <c r="AA297" s="67">
        <f t="shared" si="248"/>
        <v>0</v>
      </c>
      <c r="AB297" s="67">
        <f t="shared" si="248"/>
        <v>0</v>
      </c>
      <c r="AC297" s="67">
        <f t="shared" si="248"/>
        <v>0</v>
      </c>
      <c r="AD297" s="67">
        <f t="shared" si="248"/>
        <v>0</v>
      </c>
      <c r="AE297" s="67">
        <f t="shared" si="248"/>
        <v>-17.592179441045943</v>
      </c>
      <c r="AF297" s="67">
        <f t="shared" si="248"/>
        <v>0</v>
      </c>
      <c r="AG297" s="67">
        <f t="shared" si="248"/>
        <v>0</v>
      </c>
      <c r="AH297" s="67">
        <f t="shared" si="248"/>
        <v>0</v>
      </c>
      <c r="AI297" s="67">
        <f t="shared" si="248"/>
        <v>0</v>
      </c>
      <c r="AJ297" s="67">
        <f t="shared" si="248"/>
        <v>0</v>
      </c>
      <c r="AK297" s="67">
        <f t="shared" si="248"/>
        <v>0</v>
      </c>
      <c r="AL297" s="67">
        <f t="shared" si="248"/>
        <v>0</v>
      </c>
      <c r="AM297" s="67">
        <f t="shared" si="248"/>
        <v>0</v>
      </c>
      <c r="AN297" s="67">
        <f t="shared" si="248"/>
        <v>0</v>
      </c>
      <c r="AO297" s="67">
        <f t="shared" si="248"/>
        <v>0</v>
      </c>
      <c r="AP297" s="67">
        <f t="shared" si="248"/>
        <v>0</v>
      </c>
      <c r="AQ297" s="67">
        <f t="shared" ref="AQ297:AV297" si="249">AQ118/AQ200</f>
        <v>0</v>
      </c>
      <c r="AR297" s="67">
        <f t="shared" si="249"/>
        <v>0</v>
      </c>
      <c r="AS297" s="67">
        <f t="shared" si="249"/>
        <v>0</v>
      </c>
      <c r="AT297" s="67">
        <f t="shared" si="249"/>
        <v>0</v>
      </c>
      <c r="AU297" s="67">
        <f t="shared" si="249"/>
        <v>0</v>
      </c>
      <c r="AV297" s="67">
        <f t="shared" si="249"/>
        <v>-14.531511469709089</v>
      </c>
      <c r="AW297" s="67">
        <f t="shared" ref="AW297:AX297" si="250">AW118/AW200</f>
        <v>-2.144125777470629</v>
      </c>
      <c r="AX297" s="67">
        <f t="shared" si="250"/>
        <v>-2.0366291950438997</v>
      </c>
      <c r="AY297" s="67">
        <f t="shared" ref="AY297" si="251">AY118/AY200</f>
        <v>0</v>
      </c>
      <c r="AZ297" s="35" t="s">
        <v>15</v>
      </c>
      <c r="BA297" s="35"/>
      <c r="BB297" s="35"/>
      <c r="BC297" s="35"/>
      <c r="BD297" s="300"/>
      <c r="BE297" s="35"/>
      <c r="BF297"/>
      <c r="BG297" s="43"/>
      <c r="BH297" s="43"/>
      <c r="BI297" s="12"/>
      <c r="BJ297" s="12"/>
      <c r="BK297" s="12"/>
      <c r="BL297" s="12"/>
      <c r="BM297" s="12"/>
      <c r="BN297" s="12"/>
      <c r="BO297" s="12"/>
      <c r="BP297" s="12"/>
      <c r="BQ297" s="35"/>
      <c r="BR297" s="35"/>
      <c r="BS297" s="47"/>
      <c r="BT297" s="3"/>
      <c r="BU297" s="3"/>
      <c r="BV297" s="3"/>
      <c r="BW297" s="3"/>
      <c r="BX297" s="3"/>
      <c r="BY297" s="3"/>
      <c r="BZ297" s="3"/>
      <c r="CA297" s="3"/>
      <c r="CB297" s="3"/>
      <c r="CC297" s="3"/>
    </row>
    <row r="298" spans="1:81" ht="12.75" x14ac:dyDescent="0.35">
      <c r="A298" s="48"/>
      <c r="B298" s="35"/>
      <c r="C298" s="35"/>
      <c r="D298" s="12"/>
      <c r="E298" s="153"/>
      <c r="F298" s="153"/>
      <c r="G298" s="153"/>
      <c r="H298" s="153"/>
      <c r="I298" s="153"/>
      <c r="J298" s="153"/>
      <c r="K298" s="153"/>
      <c r="L298" s="153"/>
      <c r="M298" s="153"/>
      <c r="N298" s="153"/>
      <c r="O298" s="153"/>
      <c r="P298" s="153"/>
      <c r="Q298" s="153"/>
      <c r="R298" s="153"/>
      <c r="S298" s="153"/>
      <c r="T298" s="153"/>
      <c r="U298" s="154"/>
      <c r="V298" s="154"/>
      <c r="W298" s="153"/>
      <c r="X298" s="154"/>
      <c r="Y298" s="153"/>
      <c r="Z298" s="153"/>
      <c r="AA298" s="154"/>
      <c r="AB298" s="154"/>
      <c r="AC298" s="153"/>
      <c r="AD298" s="154"/>
      <c r="AE298" s="153"/>
      <c r="AF298" s="153"/>
      <c r="AG298" s="153"/>
      <c r="AH298" s="153"/>
      <c r="AI298" s="156"/>
      <c r="AJ298" s="153"/>
      <c r="AK298" s="153"/>
      <c r="AL298" s="153"/>
      <c r="AM298" s="153"/>
      <c r="AN298" s="153"/>
      <c r="AO298" s="12"/>
      <c r="AP298" s="12"/>
      <c r="AQ298" s="12"/>
      <c r="AR298" s="12"/>
      <c r="AS298" s="12"/>
      <c r="AT298" s="12"/>
      <c r="AU298" s="12"/>
      <c r="AV298" s="12"/>
      <c r="AW298" s="12"/>
      <c r="AX298" s="12"/>
      <c r="AY298" s="12"/>
      <c r="AZ298" s="35"/>
      <c r="BA298" s="35"/>
      <c r="BB298" s="35"/>
      <c r="BC298" s="35"/>
      <c r="BD298" s="300"/>
      <c r="BE298" s="35"/>
      <c r="BF298"/>
      <c r="BG298" s="43"/>
      <c r="BH298" s="43"/>
      <c r="BI298" s="12"/>
      <c r="BJ298" s="12"/>
      <c r="BK298" s="12"/>
      <c r="BL298" s="12"/>
      <c r="BM298" s="12"/>
      <c r="BN298" s="12"/>
      <c r="BO298" s="12"/>
      <c r="BP298" s="12"/>
      <c r="BQ298" s="35"/>
      <c r="BR298" s="35"/>
      <c r="BS298" s="47"/>
      <c r="BT298" s="3"/>
      <c r="BU298" s="3"/>
      <c r="BV298" s="3"/>
      <c r="BW298" s="3"/>
      <c r="BX298" s="3"/>
      <c r="BY298" s="3"/>
      <c r="BZ298" s="3"/>
      <c r="CA298" s="3"/>
      <c r="CB298" s="3"/>
      <c r="CC298" s="3"/>
    </row>
    <row r="299" spans="1:81" ht="12.75" x14ac:dyDescent="0.35">
      <c r="A299" s="48"/>
      <c r="B299" s="44" t="s">
        <v>335</v>
      </c>
      <c r="C299" s="35"/>
      <c r="D299" s="12"/>
      <c r="E299" s="158"/>
      <c r="F299" s="158"/>
      <c r="G299" s="158"/>
      <c r="H299" s="158"/>
      <c r="I299" s="158"/>
      <c r="J299" s="158"/>
      <c r="K299" s="158"/>
      <c r="L299" s="158"/>
      <c r="M299" s="158"/>
      <c r="N299" s="158"/>
      <c r="O299" s="158"/>
      <c r="P299" s="158"/>
      <c r="Q299" s="158"/>
      <c r="R299" s="158"/>
      <c r="S299" s="158"/>
      <c r="T299" s="158"/>
      <c r="U299" s="159"/>
      <c r="V299" s="159"/>
      <c r="W299" s="158"/>
      <c r="X299" s="159"/>
      <c r="Y299" s="158"/>
      <c r="Z299" s="158"/>
      <c r="AA299" s="159"/>
      <c r="AB299" s="159"/>
      <c r="AC299" s="158"/>
      <c r="AD299" s="159"/>
      <c r="AE299" s="158"/>
      <c r="AF299" s="158"/>
      <c r="AG299" s="158"/>
      <c r="AH299" s="158"/>
      <c r="AI299" s="161"/>
      <c r="AJ299" s="158"/>
      <c r="AK299" s="158"/>
      <c r="AL299" s="158"/>
      <c r="AM299" s="158"/>
      <c r="AN299" s="158"/>
      <c r="AO299" s="12"/>
      <c r="AP299" s="12"/>
      <c r="AQ299" s="12"/>
      <c r="AR299" s="12"/>
      <c r="AS299" s="12"/>
      <c r="AT299" s="12"/>
      <c r="AU299" s="12"/>
      <c r="AV299" s="12"/>
      <c r="AW299" s="12"/>
      <c r="AX299" s="12"/>
      <c r="AY299" s="12"/>
      <c r="AZ299" s="44" t="s">
        <v>458</v>
      </c>
      <c r="BA299" s="35"/>
      <c r="BB299" s="35"/>
      <c r="BC299" s="35"/>
      <c r="BD299" s="300"/>
      <c r="BE299" s="35"/>
      <c r="BF299"/>
      <c r="BG299" s="43"/>
      <c r="BH299" s="43"/>
      <c r="BI299" s="12"/>
      <c r="BJ299" s="12"/>
      <c r="BK299" s="12"/>
      <c r="BL299" s="12"/>
      <c r="BM299" s="12"/>
      <c r="BN299" s="12"/>
      <c r="BO299" s="12"/>
      <c r="BP299" s="12"/>
      <c r="BQ299" s="35"/>
      <c r="BR299" s="35"/>
      <c r="BS299" s="47"/>
      <c r="BT299" s="3"/>
      <c r="BU299" s="3"/>
      <c r="BV299" s="3"/>
      <c r="BW299" s="3"/>
      <c r="BX299" s="3"/>
      <c r="BY299" s="3"/>
      <c r="BZ299" s="3"/>
      <c r="CA299" s="3"/>
      <c r="CB299" s="3"/>
      <c r="CC299" s="3"/>
    </row>
    <row r="300" spans="1:81" ht="12.75" x14ac:dyDescent="0.35">
      <c r="A300" s="48"/>
      <c r="B300" s="3" t="s">
        <v>19</v>
      </c>
      <c r="C300" s="35"/>
      <c r="D300" s="12"/>
      <c r="E300" s="67">
        <f>E125/E200</f>
        <v>0</v>
      </c>
      <c r="F300" s="67">
        <f t="shared" ref="F300:AR300" si="252">F125/F200</f>
        <v>0</v>
      </c>
      <c r="G300" s="67">
        <f t="shared" si="252"/>
        <v>0</v>
      </c>
      <c r="H300" s="67">
        <f t="shared" si="252"/>
        <v>0</v>
      </c>
      <c r="I300" s="67">
        <f t="shared" si="252"/>
        <v>0</v>
      </c>
      <c r="J300" s="67">
        <f t="shared" si="252"/>
        <v>0</v>
      </c>
      <c r="K300" s="67">
        <f t="shared" si="252"/>
        <v>0</v>
      </c>
      <c r="L300" s="67">
        <f t="shared" si="252"/>
        <v>0</v>
      </c>
      <c r="M300" s="67">
        <f t="shared" si="252"/>
        <v>0</v>
      </c>
      <c r="N300" s="67">
        <f t="shared" si="252"/>
        <v>0</v>
      </c>
      <c r="O300" s="67">
        <f t="shared" si="252"/>
        <v>0</v>
      </c>
      <c r="P300" s="67">
        <f t="shared" si="252"/>
        <v>0</v>
      </c>
      <c r="Q300" s="67">
        <f t="shared" si="252"/>
        <v>0</v>
      </c>
      <c r="R300" s="67">
        <f t="shared" si="252"/>
        <v>0</v>
      </c>
      <c r="S300" s="67">
        <f t="shared" si="252"/>
        <v>0</v>
      </c>
      <c r="T300" s="67">
        <f t="shared" si="252"/>
        <v>0</v>
      </c>
      <c r="U300" s="67">
        <f t="shared" si="252"/>
        <v>0</v>
      </c>
      <c r="V300" s="67">
        <f t="shared" si="252"/>
        <v>0</v>
      </c>
      <c r="W300" s="67">
        <f t="shared" si="252"/>
        <v>0</v>
      </c>
      <c r="X300" s="67">
        <f t="shared" si="252"/>
        <v>0</v>
      </c>
      <c r="Y300" s="67">
        <f t="shared" si="252"/>
        <v>0</v>
      </c>
      <c r="Z300" s="67">
        <f t="shared" si="252"/>
        <v>0</v>
      </c>
      <c r="AA300" s="67">
        <f t="shared" si="252"/>
        <v>0</v>
      </c>
      <c r="AB300" s="67">
        <f t="shared" si="252"/>
        <v>0</v>
      </c>
      <c r="AC300" s="67">
        <f t="shared" si="252"/>
        <v>0</v>
      </c>
      <c r="AD300" s="67">
        <f t="shared" si="252"/>
        <v>111.44769627718395</v>
      </c>
      <c r="AE300" s="67">
        <f t="shared" si="252"/>
        <v>96.75698692575267</v>
      </c>
      <c r="AF300" s="67">
        <f t="shared" si="252"/>
        <v>117.46614704513728</v>
      </c>
      <c r="AG300" s="67">
        <f t="shared" si="252"/>
        <v>168.44873325076006</v>
      </c>
      <c r="AH300" s="67">
        <f t="shared" si="252"/>
        <v>90.335197981792277</v>
      </c>
      <c r="AI300" s="67">
        <f t="shared" si="252"/>
        <v>69.427692307692311</v>
      </c>
      <c r="AJ300" s="67">
        <f t="shared" si="252"/>
        <v>99.5999362583661</v>
      </c>
      <c r="AK300" s="67">
        <f t="shared" si="252"/>
        <v>0</v>
      </c>
      <c r="AL300" s="67">
        <f t="shared" si="252"/>
        <v>142.93830098100605</v>
      </c>
      <c r="AM300" s="67">
        <f t="shared" si="252"/>
        <v>117.47284605961617</v>
      </c>
      <c r="AN300" s="67">
        <f t="shared" si="252"/>
        <v>108.53284000000001</v>
      </c>
      <c r="AO300" s="67">
        <f t="shared" si="252"/>
        <v>100.94830199822819</v>
      </c>
      <c r="AP300" s="67">
        <f t="shared" si="252"/>
        <v>98.845977902694315</v>
      </c>
      <c r="AQ300" s="67">
        <f t="shared" si="252"/>
        <v>101.13996529786004</v>
      </c>
      <c r="AR300" s="67">
        <f t="shared" si="252"/>
        <v>152.3134814247415</v>
      </c>
      <c r="AS300" s="67">
        <f t="shared" ref="AS300:AX300" si="253">AS125/AS200</f>
        <v>163.50724637681159</v>
      </c>
      <c r="AT300" s="67">
        <f t="shared" si="253"/>
        <v>174.6876921660683</v>
      </c>
      <c r="AU300" s="67">
        <f t="shared" si="253"/>
        <v>198.60159290433526</v>
      </c>
      <c r="AV300" s="67">
        <f t="shared" si="253"/>
        <v>252</v>
      </c>
      <c r="AW300" s="67">
        <f t="shared" si="253"/>
        <v>236.04875604699379</v>
      </c>
      <c r="AX300" s="67">
        <f t="shared" si="253"/>
        <v>224.21435956346929</v>
      </c>
      <c r="AY300" s="67">
        <f t="shared" ref="AY300" si="254">AY125/AY200</f>
        <v>319.35987501001523</v>
      </c>
      <c r="AZ300" s="3" t="s">
        <v>19</v>
      </c>
      <c r="BA300" s="35"/>
      <c r="BB300" s="35"/>
      <c r="BD300" s="300"/>
      <c r="BE300" s="35"/>
      <c r="BF300"/>
      <c r="BG300" s="43"/>
      <c r="BH300" s="43"/>
      <c r="BI300" s="12"/>
      <c r="BJ300" s="12"/>
      <c r="BK300" s="12"/>
      <c r="BL300" s="12"/>
      <c r="BM300" s="12"/>
      <c r="BN300" s="12"/>
      <c r="BO300" s="12"/>
      <c r="BP300" s="12"/>
      <c r="BQ300" s="35"/>
      <c r="BR300" s="35"/>
      <c r="BS300" s="47"/>
      <c r="BT300" s="3"/>
      <c r="BU300" s="3"/>
      <c r="BV300" s="3"/>
      <c r="BW300" s="3"/>
      <c r="BX300" s="3"/>
      <c r="BY300" s="3"/>
      <c r="BZ300" s="3"/>
      <c r="CA300" s="3"/>
      <c r="CB300" s="3"/>
      <c r="CC300" s="3"/>
    </row>
    <row r="301" spans="1:81" ht="12.75" x14ac:dyDescent="0.35">
      <c r="A301" s="48"/>
      <c r="B301" s="3"/>
      <c r="C301" s="35"/>
      <c r="D301" s="12"/>
      <c r="E301" s="67"/>
      <c r="F301" s="67"/>
      <c r="G301" s="67"/>
      <c r="H301" s="67"/>
      <c r="I301" s="67"/>
      <c r="J301" s="67"/>
      <c r="K301" s="67"/>
      <c r="L301" s="67"/>
      <c r="M301" s="67"/>
      <c r="N301" s="67"/>
      <c r="O301" s="67"/>
      <c r="P301" s="67"/>
      <c r="Q301" s="67"/>
      <c r="R301" s="67"/>
      <c r="S301" s="67"/>
      <c r="T301" s="67"/>
      <c r="U301" s="67"/>
      <c r="V301" s="67"/>
      <c r="W301" s="67"/>
      <c r="X301" s="67"/>
      <c r="Y301" s="67"/>
      <c r="Z301" s="67"/>
      <c r="AA301" s="68"/>
      <c r="AB301" s="68"/>
      <c r="AC301" s="67"/>
      <c r="AD301" s="67"/>
      <c r="AE301" s="67"/>
      <c r="AF301" s="67"/>
      <c r="AG301" s="67"/>
      <c r="AH301" s="67"/>
      <c r="AI301" s="67"/>
      <c r="AJ301" s="67"/>
      <c r="AK301" s="67"/>
      <c r="AL301" s="67"/>
      <c r="AM301" s="67"/>
      <c r="AN301" s="67"/>
      <c r="AO301" s="67"/>
      <c r="AP301" s="67">
        <f t="shared" ref="AP301:AV301" si="255">AP126/AP200</f>
        <v>16.620120178329135</v>
      </c>
      <c r="AQ301" s="67">
        <f t="shared" si="255"/>
        <v>12.615307499518027</v>
      </c>
      <c r="AR301" s="67">
        <f t="shared" si="255"/>
        <v>22.144867866717732</v>
      </c>
      <c r="AS301" s="67">
        <f t="shared" si="255"/>
        <v>32.913796348578963</v>
      </c>
      <c r="AT301" s="67">
        <f t="shared" si="255"/>
        <v>42.581423179600485</v>
      </c>
      <c r="AU301" s="67">
        <f t="shared" si="255"/>
        <v>46.970042537786227</v>
      </c>
      <c r="AV301" s="67">
        <f t="shared" si="255"/>
        <v>56</v>
      </c>
      <c r="AW301" s="67">
        <f t="shared" ref="AW301:AX301" si="256">AW126/AW200</f>
        <v>77.968210089841051</v>
      </c>
      <c r="AX301" s="67">
        <f t="shared" si="256"/>
        <v>74.0592434561418</v>
      </c>
      <c r="AY301" s="67">
        <f t="shared" ref="AY301" si="257">AY126/AY200</f>
        <v>73.218652351574391</v>
      </c>
      <c r="AZ301" s="3" t="s">
        <v>411</v>
      </c>
      <c r="BA301" s="35"/>
      <c r="BB301" s="35"/>
      <c r="BD301" s="300"/>
      <c r="BE301" s="35"/>
      <c r="BF301"/>
      <c r="BG301" s="43"/>
      <c r="BH301" s="43"/>
      <c r="BI301" s="12"/>
      <c r="BJ301" s="12"/>
      <c r="BK301" s="12"/>
      <c r="BL301" s="12"/>
      <c r="BM301" s="12"/>
      <c r="BN301" s="12"/>
      <c r="BO301" s="12"/>
      <c r="BP301" s="12"/>
      <c r="BQ301" s="35"/>
      <c r="BR301" s="35"/>
      <c r="BS301" s="47"/>
      <c r="BT301" s="3"/>
      <c r="BU301" s="3"/>
      <c r="BV301" s="3"/>
      <c r="BW301" s="3"/>
      <c r="BX301" s="3"/>
      <c r="BY301" s="3"/>
      <c r="BZ301" s="3"/>
      <c r="CA301" s="3"/>
      <c r="CB301" s="3"/>
      <c r="CC301" s="3"/>
    </row>
    <row r="302" spans="1:81" ht="12.75" x14ac:dyDescent="0.35">
      <c r="A302" s="48"/>
      <c r="B302" s="3" t="s">
        <v>126</v>
      </c>
      <c r="C302" s="35"/>
      <c r="D302" s="12"/>
      <c r="E302" s="67">
        <f>E127/E200</f>
        <v>0</v>
      </c>
      <c r="F302" s="67" t="e">
        <f>F127/#REF!</f>
        <v>#REF!</v>
      </c>
      <c r="G302" s="67" t="e">
        <f>G127/#REF!</f>
        <v>#REF!</v>
      </c>
      <c r="H302" s="67" t="e">
        <f>H127/#REF!</f>
        <v>#REF!</v>
      </c>
      <c r="I302" s="67" t="e">
        <f>I127/#REF!</f>
        <v>#REF!</v>
      </c>
      <c r="J302" s="67" t="e">
        <f>J127/#REF!</f>
        <v>#REF!</v>
      </c>
      <c r="K302" s="67" t="e">
        <f>K127/#REF!</f>
        <v>#REF!</v>
      </c>
      <c r="L302" s="67" t="e">
        <f>L127/#REF!</f>
        <v>#REF!</v>
      </c>
      <c r="M302" s="67" t="e">
        <f>M127/#REF!</f>
        <v>#REF!</v>
      </c>
      <c r="N302" s="67" t="e">
        <f>N127/#REF!</f>
        <v>#REF!</v>
      </c>
      <c r="O302" s="67" t="e">
        <f>O127/#REF!</f>
        <v>#REF!</v>
      </c>
      <c r="P302" s="67" t="e">
        <f>P127/#REF!</f>
        <v>#REF!</v>
      </c>
      <c r="Q302" s="67" t="e">
        <f>Q127/#REF!</f>
        <v>#REF!</v>
      </c>
      <c r="R302" s="67" t="e">
        <f>R127/#REF!</f>
        <v>#REF!</v>
      </c>
      <c r="S302" s="67" t="e">
        <f>S127/#REF!</f>
        <v>#REF!</v>
      </c>
      <c r="T302" s="67" t="e">
        <f>T127/#REF!</f>
        <v>#REF!</v>
      </c>
      <c r="U302" s="67" t="e">
        <f>U127/#REF!</f>
        <v>#REF!</v>
      </c>
      <c r="V302" s="67" t="e">
        <f>V127/#REF!</f>
        <v>#REF!</v>
      </c>
      <c r="W302" s="67" t="e">
        <f>W127/#REF!</f>
        <v>#REF!</v>
      </c>
      <c r="X302" s="67" t="e">
        <f>X127/#REF!</f>
        <v>#REF!</v>
      </c>
      <c r="Y302" s="67" t="e">
        <f>Y127/#REF!</f>
        <v>#REF!</v>
      </c>
      <c r="Z302" s="67" t="e">
        <f>Z127/#REF!</f>
        <v>#REF!</v>
      </c>
      <c r="AA302" s="68" t="e">
        <f>AA127/#REF!</f>
        <v>#REF!</v>
      </c>
      <c r="AB302" s="68" t="e">
        <f>AB127/#REF!</f>
        <v>#REF!</v>
      </c>
      <c r="AC302" s="67" t="e">
        <f>AC127/#REF!</f>
        <v>#REF!</v>
      </c>
      <c r="AD302" s="67" t="e">
        <f>AD127/#REF!</f>
        <v>#REF!</v>
      </c>
      <c r="AE302" s="67" t="e">
        <f>AE127/#REF!</f>
        <v>#REF!</v>
      </c>
      <c r="AF302" s="67" t="e">
        <f>AF127/#REF!</f>
        <v>#REF!</v>
      </c>
      <c r="AG302" s="67" t="e">
        <f>AG127/#REF!</f>
        <v>#REF!</v>
      </c>
      <c r="AH302" s="67" t="e">
        <f>AH127/#REF!</f>
        <v>#REF!</v>
      </c>
      <c r="AI302" s="67" t="e">
        <f>AI127/#REF!</f>
        <v>#REF!</v>
      </c>
      <c r="AJ302" s="67" t="e">
        <f>AJ127/#REF!</f>
        <v>#REF!</v>
      </c>
      <c r="AK302" s="67">
        <f>AK127/AJ200</f>
        <v>838.98863274195276</v>
      </c>
      <c r="AL302" s="67">
        <f t="shared" ref="AL302:AS302" si="258">AL127/AK200</f>
        <v>0</v>
      </c>
      <c r="AM302" s="67">
        <f t="shared" si="258"/>
        <v>0</v>
      </c>
      <c r="AN302" s="67">
        <f t="shared" si="258"/>
        <v>0</v>
      </c>
      <c r="AO302" s="67">
        <f t="shared" si="258"/>
        <v>0</v>
      </c>
      <c r="AP302" s="67">
        <f t="shared" si="258"/>
        <v>0</v>
      </c>
      <c r="AQ302" s="67">
        <f t="shared" si="258"/>
        <v>0</v>
      </c>
      <c r="AR302" s="67">
        <f t="shared" si="258"/>
        <v>0</v>
      </c>
      <c r="AS302" s="67">
        <f t="shared" si="258"/>
        <v>0</v>
      </c>
      <c r="AT302" s="67">
        <f>AT127/AT200</f>
        <v>0</v>
      </c>
      <c r="AU302" s="67">
        <f>AU127/AU200</f>
        <v>0</v>
      </c>
      <c r="AV302" s="67">
        <f>AV127/AV200</f>
        <v>0</v>
      </c>
      <c r="AW302" s="67">
        <f>AW127/AW200</f>
        <v>0</v>
      </c>
      <c r="AX302" s="67">
        <f>AX127/AX200</f>
        <v>0</v>
      </c>
      <c r="AY302" s="67">
        <f>AY127/AY200</f>
        <v>0</v>
      </c>
      <c r="AZ302" s="150" t="s">
        <v>126</v>
      </c>
      <c r="BA302" s="35"/>
      <c r="BB302" s="35"/>
      <c r="BC302" s="5"/>
      <c r="BD302" s="300"/>
      <c r="BE302" s="35"/>
      <c r="BF302"/>
      <c r="BG302" s="43"/>
      <c r="BH302" s="43"/>
      <c r="BI302" s="12"/>
      <c r="BJ302" s="12"/>
      <c r="BK302" s="12"/>
      <c r="BL302" s="12"/>
      <c r="BM302" s="12"/>
      <c r="BN302" s="12"/>
      <c r="BO302" s="12"/>
      <c r="BP302" s="12"/>
      <c r="BQ302" s="35"/>
      <c r="BR302" s="35"/>
      <c r="BS302" s="47"/>
      <c r="BT302" s="3"/>
      <c r="BU302" s="3"/>
      <c r="BV302" s="3"/>
      <c r="BW302" s="3"/>
      <c r="BX302" s="3"/>
      <c r="BY302" s="3"/>
      <c r="BZ302" s="3"/>
      <c r="CA302" s="3"/>
      <c r="CB302" s="3"/>
      <c r="CC302" s="3"/>
    </row>
    <row r="303" spans="1:81" ht="12.75" x14ac:dyDescent="0.35">
      <c r="A303" s="48"/>
      <c r="B303" s="3" t="s">
        <v>255</v>
      </c>
      <c r="C303" s="35"/>
      <c r="D303" s="12"/>
      <c r="E303" s="67">
        <f>E128/E200</f>
        <v>0</v>
      </c>
      <c r="F303" s="67" t="e">
        <f>F128/#REF!</f>
        <v>#REF!</v>
      </c>
      <c r="G303" s="67" t="e">
        <f>G128/#REF!</f>
        <v>#REF!</v>
      </c>
      <c r="H303" s="67" t="e">
        <f>H128/#REF!</f>
        <v>#REF!</v>
      </c>
      <c r="I303" s="67" t="e">
        <f>I128/#REF!</f>
        <v>#REF!</v>
      </c>
      <c r="J303" s="67" t="e">
        <f>J128/#REF!</f>
        <v>#REF!</v>
      </c>
      <c r="K303" s="67" t="e">
        <f>K128/#REF!</f>
        <v>#REF!</v>
      </c>
      <c r="L303" s="67" t="e">
        <f>L128/#REF!</f>
        <v>#REF!</v>
      </c>
      <c r="M303" s="67" t="e">
        <f>M128/#REF!</f>
        <v>#REF!</v>
      </c>
      <c r="N303" s="67" t="e">
        <f>N128/#REF!</f>
        <v>#REF!</v>
      </c>
      <c r="O303" s="67" t="e">
        <f>O128/#REF!</f>
        <v>#REF!</v>
      </c>
      <c r="P303" s="67" t="e">
        <f>P128/#REF!</f>
        <v>#REF!</v>
      </c>
      <c r="Q303" s="67" t="e">
        <f>Q128/#REF!</f>
        <v>#REF!</v>
      </c>
      <c r="R303" s="67" t="e">
        <f>R128/#REF!</f>
        <v>#REF!</v>
      </c>
      <c r="S303" s="67" t="e">
        <f>S128/#REF!</f>
        <v>#REF!</v>
      </c>
      <c r="T303" s="67" t="e">
        <f>T128/#REF!</f>
        <v>#REF!</v>
      </c>
      <c r="U303" s="67" t="e">
        <f>U128/#REF!</f>
        <v>#REF!</v>
      </c>
      <c r="V303" s="67" t="e">
        <f>V128/#REF!</f>
        <v>#REF!</v>
      </c>
      <c r="W303" s="67" t="e">
        <f>W128/#REF!</f>
        <v>#REF!</v>
      </c>
      <c r="X303" s="67" t="e">
        <f>X128/#REF!</f>
        <v>#REF!</v>
      </c>
      <c r="Y303" s="67" t="e">
        <f>Y128/#REF!</f>
        <v>#REF!</v>
      </c>
      <c r="Z303" s="67" t="e">
        <f>Z128/#REF!</f>
        <v>#REF!</v>
      </c>
      <c r="AA303" s="68" t="e">
        <f>AA128/#REF!</f>
        <v>#REF!</v>
      </c>
      <c r="AB303" s="68" t="e">
        <f>AB128/#REF!</f>
        <v>#REF!</v>
      </c>
      <c r="AC303" s="67" t="e">
        <f>AC128/#REF!</f>
        <v>#REF!</v>
      </c>
      <c r="AD303" s="67" t="e">
        <f>AD128/#REF!</f>
        <v>#REF!</v>
      </c>
      <c r="AE303" s="67" t="e">
        <f>AE128/#REF!</f>
        <v>#REF!</v>
      </c>
      <c r="AF303" s="67" t="e">
        <f>AF128/#REF!</f>
        <v>#REF!</v>
      </c>
      <c r="AG303" s="67" t="e">
        <f>AG128/#REF!</f>
        <v>#REF!</v>
      </c>
      <c r="AH303" s="67" t="e">
        <f>AH128/#REF!</f>
        <v>#REF!</v>
      </c>
      <c r="AI303" s="67">
        <f>AI128/AI200</f>
        <v>29.087809018567643</v>
      </c>
      <c r="AJ303" s="67">
        <f t="shared" ref="AJ303:AR303" si="259">AJ128/AJ200</f>
        <v>23.491681716774679</v>
      </c>
      <c r="AK303" s="67">
        <f t="shared" si="259"/>
        <v>0</v>
      </c>
      <c r="AL303" s="67">
        <f t="shared" si="259"/>
        <v>15.424149446879564</v>
      </c>
      <c r="AM303" s="67">
        <f t="shared" si="259"/>
        <v>0</v>
      </c>
      <c r="AN303" s="67">
        <f t="shared" si="259"/>
        <v>0</v>
      </c>
      <c r="AO303" s="67">
        <f t="shared" si="259"/>
        <v>0</v>
      </c>
      <c r="AP303" s="67">
        <f t="shared" si="259"/>
        <v>0</v>
      </c>
      <c r="AQ303" s="67">
        <f t="shared" si="259"/>
        <v>0</v>
      </c>
      <c r="AR303" s="67">
        <f t="shared" si="259"/>
        <v>0</v>
      </c>
      <c r="AS303" s="67">
        <f t="shared" ref="AS303:AX303" si="260">AS128/AS200</f>
        <v>0</v>
      </c>
      <c r="AT303" s="67">
        <f t="shared" si="260"/>
        <v>0</v>
      </c>
      <c r="AU303" s="67">
        <f t="shared" si="260"/>
        <v>0</v>
      </c>
      <c r="AV303" s="67">
        <f t="shared" si="260"/>
        <v>0</v>
      </c>
      <c r="AW303" s="67">
        <f t="shared" si="260"/>
        <v>0</v>
      </c>
      <c r="AX303" s="67">
        <f t="shared" si="260"/>
        <v>0</v>
      </c>
      <c r="AY303" s="67">
        <f t="shared" ref="AY303" si="261">AY128/AY200</f>
        <v>0</v>
      </c>
      <c r="AZ303" s="150" t="s">
        <v>255</v>
      </c>
      <c r="BA303" s="35"/>
      <c r="BB303" s="35"/>
      <c r="BC303" s="5"/>
      <c r="BD303" s="300"/>
      <c r="BE303" s="35"/>
      <c r="BF303"/>
      <c r="BG303" s="43"/>
      <c r="BH303" s="43"/>
      <c r="BI303" s="12"/>
      <c r="BJ303" s="12"/>
      <c r="BK303" s="12"/>
      <c r="BL303" s="12"/>
      <c r="BM303" s="12"/>
      <c r="BN303" s="12"/>
      <c r="BO303" s="12"/>
      <c r="BP303" s="12"/>
      <c r="BQ303" s="35"/>
      <c r="BR303" s="35"/>
      <c r="BS303" s="47"/>
      <c r="BT303" s="3"/>
      <c r="BU303" s="3"/>
      <c r="BV303" s="3"/>
      <c r="BW303" s="3"/>
      <c r="BX303" s="3"/>
      <c r="BY303" s="3"/>
      <c r="BZ303" s="3"/>
      <c r="CA303" s="3"/>
      <c r="CB303" s="3"/>
      <c r="CC303" s="3"/>
    </row>
    <row r="304" spans="1:81" ht="12.75" x14ac:dyDescent="0.35">
      <c r="A304" s="48"/>
      <c r="B304" s="3"/>
      <c r="C304" s="35"/>
      <c r="D304" s="12"/>
      <c r="E304" s="67"/>
      <c r="F304" s="67"/>
      <c r="G304" s="67"/>
      <c r="H304" s="67"/>
      <c r="I304" s="67"/>
      <c r="J304" s="67"/>
      <c r="K304" s="67"/>
      <c r="L304" s="67"/>
      <c r="M304" s="67"/>
      <c r="N304" s="67"/>
      <c r="O304" s="67"/>
      <c r="P304" s="67"/>
      <c r="Q304" s="67"/>
      <c r="R304" s="67"/>
      <c r="S304" s="67"/>
      <c r="T304" s="67"/>
      <c r="U304" s="67"/>
      <c r="V304" s="67"/>
      <c r="W304" s="67"/>
      <c r="X304" s="67"/>
      <c r="Y304" s="67"/>
      <c r="Z304" s="67"/>
      <c r="AA304" s="68"/>
      <c r="AB304" s="68"/>
      <c r="AC304" s="67"/>
      <c r="AD304" s="67"/>
      <c r="AE304" s="67"/>
      <c r="AF304" s="67"/>
      <c r="AG304" s="67"/>
      <c r="AH304" s="67" t="e">
        <f>AH129/#REF!</f>
        <v>#REF!</v>
      </c>
      <c r="AI304" s="67">
        <f>AI129/AI200</f>
        <v>0</v>
      </c>
      <c r="AJ304" s="67">
        <f t="shared" ref="AJ304:AR304" si="262">AJ129/AJ200</f>
        <v>0</v>
      </c>
      <c r="AK304" s="67">
        <f t="shared" si="262"/>
        <v>0</v>
      </c>
      <c r="AL304" s="67">
        <f t="shared" si="262"/>
        <v>14.835441452723858</v>
      </c>
      <c r="AM304" s="67">
        <f t="shared" si="262"/>
        <v>13.935504287464273</v>
      </c>
      <c r="AN304" s="67">
        <f t="shared" si="262"/>
        <v>14.666600000000001</v>
      </c>
      <c r="AO304" s="67">
        <f t="shared" si="262"/>
        <v>14.214942415592088</v>
      </c>
      <c r="AP304" s="67">
        <f t="shared" si="262"/>
        <v>15.308005427408412</v>
      </c>
      <c r="AQ304" s="67">
        <f t="shared" si="262"/>
        <v>13.050318102949682</v>
      </c>
      <c r="AR304" s="67">
        <f t="shared" si="262"/>
        <v>17.823918039065493</v>
      </c>
      <c r="AS304" s="67">
        <f t="shared" ref="AS304:AX304" si="263">AS129/AS200</f>
        <v>17.518633540372672</v>
      </c>
      <c r="AT304" s="67">
        <f t="shared" si="263"/>
        <v>23.679425573046121</v>
      </c>
      <c r="AU304" s="67">
        <f t="shared" si="263"/>
        <v>7.147615168793557</v>
      </c>
      <c r="AV304" s="67">
        <f t="shared" si="263"/>
        <v>7</v>
      </c>
      <c r="AW304" s="67">
        <f t="shared" si="263"/>
        <v>7.3095196959225994</v>
      </c>
      <c r="AX304" s="67">
        <f t="shared" si="263"/>
        <v>6.9430540740132933</v>
      </c>
      <c r="AY304" s="67">
        <f t="shared" ref="AY304" si="264">AY129/AY200</f>
        <v>20.338514542103997</v>
      </c>
      <c r="AZ304" s="150" t="str">
        <f>AZ129</f>
        <v>Other (FY10 on- includes permitting, siting, analysis; infrastructure security &amp; energy restoration; FY14-on also includes national electricity delivery)</v>
      </c>
      <c r="BA304" s="35"/>
      <c r="BB304" s="35"/>
      <c r="BC304" s="5"/>
      <c r="BD304" s="300"/>
      <c r="BE304" s="35"/>
      <c r="BF304"/>
      <c r="BG304" s="43"/>
      <c r="BH304" s="43"/>
      <c r="BI304" s="12"/>
      <c r="BJ304" s="12"/>
      <c r="BK304" s="12"/>
      <c r="BL304" s="12"/>
      <c r="BM304" s="12"/>
      <c r="BN304" s="12"/>
      <c r="BO304" s="12"/>
      <c r="BP304" s="12"/>
      <c r="BQ304" s="35"/>
      <c r="BR304" s="35"/>
      <c r="BS304" s="47"/>
      <c r="BT304" s="3"/>
      <c r="BU304" s="3"/>
      <c r="BV304" s="3"/>
      <c r="BW304" s="3"/>
      <c r="BX304" s="3"/>
      <c r="BY304" s="3"/>
      <c r="BZ304" s="3"/>
      <c r="CA304" s="3"/>
      <c r="CB304" s="3"/>
      <c r="CC304" s="3"/>
    </row>
    <row r="305" spans="1:81" ht="12.75" x14ac:dyDescent="0.35">
      <c r="A305" s="187"/>
      <c r="B305" s="150" t="s">
        <v>20</v>
      </c>
      <c r="C305" s="46"/>
      <c r="D305" s="12"/>
      <c r="E305" s="67">
        <f>E130/E200</f>
        <v>0</v>
      </c>
      <c r="F305" s="67" t="e">
        <f>F130/#REF!</f>
        <v>#REF!</v>
      </c>
      <c r="G305" s="67" t="e">
        <f>G130/#REF!</f>
        <v>#REF!</v>
      </c>
      <c r="H305" s="67" t="e">
        <f>H130/#REF!</f>
        <v>#REF!</v>
      </c>
      <c r="I305" s="67" t="e">
        <f>I130/#REF!</f>
        <v>#REF!</v>
      </c>
      <c r="J305" s="67" t="e">
        <f>J130/#REF!</f>
        <v>#REF!</v>
      </c>
      <c r="K305" s="67" t="e">
        <f>K130/#REF!</f>
        <v>#REF!</v>
      </c>
      <c r="L305" s="67" t="e">
        <f>L130/#REF!</f>
        <v>#REF!</v>
      </c>
      <c r="M305" s="67" t="e">
        <f>M130/#REF!</f>
        <v>#REF!</v>
      </c>
      <c r="N305" s="67" t="e">
        <f>N130/#REF!</f>
        <v>#REF!</v>
      </c>
      <c r="O305" s="67" t="e">
        <f>O130/#REF!</f>
        <v>#REF!</v>
      </c>
      <c r="P305" s="67" t="e">
        <f>P130/#REF!</f>
        <v>#REF!</v>
      </c>
      <c r="Q305" s="67" t="e">
        <f>Q130/#REF!</f>
        <v>#REF!</v>
      </c>
      <c r="R305" s="67" t="e">
        <f>R130/#REF!</f>
        <v>#REF!</v>
      </c>
      <c r="S305" s="67" t="e">
        <f>S130/#REF!</f>
        <v>#REF!</v>
      </c>
      <c r="T305" s="67" t="e">
        <f>T130/#REF!</f>
        <v>#REF!</v>
      </c>
      <c r="U305" s="67" t="e">
        <f>U130/#REF!</f>
        <v>#REF!</v>
      </c>
      <c r="V305" s="67" t="e">
        <f>V130/#REF!</f>
        <v>#REF!</v>
      </c>
      <c r="W305" s="67" t="e">
        <f>W130/#REF!</f>
        <v>#REF!</v>
      </c>
      <c r="X305" s="67" t="e">
        <f>X130/#REF!</f>
        <v>#REF!</v>
      </c>
      <c r="Y305" s="67" t="e">
        <f>Y130/#REF!</f>
        <v>#REF!</v>
      </c>
      <c r="Z305" s="67" t="e">
        <f>Z130/#REF!</f>
        <v>#REF!</v>
      </c>
      <c r="AA305" s="67" t="e">
        <f>AA130/#REF!</f>
        <v>#REF!</v>
      </c>
      <c r="AB305" s="67" t="e">
        <f>AB130/#REF!</f>
        <v>#REF!</v>
      </c>
      <c r="AC305" s="67" t="e">
        <f>AC130/#REF!</f>
        <v>#REF!</v>
      </c>
      <c r="AD305" s="67">
        <f>AD130/AD200</f>
        <v>4.2971126674038587</v>
      </c>
      <c r="AE305" s="67">
        <f t="shared" ref="AE305:AR305" si="265">AE130/AE200</f>
        <v>12.991147894926232</v>
      </c>
      <c r="AF305" s="67">
        <f t="shared" si="265"/>
        <v>10.631014425314099</v>
      </c>
      <c r="AG305" s="67">
        <f t="shared" si="265"/>
        <v>16.89568742258755</v>
      </c>
      <c r="AH305" s="67">
        <f t="shared" si="265"/>
        <v>21.531951299769663</v>
      </c>
      <c r="AI305" s="67">
        <f t="shared" si="265"/>
        <v>21.067713527851463</v>
      </c>
      <c r="AJ305" s="67">
        <f t="shared" si="265"/>
        <v>25.409370020184852</v>
      </c>
      <c r="AK305" s="67">
        <f t="shared" si="265"/>
        <v>26.967491766705624</v>
      </c>
      <c r="AL305" s="67">
        <f t="shared" si="265"/>
        <v>25.196702149864326</v>
      </c>
      <c r="AM305" s="67">
        <f t="shared" si="265"/>
        <v>31.786770110249087</v>
      </c>
      <c r="AN305" s="67">
        <f t="shared" si="265"/>
        <v>30.461400000000001</v>
      </c>
      <c r="AO305" s="67">
        <f t="shared" si="265"/>
        <v>28.429884831184175</v>
      </c>
      <c r="AP305" s="67">
        <f t="shared" si="265"/>
        <v>30.178639271176586</v>
      </c>
      <c r="AQ305" s="67">
        <f t="shared" si="265"/>
        <v>30.01573163678427</v>
      </c>
      <c r="AR305" s="67">
        <f t="shared" si="265"/>
        <v>30.246648793565683</v>
      </c>
      <c r="AS305" s="67">
        <f t="shared" ref="AS305:AX305" si="266">AS130/AS200</f>
        <v>30.259457933370978</v>
      </c>
      <c r="AT305" s="67">
        <f t="shared" si="266"/>
        <v>30.118567614839364</v>
      </c>
      <c r="AU305" s="67">
        <f t="shared" si="266"/>
        <v>17.358493981355782</v>
      </c>
      <c r="AV305" s="67">
        <f t="shared" si="266"/>
        <v>18</v>
      </c>
      <c r="AW305" s="67">
        <f t="shared" si="266"/>
        <v>26.314270905321358</v>
      </c>
      <c r="AX305" s="67">
        <f t="shared" si="266"/>
        <v>24.994994666447859</v>
      </c>
      <c r="AY305" s="67">
        <f t="shared" ref="AY305" si="267">AY130/AY200</f>
        <v>38.597980931015144</v>
      </c>
      <c r="AZ305" s="150" t="s">
        <v>20</v>
      </c>
      <c r="BA305" s="35"/>
      <c r="BB305" s="35"/>
      <c r="BC305" s="5"/>
      <c r="BD305" s="300"/>
      <c r="BE305" s="35"/>
      <c r="BF305"/>
      <c r="BG305" s="43"/>
      <c r="BH305" s="43"/>
      <c r="BI305" s="12"/>
      <c r="BJ305" s="12"/>
      <c r="BK305" s="12"/>
      <c r="BL305" s="12"/>
      <c r="BM305" s="12"/>
      <c r="BN305" s="12"/>
      <c r="BO305" s="12"/>
      <c r="BP305" s="12"/>
      <c r="BQ305" s="35"/>
      <c r="BR305" s="35"/>
      <c r="BS305" s="47"/>
      <c r="BT305" s="3"/>
      <c r="BU305" s="3"/>
      <c r="BV305" s="3"/>
      <c r="BW305" s="3"/>
      <c r="BX305" s="3"/>
      <c r="BY305" s="3"/>
      <c r="BZ305" s="3"/>
      <c r="CA305" s="3"/>
      <c r="CB305" s="3"/>
      <c r="CC305" s="3"/>
    </row>
    <row r="306" spans="1:81" x14ac:dyDescent="0.3">
      <c r="A306" s="187"/>
      <c r="B306" s="150"/>
      <c r="C306" s="46"/>
      <c r="D306" s="12"/>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f>AG131/AG200</f>
        <v>0</v>
      </c>
      <c r="AH306" s="67">
        <f t="shared" ref="AH306:AR306" si="268">AH131/AH200</f>
        <v>0</v>
      </c>
      <c r="AI306" s="67">
        <f t="shared" si="268"/>
        <v>0</v>
      </c>
      <c r="AJ306" s="67">
        <f t="shared" si="268"/>
        <v>-0.95884415170508885</v>
      </c>
      <c r="AK306" s="67">
        <f t="shared" si="268"/>
        <v>0</v>
      </c>
      <c r="AL306" s="67">
        <f t="shared" si="268"/>
        <v>0</v>
      </c>
      <c r="AM306" s="67">
        <f t="shared" si="268"/>
        <v>-4.1461004491629243</v>
      </c>
      <c r="AN306" s="67">
        <f t="shared" si="268"/>
        <v>0</v>
      </c>
      <c r="AO306" s="67">
        <f t="shared" si="268"/>
        <v>0</v>
      </c>
      <c r="AP306" s="67">
        <f t="shared" si="268"/>
        <v>0</v>
      </c>
      <c r="AQ306" s="67">
        <f t="shared" si="268"/>
        <v>-0.32625795257374207</v>
      </c>
      <c r="AR306" s="67">
        <f t="shared" si="268"/>
        <v>0</v>
      </c>
      <c r="AS306" s="67">
        <f t="shared" ref="AS306:AX306" si="269">AS131/AS200</f>
        <v>-0.42469414643327691</v>
      </c>
      <c r="AT306" s="67">
        <f t="shared" si="269"/>
        <v>0</v>
      </c>
      <c r="AU306" s="67">
        <f t="shared" si="269"/>
        <v>0</v>
      </c>
      <c r="AV306" s="67">
        <f t="shared" si="269"/>
        <v>0</v>
      </c>
      <c r="AW306" s="67">
        <f t="shared" si="269"/>
        <v>0</v>
      </c>
      <c r="AX306" s="67">
        <f t="shared" si="269"/>
        <v>0</v>
      </c>
      <c r="AY306" s="67">
        <f t="shared" ref="AY306" si="270">AY131/AY200</f>
        <v>0</v>
      </c>
      <c r="AZ306" s="150" t="s">
        <v>213</v>
      </c>
      <c r="BA306" s="35"/>
      <c r="BB306" s="35"/>
      <c r="BC306" s="5"/>
      <c r="BD306" s="299"/>
      <c r="BE306" s="35"/>
      <c r="BF306" s="35"/>
      <c r="BG306" s="43"/>
      <c r="BH306" s="43"/>
      <c r="BI306" s="12"/>
      <c r="BJ306" s="12"/>
      <c r="BK306" s="12"/>
      <c r="BL306" s="12"/>
      <c r="BM306" s="12"/>
      <c r="BN306" s="12"/>
      <c r="BO306" s="12"/>
      <c r="BP306" s="12"/>
      <c r="BQ306" s="35"/>
      <c r="BR306" s="35"/>
      <c r="BS306" s="47"/>
      <c r="BT306" s="3"/>
      <c r="BU306" s="3"/>
      <c r="BV306" s="3"/>
      <c r="BW306" s="3"/>
      <c r="BX306" s="3"/>
      <c r="BY306" s="3"/>
      <c r="BZ306" s="3"/>
      <c r="CA306" s="3"/>
      <c r="CB306" s="3"/>
      <c r="CC306" s="3"/>
    </row>
    <row r="307" spans="1:81" x14ac:dyDescent="0.3">
      <c r="A307" s="187"/>
      <c r="B307" s="151" t="str">
        <f>AZ307</f>
        <v>Smart Grid Investment Program (deployment)</v>
      </c>
      <c r="C307" s="186"/>
      <c r="D307" s="167"/>
      <c r="E307" s="115">
        <f t="shared" ref="E307:AP307" si="271">E133/E200</f>
        <v>0</v>
      </c>
      <c r="F307" s="115">
        <f t="shared" si="271"/>
        <v>0</v>
      </c>
      <c r="G307" s="115">
        <f t="shared" si="271"/>
        <v>0</v>
      </c>
      <c r="H307" s="115">
        <f t="shared" si="271"/>
        <v>0</v>
      </c>
      <c r="I307" s="115">
        <f t="shared" si="271"/>
        <v>0</v>
      </c>
      <c r="J307" s="115">
        <f t="shared" si="271"/>
        <v>0</v>
      </c>
      <c r="K307" s="115">
        <f t="shared" si="271"/>
        <v>0</v>
      </c>
      <c r="L307" s="115">
        <f t="shared" si="271"/>
        <v>0</v>
      </c>
      <c r="M307" s="115">
        <f t="shared" si="271"/>
        <v>0</v>
      </c>
      <c r="N307" s="115">
        <f t="shared" si="271"/>
        <v>0</v>
      </c>
      <c r="O307" s="115">
        <f t="shared" si="271"/>
        <v>0</v>
      </c>
      <c r="P307" s="115">
        <f t="shared" si="271"/>
        <v>0</v>
      </c>
      <c r="Q307" s="115">
        <f t="shared" si="271"/>
        <v>0</v>
      </c>
      <c r="R307" s="115">
        <f t="shared" si="271"/>
        <v>0</v>
      </c>
      <c r="S307" s="115">
        <f t="shared" si="271"/>
        <v>0</v>
      </c>
      <c r="T307" s="115">
        <f t="shared" si="271"/>
        <v>0</v>
      </c>
      <c r="U307" s="115">
        <f t="shared" si="271"/>
        <v>0</v>
      </c>
      <c r="V307" s="115">
        <f t="shared" si="271"/>
        <v>0</v>
      </c>
      <c r="W307" s="115">
        <f t="shared" si="271"/>
        <v>0</v>
      </c>
      <c r="X307" s="115">
        <f t="shared" si="271"/>
        <v>0</v>
      </c>
      <c r="Y307" s="115">
        <f t="shared" si="271"/>
        <v>0</v>
      </c>
      <c r="Z307" s="115">
        <f t="shared" si="271"/>
        <v>0</v>
      </c>
      <c r="AA307" s="115">
        <f t="shared" si="271"/>
        <v>0</v>
      </c>
      <c r="AB307" s="115">
        <f t="shared" si="271"/>
        <v>0</v>
      </c>
      <c r="AC307" s="115">
        <f t="shared" si="271"/>
        <v>0</v>
      </c>
      <c r="AD307" s="115">
        <f t="shared" si="271"/>
        <v>0</v>
      </c>
      <c r="AE307" s="115">
        <f t="shared" si="271"/>
        <v>0</v>
      </c>
      <c r="AF307" s="115">
        <f t="shared" si="271"/>
        <v>0</v>
      </c>
      <c r="AG307" s="115">
        <f t="shared" si="271"/>
        <v>0</v>
      </c>
      <c r="AH307" s="115">
        <f t="shared" si="271"/>
        <v>0</v>
      </c>
      <c r="AI307" s="115">
        <f t="shared" si="271"/>
        <v>0</v>
      </c>
      <c r="AJ307" s="115">
        <f t="shared" si="271"/>
        <v>0</v>
      </c>
      <c r="AK307" s="115">
        <f t="shared" si="271"/>
        <v>4045.9627536385851</v>
      </c>
      <c r="AL307" s="115">
        <f t="shared" si="271"/>
        <v>0</v>
      </c>
      <c r="AM307" s="115">
        <f t="shared" si="271"/>
        <v>0</v>
      </c>
      <c r="AN307" s="115">
        <f t="shared" si="271"/>
        <v>0</v>
      </c>
      <c r="AO307" s="115">
        <f t="shared" si="271"/>
        <v>0</v>
      </c>
      <c r="AP307" s="115">
        <f t="shared" si="271"/>
        <v>0</v>
      </c>
      <c r="AQ307" s="115">
        <f t="shared" ref="AQ307:AV307" si="272">AQ133/AQ200</f>
        <v>0</v>
      </c>
      <c r="AR307" s="115">
        <f t="shared" si="272"/>
        <v>0</v>
      </c>
      <c r="AS307" s="115">
        <f t="shared" si="272"/>
        <v>0</v>
      </c>
      <c r="AT307" s="115">
        <f t="shared" si="272"/>
        <v>0</v>
      </c>
      <c r="AU307" s="115">
        <f t="shared" si="272"/>
        <v>0</v>
      </c>
      <c r="AV307" s="115">
        <f t="shared" si="272"/>
        <v>0</v>
      </c>
      <c r="AW307" s="115">
        <f t="shared" ref="AW307:AX307" si="273">AW133/AW200</f>
        <v>0</v>
      </c>
      <c r="AX307" s="115">
        <f t="shared" si="273"/>
        <v>0</v>
      </c>
      <c r="AY307" s="115">
        <f t="shared" ref="AY307" si="274">AY133/AY200</f>
        <v>0</v>
      </c>
      <c r="AZ307" s="151" t="s">
        <v>125</v>
      </c>
      <c r="BA307" s="35"/>
      <c r="BB307" s="35"/>
      <c r="BC307" s="5"/>
      <c r="BD307" s="299"/>
      <c r="BE307" s="35"/>
      <c r="BF307" s="35"/>
      <c r="BG307" s="43"/>
      <c r="BH307" s="43"/>
      <c r="BI307" s="12"/>
      <c r="BJ307" s="12"/>
      <c r="BK307" s="12"/>
      <c r="BL307" s="12"/>
      <c r="BM307" s="12"/>
      <c r="BN307" s="12"/>
      <c r="BO307" s="12"/>
      <c r="BP307" s="12"/>
      <c r="BQ307" s="35"/>
      <c r="BR307" s="35"/>
      <c r="BS307" s="47"/>
      <c r="BT307" s="3"/>
      <c r="BU307" s="3"/>
      <c r="BV307" s="3"/>
      <c r="BW307" s="3"/>
      <c r="BX307" s="3"/>
      <c r="BY307" s="3"/>
      <c r="BZ307" s="3"/>
      <c r="CA307" s="3"/>
      <c r="CB307" s="3"/>
      <c r="CC307" s="3"/>
    </row>
    <row r="308" spans="1:81" x14ac:dyDescent="0.3">
      <c r="A308" s="187"/>
      <c r="B308" s="151" t="str">
        <f>AZ308</f>
        <v>Other T&amp;D deployment (workforce training, interoperability standards and framework, interconnection planning and analysis, state assistance on electricity policy, enhancing state and local gov't energy assurance, and "other")</v>
      </c>
      <c r="C308" s="186"/>
      <c r="D308" s="167"/>
      <c r="E308" s="115">
        <f>E136/E200</f>
        <v>0</v>
      </c>
      <c r="F308" s="115">
        <f t="shared" ref="F308:AP308" si="275">F136/F200</f>
        <v>0</v>
      </c>
      <c r="G308" s="115">
        <f t="shared" si="275"/>
        <v>0</v>
      </c>
      <c r="H308" s="115">
        <f t="shared" si="275"/>
        <v>0</v>
      </c>
      <c r="I308" s="115">
        <f t="shared" si="275"/>
        <v>0</v>
      </c>
      <c r="J308" s="115">
        <f t="shared" si="275"/>
        <v>0</v>
      </c>
      <c r="K308" s="115">
        <f t="shared" si="275"/>
        <v>0</v>
      </c>
      <c r="L308" s="115">
        <f t="shared" si="275"/>
        <v>0</v>
      </c>
      <c r="M308" s="115">
        <f t="shared" si="275"/>
        <v>0</v>
      </c>
      <c r="N308" s="115">
        <f t="shared" si="275"/>
        <v>0</v>
      </c>
      <c r="O308" s="115">
        <f t="shared" si="275"/>
        <v>0</v>
      </c>
      <c r="P308" s="115">
        <f t="shared" si="275"/>
        <v>0</v>
      </c>
      <c r="Q308" s="115">
        <f t="shared" si="275"/>
        <v>0</v>
      </c>
      <c r="R308" s="115">
        <f t="shared" si="275"/>
        <v>0</v>
      </c>
      <c r="S308" s="115">
        <f t="shared" si="275"/>
        <v>0</v>
      </c>
      <c r="T308" s="115">
        <f t="shared" si="275"/>
        <v>0</v>
      </c>
      <c r="U308" s="115">
        <f t="shared" si="275"/>
        <v>0</v>
      </c>
      <c r="V308" s="115">
        <f t="shared" si="275"/>
        <v>0</v>
      </c>
      <c r="W308" s="115">
        <f t="shared" si="275"/>
        <v>0</v>
      </c>
      <c r="X308" s="115">
        <f t="shared" si="275"/>
        <v>0</v>
      </c>
      <c r="Y308" s="115">
        <f t="shared" si="275"/>
        <v>0</v>
      </c>
      <c r="Z308" s="115">
        <f t="shared" si="275"/>
        <v>0</v>
      </c>
      <c r="AA308" s="115">
        <f t="shared" si="275"/>
        <v>0</v>
      </c>
      <c r="AB308" s="115">
        <f t="shared" si="275"/>
        <v>0</v>
      </c>
      <c r="AC308" s="115">
        <f t="shared" si="275"/>
        <v>0</v>
      </c>
      <c r="AD308" s="115">
        <f t="shared" si="275"/>
        <v>0</v>
      </c>
      <c r="AE308" s="115">
        <f t="shared" si="275"/>
        <v>0</v>
      </c>
      <c r="AF308" s="115">
        <f t="shared" si="275"/>
        <v>0</v>
      </c>
      <c r="AG308" s="115">
        <f t="shared" si="275"/>
        <v>0</v>
      </c>
      <c r="AH308" s="115">
        <f t="shared" si="275"/>
        <v>0</v>
      </c>
      <c r="AI308" s="115">
        <f t="shared" si="275"/>
        <v>0</v>
      </c>
      <c r="AJ308" s="115">
        <f t="shared" si="275"/>
        <v>0</v>
      </c>
      <c r="AK308" s="115">
        <f t="shared" si="275"/>
        <v>0</v>
      </c>
      <c r="AL308" s="115">
        <f t="shared" si="275"/>
        <v>0</v>
      </c>
      <c r="AM308" s="115">
        <f t="shared" si="275"/>
        <v>0</v>
      </c>
      <c r="AN308" s="115">
        <f t="shared" si="275"/>
        <v>0</v>
      </c>
      <c r="AO308" s="115">
        <f t="shared" si="275"/>
        <v>0</v>
      </c>
      <c r="AP308" s="115">
        <f t="shared" si="275"/>
        <v>0</v>
      </c>
      <c r="AQ308" s="115">
        <f t="shared" ref="AQ308:AV308" si="276">AQ136/AQ200</f>
        <v>0</v>
      </c>
      <c r="AR308" s="115">
        <f t="shared" si="276"/>
        <v>0</v>
      </c>
      <c r="AS308" s="115">
        <f t="shared" si="276"/>
        <v>0</v>
      </c>
      <c r="AT308" s="115">
        <f t="shared" si="276"/>
        <v>0</v>
      </c>
      <c r="AU308" s="115">
        <f t="shared" si="276"/>
        <v>0</v>
      </c>
      <c r="AV308" s="115">
        <f t="shared" si="276"/>
        <v>0</v>
      </c>
      <c r="AW308" s="115">
        <f t="shared" ref="AW308:AX308" si="277">AW136/AW200</f>
        <v>0</v>
      </c>
      <c r="AX308" s="115">
        <f t="shared" si="277"/>
        <v>0</v>
      </c>
      <c r="AY308" s="115">
        <f t="shared" ref="AY308" si="278">AY136/AY200</f>
        <v>0</v>
      </c>
      <c r="AZ308" s="151" t="str">
        <f>AZ134</f>
        <v>Other T&amp;D deployment (workforce training, interoperability standards and framework, interconnection planning and analysis, state assistance on electricity policy, enhancing state and local gov't energy assurance, and "other")</v>
      </c>
      <c r="BA308" s="35"/>
      <c r="BB308" s="35"/>
      <c r="BC308" s="29"/>
      <c r="BD308" s="299"/>
      <c r="BE308" s="35"/>
      <c r="BF308" s="35"/>
      <c r="BG308" s="43"/>
      <c r="BH308" s="43"/>
      <c r="BI308" s="12"/>
      <c r="BJ308" s="12"/>
      <c r="BK308" s="12"/>
      <c r="BL308" s="12"/>
      <c r="BM308" s="12"/>
      <c r="BN308" s="12"/>
      <c r="BO308" s="12"/>
      <c r="BP308" s="12"/>
      <c r="BQ308" s="35"/>
      <c r="BR308" s="35"/>
      <c r="BS308" s="47"/>
      <c r="BT308" s="3"/>
      <c r="BU308" s="3"/>
      <c r="BV308" s="3"/>
      <c r="BW308" s="3"/>
      <c r="BX308" s="3"/>
      <c r="BY308" s="3"/>
      <c r="BZ308" s="3"/>
      <c r="CA308" s="3"/>
      <c r="CB308" s="3"/>
      <c r="CC308" s="3"/>
    </row>
    <row r="309" spans="1:81" x14ac:dyDescent="0.3">
      <c r="A309" s="187"/>
      <c r="B309" s="46"/>
      <c r="C309" s="46"/>
      <c r="D309" s="12"/>
      <c r="E309" s="67"/>
      <c r="F309" s="67"/>
      <c r="G309" s="67"/>
      <c r="H309" s="67"/>
      <c r="I309" s="67"/>
      <c r="J309" s="67"/>
      <c r="K309" s="67"/>
      <c r="L309" s="67"/>
      <c r="M309" s="67"/>
      <c r="N309" s="67"/>
      <c r="O309" s="67"/>
      <c r="P309" s="67"/>
      <c r="Q309" s="67"/>
      <c r="R309" s="67"/>
      <c r="S309" s="67"/>
      <c r="T309" s="67"/>
      <c r="U309" s="68"/>
      <c r="V309" s="68"/>
      <c r="W309" s="67"/>
      <c r="X309" s="68"/>
      <c r="Y309" s="67"/>
      <c r="Z309" s="67"/>
      <c r="AA309" s="69"/>
      <c r="AB309" s="67"/>
      <c r="AC309" s="67"/>
      <c r="AD309" s="68"/>
      <c r="AE309" s="67"/>
      <c r="AF309" s="67"/>
      <c r="AG309" s="67"/>
      <c r="AH309" s="67"/>
      <c r="AI309" s="254">
        <f t="shared" ref="AI309:AQ309" si="279">AI135/AI200</f>
        <v>0</v>
      </c>
      <c r="AJ309" s="254">
        <f t="shared" si="279"/>
        <v>0</v>
      </c>
      <c r="AK309" s="254">
        <f t="shared" si="279"/>
        <v>0</v>
      </c>
      <c r="AL309" s="254">
        <f t="shared" si="279"/>
        <v>0</v>
      </c>
      <c r="AM309" s="254">
        <f t="shared" si="279"/>
        <v>0</v>
      </c>
      <c r="AN309" s="254">
        <f t="shared" si="279"/>
        <v>0</v>
      </c>
      <c r="AO309" s="254">
        <f t="shared" si="279"/>
        <v>0</v>
      </c>
      <c r="AP309" s="254">
        <f t="shared" si="279"/>
        <v>0</v>
      </c>
      <c r="AQ309" s="254">
        <f t="shared" si="279"/>
        <v>0</v>
      </c>
      <c r="AR309" s="254">
        <f t="shared" ref="AR309:AW309" si="280">AR135/AR200</f>
        <v>0</v>
      </c>
      <c r="AS309" s="254">
        <f t="shared" si="280"/>
        <v>0</v>
      </c>
      <c r="AT309" s="254">
        <f t="shared" si="280"/>
        <v>0</v>
      </c>
      <c r="AU309" s="254">
        <f t="shared" si="280"/>
        <v>0</v>
      </c>
      <c r="AV309" s="254">
        <f t="shared" si="280"/>
        <v>0</v>
      </c>
      <c r="AW309" s="254">
        <f t="shared" si="280"/>
        <v>0</v>
      </c>
      <c r="AX309" s="254">
        <f t="shared" ref="AX309:AY309" si="281">AX135/AX200</f>
        <v>0</v>
      </c>
      <c r="AY309" s="254">
        <f t="shared" si="281"/>
        <v>0</v>
      </c>
      <c r="AZ309" s="253" t="str">
        <f>AZ135</f>
        <v>State Energy Reliability and Assurance Grants</v>
      </c>
      <c r="BA309" s="35"/>
      <c r="BB309" s="35"/>
      <c r="BC309" s="186"/>
      <c r="BD309" s="299"/>
      <c r="BE309" s="35"/>
      <c r="BF309" s="35"/>
      <c r="BG309" s="43"/>
      <c r="BH309" s="43"/>
      <c r="BI309" s="12"/>
      <c r="BJ309" s="12"/>
      <c r="BK309" s="12"/>
      <c r="BL309" s="12"/>
      <c r="BM309" s="12"/>
      <c r="BN309" s="12"/>
      <c r="BO309" s="12"/>
      <c r="BP309" s="12"/>
      <c r="BQ309" s="35"/>
      <c r="BR309" s="35"/>
      <c r="BS309" s="47"/>
      <c r="BT309" s="3"/>
      <c r="BU309" s="3"/>
      <c r="BV309" s="3"/>
      <c r="BW309" s="3"/>
      <c r="BX309" s="3"/>
      <c r="BY309" s="3"/>
      <c r="BZ309" s="3"/>
      <c r="CA309" s="3"/>
      <c r="CB309" s="3"/>
      <c r="CC309" s="3"/>
    </row>
    <row r="310" spans="1:81" x14ac:dyDescent="0.3">
      <c r="A310" s="187"/>
      <c r="B310" s="46"/>
      <c r="C310" s="46"/>
      <c r="D310" s="12"/>
      <c r="E310" s="67"/>
      <c r="F310" s="67"/>
      <c r="G310" s="67"/>
      <c r="H310" s="67"/>
      <c r="I310" s="67"/>
      <c r="J310" s="67"/>
      <c r="K310" s="67"/>
      <c r="L310" s="67"/>
      <c r="M310" s="67"/>
      <c r="N310" s="67"/>
      <c r="O310" s="67"/>
      <c r="P310" s="67"/>
      <c r="Q310" s="67"/>
      <c r="R310" s="67"/>
      <c r="S310" s="67"/>
      <c r="T310" s="67"/>
      <c r="U310" s="68"/>
      <c r="V310" s="68"/>
      <c r="W310" s="67"/>
      <c r="X310" s="68"/>
      <c r="Y310" s="67"/>
      <c r="Z310" s="67"/>
      <c r="AA310" s="69"/>
      <c r="AB310" s="67"/>
      <c r="AC310" s="67"/>
      <c r="AD310" s="68"/>
      <c r="AE310" s="67"/>
      <c r="AF310" s="67"/>
      <c r="AG310" s="67"/>
      <c r="AH310" s="67"/>
      <c r="AI310" s="12"/>
      <c r="AJ310" s="12"/>
      <c r="AK310" s="12"/>
      <c r="AL310" s="12"/>
      <c r="AM310" s="12"/>
      <c r="AN310" s="12"/>
      <c r="AO310" s="12"/>
      <c r="AP310" s="12"/>
      <c r="AQ310" s="12"/>
      <c r="AR310" s="12"/>
      <c r="AS310" s="12"/>
      <c r="AT310" s="12"/>
      <c r="AU310" s="12"/>
      <c r="AV310" s="12"/>
      <c r="AW310" s="12"/>
      <c r="AX310" s="12"/>
      <c r="AY310" s="12"/>
      <c r="AZ310" s="46"/>
      <c r="BA310" s="35"/>
      <c r="BB310" s="35"/>
      <c r="BC310" s="186"/>
      <c r="BD310" s="35"/>
      <c r="BE310" s="35"/>
      <c r="BF310" s="35"/>
      <c r="BG310" s="43"/>
      <c r="BH310" s="43"/>
      <c r="BI310" s="12"/>
      <c r="BJ310" s="12"/>
      <c r="BK310" s="12"/>
      <c r="BL310" s="12"/>
      <c r="BM310" s="12"/>
      <c r="BN310" s="12"/>
      <c r="BO310" s="12"/>
      <c r="BP310" s="12"/>
      <c r="BQ310" s="35"/>
      <c r="BR310" s="35"/>
      <c r="BS310" s="47"/>
      <c r="BT310" s="3"/>
      <c r="BU310" s="3"/>
      <c r="BV310" s="3"/>
      <c r="BW310" s="3"/>
      <c r="BX310" s="3"/>
      <c r="BY310" s="3"/>
      <c r="BZ310" s="3"/>
      <c r="CA310" s="3"/>
      <c r="CB310" s="3"/>
      <c r="CC310" s="3"/>
    </row>
    <row r="311" spans="1:81" x14ac:dyDescent="0.3">
      <c r="A311" s="27"/>
      <c r="B311" s="5"/>
      <c r="C311" s="5"/>
      <c r="D311" s="53"/>
      <c r="E311" s="70"/>
      <c r="F311" s="70"/>
      <c r="G311" s="70"/>
      <c r="H311" s="70"/>
      <c r="I311" s="70"/>
      <c r="J311" s="70"/>
      <c r="K311" s="70"/>
      <c r="L311" s="70"/>
      <c r="M311" s="70"/>
      <c r="N311" s="70"/>
      <c r="O311" s="70"/>
      <c r="P311" s="70"/>
      <c r="Q311" s="70"/>
      <c r="R311" s="70"/>
      <c r="S311" s="70"/>
      <c r="T311" s="70"/>
      <c r="U311" s="64"/>
      <c r="V311" s="64"/>
      <c r="W311" s="70"/>
      <c r="X311" s="64"/>
      <c r="Y311" s="70"/>
      <c r="Z311" s="70"/>
      <c r="AA311" s="71"/>
      <c r="AB311" s="70"/>
      <c r="AC311" s="70"/>
      <c r="AD311" s="64"/>
      <c r="AE311" s="70"/>
      <c r="AF311" s="70"/>
      <c r="AG311" s="70"/>
      <c r="AH311" s="70"/>
      <c r="AI311" s="53"/>
      <c r="AJ311" s="53"/>
      <c r="AK311" s="53"/>
      <c r="AL311" s="53"/>
      <c r="AM311" s="53"/>
      <c r="AN311" s="53"/>
      <c r="AO311" s="53"/>
      <c r="AP311" s="53"/>
      <c r="AQ311" s="53"/>
      <c r="AR311" s="53"/>
      <c r="AS311" s="53"/>
      <c r="AT311" s="53"/>
      <c r="AU311" s="53"/>
      <c r="AV311" s="53"/>
      <c r="AW311" s="53"/>
      <c r="AX311" s="53"/>
      <c r="AY311" s="53"/>
      <c r="BC311" s="5"/>
      <c r="BG311" s="36"/>
      <c r="BH311" s="36"/>
      <c r="BI311" s="53"/>
      <c r="BJ311" s="53"/>
      <c r="BK311" s="53"/>
      <c r="BL311" s="53"/>
      <c r="BM311" s="53"/>
      <c r="BN311" s="53"/>
      <c r="BO311" s="53"/>
      <c r="BP311" s="53"/>
    </row>
    <row r="312" spans="1:81" x14ac:dyDescent="0.3">
      <c r="A312" s="27" t="s">
        <v>283</v>
      </c>
      <c r="B312" s="5"/>
      <c r="C312" s="5"/>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row>
    <row r="313" spans="1:81" x14ac:dyDescent="0.3">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1:81" x14ac:dyDescent="0.3">
      <c r="B314" s="10" t="s">
        <v>112</v>
      </c>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1:81" x14ac:dyDescent="0.3">
      <c r="B315" s="10" t="s">
        <v>284</v>
      </c>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1:81" x14ac:dyDescent="0.3">
      <c r="B316" s="10" t="s">
        <v>140</v>
      </c>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1:81" x14ac:dyDescent="0.3">
      <c r="B317" s="10" t="s">
        <v>101</v>
      </c>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1:81" x14ac:dyDescent="0.3">
      <c r="B318" s="5" t="s">
        <v>102</v>
      </c>
      <c r="C318" s="5"/>
      <c r="D318" s="36"/>
      <c r="E318" s="64"/>
      <c r="F318" s="64"/>
      <c r="G318" s="64"/>
      <c r="H318" s="64"/>
      <c r="I318" s="64"/>
      <c r="J318" s="64"/>
      <c r="K318" s="64"/>
      <c r="L318" s="64"/>
      <c r="M318" s="64"/>
      <c r="N318" s="64"/>
      <c r="O318" s="64"/>
      <c r="P318" s="64"/>
      <c r="Q318" s="64"/>
      <c r="R318" s="64"/>
      <c r="S318" s="64"/>
      <c r="T318" s="64"/>
      <c r="U318" s="64"/>
      <c r="V318" s="64"/>
      <c r="W318" s="64"/>
      <c r="X318" s="64"/>
      <c r="Y318" s="70"/>
      <c r="Z318" s="70"/>
      <c r="AA318" s="71"/>
      <c r="AB318" s="70"/>
      <c r="AC318" s="70"/>
      <c r="AD318" s="64"/>
      <c r="AE318" s="70"/>
      <c r="AF318" s="70"/>
      <c r="AG318" s="70"/>
      <c r="AH318" s="70"/>
    </row>
    <row r="319" spans="1:81" x14ac:dyDescent="0.3">
      <c r="D319" s="53"/>
      <c r="E319" s="70"/>
      <c r="F319" s="70"/>
      <c r="G319" s="70"/>
      <c r="H319" s="70"/>
      <c r="I319" s="70"/>
      <c r="J319" s="70"/>
      <c r="K319" s="70"/>
      <c r="L319" s="70"/>
      <c r="M319" s="70"/>
      <c r="N319" s="70"/>
      <c r="O319" s="70"/>
      <c r="P319" s="70"/>
      <c r="Q319" s="70"/>
      <c r="R319" s="70"/>
      <c r="S319" s="70"/>
      <c r="T319" s="70"/>
      <c r="U319" s="64"/>
      <c r="V319" s="64"/>
      <c r="W319" s="70"/>
      <c r="X319" s="64"/>
      <c r="Y319" s="70"/>
      <c r="Z319" s="70"/>
      <c r="AA319" s="71"/>
      <c r="AB319" s="70"/>
      <c r="AC319" s="70"/>
      <c r="AD319" s="64"/>
      <c r="AE319" s="70"/>
      <c r="AF319" s="70"/>
      <c r="AG319" s="70"/>
      <c r="AH319" s="70"/>
    </row>
    <row r="320" spans="1:81" x14ac:dyDescent="0.3">
      <c r="A320" s="18" t="s">
        <v>219</v>
      </c>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1:34" x14ac:dyDescent="0.3">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1:34" x14ac:dyDescent="0.3">
      <c r="A322" s="72" t="s">
        <v>218</v>
      </c>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1:34" x14ac:dyDescent="0.3">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1:34" x14ac:dyDescent="0.3">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1:34" x14ac:dyDescent="0.3">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1:34" x14ac:dyDescent="0.3">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1:34" x14ac:dyDescent="0.3">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1:34" x14ac:dyDescent="0.3">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1:34" x14ac:dyDescent="0.3">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1:34" x14ac:dyDescent="0.3">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1:34" x14ac:dyDescent="0.3">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1:34" x14ac:dyDescent="0.3">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1:34" x14ac:dyDescent="0.3">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1:34" x14ac:dyDescent="0.3">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1:34" x14ac:dyDescent="0.3">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1:34" x14ac:dyDescent="0.3">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3">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3">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3">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3">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3">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3">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3">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3">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3">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3">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3">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3">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3">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3">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3">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3">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3">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3">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3">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3">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3">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3">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3">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3">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3">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3">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3">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3">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3">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3">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3">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3">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3">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3">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3">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3">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3">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3">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3">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3">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3">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3">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3">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3">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3">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3">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3">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3">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3">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3">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3">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3">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3">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3">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3">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3">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3">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3">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3">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3">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3">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3">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3">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3">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3">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3">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3">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3">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3">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3">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3">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3">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3">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3">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3">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3">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3">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3">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3">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3">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3">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3">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3">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3">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3">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3">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3">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3">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3">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3">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3">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3">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3">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3">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3">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3">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3">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3">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3">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3">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3">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3">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3">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3">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3">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3">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3">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3">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3">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3">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3">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3">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3">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3">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3">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3">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3">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3">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3">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3">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3">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3">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3">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3">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3">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3">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3">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3">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3">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3">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3">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3">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3">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3">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3">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3">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3">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3">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3">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3">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3">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3">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3">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3">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3">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3">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3">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3">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3">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3">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3">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3">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3">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3">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3">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3">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3">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3">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3">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3">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3">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3">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3">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3">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3">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3">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3">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3">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3">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3">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3">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3">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3">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3">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3">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3">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3">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3">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3">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3">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3">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3">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3">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3">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3">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3">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3">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3">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3">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3">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3">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3">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3">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3">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3">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3">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3">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3">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3">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3">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3">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3">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3">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3">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3">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3">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3">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3">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3">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3">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3">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3">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3">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3">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3">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3">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3">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3">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3">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3">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3">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3">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3">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3">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3">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3">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3">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3">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3">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3">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3">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3">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3">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3">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3">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3">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3">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3">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3">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3">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3">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3">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3">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3">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3">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3">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3">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3">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3">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3">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3">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3">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3">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3">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3">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3">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3">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3">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3">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3">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3">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3">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3">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3">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3">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3">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3">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3">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3">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3">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3">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3">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3">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3">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3">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3">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3">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3">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3">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3">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3">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3">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3">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3">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3">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3">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3">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3">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3">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3">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3">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3">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3">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3">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3">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3">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3">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3">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3">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3">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3">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3">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3">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3">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3">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3">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3">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3">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3">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3">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3">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3">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3">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3">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3">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3">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3">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3">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3">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3">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3">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3">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3">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3">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3">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3">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3">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3">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3">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3">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3">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3">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3">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3">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3">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3">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3">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3">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3">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3">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3">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3">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3">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3">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3">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3">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3">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3">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3">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3">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3">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3">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3">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3">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3">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3">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3">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3">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3">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3">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3">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3">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3">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3">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3">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3">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3">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3">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3">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3">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3">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3">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3">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3">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3">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3">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3">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3">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3">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3">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3">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3">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3">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3">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3">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3">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3">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3">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3">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3">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3">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3">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3">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3">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3">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3">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3">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3">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3">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3">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3">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3">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3">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3">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3">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3">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3">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3">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3">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3">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3">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3">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3">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3">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3">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3">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3">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3">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3">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3">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3">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3">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3">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3">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3">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3">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3">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3">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3">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3">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3">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3">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3">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3">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3">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3">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3">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3">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3">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3">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3">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3">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3">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3">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3">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3">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3">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3">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3">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3">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3">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3">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3">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3">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3">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3">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3">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3">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3">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3">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3">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3">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3">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3">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3">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3">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3">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3">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3">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3">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3">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3">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3">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3">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3">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3">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3">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3">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3">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3">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3">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3">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3">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3">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3">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3">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3">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3">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3">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3">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3">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3">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3">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3">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3">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3">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3">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3">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3">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3">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3">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3">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3">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3">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3">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3">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3">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3">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3">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3">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3">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3">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3">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3">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3">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3">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3">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3">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3">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3">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3">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3">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3">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3">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3">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3">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3">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3">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3">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3">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3">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3">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3">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3">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3">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3">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3">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3">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3">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3">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3">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3">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3">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3">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3">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3">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3">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3">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3">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3">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3">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3">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3">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3">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3">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3">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3">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3">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3">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3">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3">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3">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3">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3">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3">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3">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3">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3">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3">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3">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3">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3">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3">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3">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3">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3">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3">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3">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3">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3">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3">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3">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3">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3">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3">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3">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3">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3">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3">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3">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3">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3">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3">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3">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3">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3">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3">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3">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3">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3">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3">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3">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3">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3">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3">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3">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3">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3">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3">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3">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3">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3">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3">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3">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3">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3">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3">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3">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3">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3">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3">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3">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3">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3">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3">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3">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3">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3">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3">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3">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3">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3">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3">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3">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3">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3">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3">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3">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3">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3">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3">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3">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3">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3">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3">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3">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3">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3">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3">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3">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3">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3">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3">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3">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3">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3">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3">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3">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3">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3">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3">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3">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3">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3">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3">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3">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3">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3">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3">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3">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3">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3">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3">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3">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3">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3">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3">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3">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3">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3">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3">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3">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3">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3">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3">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3">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3">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3">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3">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3">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3">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3">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3">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3">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3">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3">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3">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3">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3">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3">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3">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3">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3">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3">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3">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3">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3">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3">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3">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3">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3">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3">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3">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3">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3">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3">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3">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3">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3">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3">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3">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3">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3">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3">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3">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3">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3">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3">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3">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3">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3">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3">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3">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3">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3">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3">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3">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3">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3">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3">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3">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3">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3">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3">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3">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3">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3">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3">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3">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3">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3">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3">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3">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3">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3">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3">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3">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3">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3">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3">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3">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3">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3">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3">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3">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3">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3">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3">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3">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3">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3">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3">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3">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3">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3">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3">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3">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3">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3">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3">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3">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3">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3">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3">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3">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3">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3">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3">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3">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3">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3">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3">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3">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3">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3">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3">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3">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3">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3">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3">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3">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3">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3">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3">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3">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3">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3">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3">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3">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3">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3">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3">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3">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3">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3">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3">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3">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3">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3">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3">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3">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3">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3">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3">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3">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3">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3">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3">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3">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3">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3">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3">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3">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3">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3">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3">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3">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3">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3">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3">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3">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3">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3">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3">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3">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3">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3">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3">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3">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3">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3">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3">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3">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3">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3">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3">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3">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3">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3">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3">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3">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3">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3">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3">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3">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3">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3">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3">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3">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3">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3">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3">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3">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3">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3">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3">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3">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3">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3">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3">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3">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3">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3">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3">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3">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3">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3">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3">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3">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3">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3">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3">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3">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3">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3">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3">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3">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3">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3">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3">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3">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3">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3">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3">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3">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3">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3">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3">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3">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3">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3">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3">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3">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3">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3">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3">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3">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3">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3">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3">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3">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3">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3">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3">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3">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3">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3">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3">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3">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3">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3">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3">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3">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3">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3">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3">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3">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3">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3">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3">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3">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3">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3">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3">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3">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3">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3">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3">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3">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3">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3">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3">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3">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3">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3">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3">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3">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3">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3">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3">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3">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3">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3">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3">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3">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3">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3">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3">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3">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3">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3">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3">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3">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3">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3">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3">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3">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3">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3">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3">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3">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3">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3">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3">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3">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3">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3">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3">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3">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row r="1326" spans="4:34" x14ac:dyDescent="0.3">
      <c r="D1326" s="53"/>
      <c r="E1326" s="70"/>
      <c r="F1326" s="70"/>
      <c r="G1326" s="70"/>
      <c r="H1326" s="70"/>
      <c r="I1326" s="70"/>
      <c r="J1326" s="70"/>
      <c r="K1326" s="70"/>
      <c r="L1326" s="70"/>
      <c r="M1326" s="70"/>
      <c r="N1326" s="70"/>
      <c r="O1326" s="70"/>
      <c r="P1326" s="70"/>
      <c r="Q1326" s="70"/>
      <c r="R1326" s="70"/>
      <c r="S1326" s="70"/>
      <c r="T1326" s="70"/>
      <c r="U1326" s="64"/>
      <c r="V1326" s="64"/>
      <c r="W1326" s="70"/>
      <c r="X1326" s="64"/>
      <c r="Y1326" s="70"/>
      <c r="Z1326" s="70"/>
      <c r="AA1326" s="71"/>
      <c r="AB1326" s="70"/>
      <c r="AC1326" s="70"/>
      <c r="AD1326" s="64"/>
      <c r="AE1326" s="70"/>
      <c r="AF1326" s="70"/>
      <c r="AG1326" s="70"/>
      <c r="AH1326" s="70"/>
    </row>
    <row r="1327" spans="4:34" x14ac:dyDescent="0.3">
      <c r="D1327" s="53"/>
      <c r="E1327" s="70"/>
      <c r="F1327" s="70"/>
      <c r="G1327" s="70"/>
      <c r="H1327" s="70"/>
      <c r="I1327" s="70"/>
      <c r="J1327" s="70"/>
      <c r="K1327" s="70"/>
      <c r="L1327" s="70"/>
      <c r="M1327" s="70"/>
      <c r="N1327" s="70"/>
      <c r="O1327" s="70"/>
      <c r="P1327" s="70"/>
      <c r="Q1327" s="70"/>
      <c r="R1327" s="70"/>
      <c r="S1327" s="70"/>
      <c r="T1327" s="70"/>
      <c r="U1327" s="64"/>
      <c r="V1327" s="64"/>
      <c r="W1327" s="70"/>
      <c r="X1327" s="64"/>
      <c r="Y1327" s="70"/>
      <c r="Z1327" s="70"/>
      <c r="AA1327" s="71"/>
      <c r="AB1327" s="70"/>
      <c r="AC1327" s="70"/>
      <c r="AD1327" s="64"/>
      <c r="AE1327" s="70"/>
      <c r="AF1327" s="70"/>
      <c r="AG1327" s="70"/>
      <c r="AH1327" s="70"/>
    </row>
    <row r="1328" spans="4:34" x14ac:dyDescent="0.3">
      <c r="D1328" s="53"/>
      <c r="E1328" s="70"/>
      <c r="F1328" s="70"/>
      <c r="G1328" s="70"/>
      <c r="H1328" s="70"/>
      <c r="I1328" s="70"/>
      <c r="J1328" s="70"/>
      <c r="K1328" s="70"/>
      <c r="L1328" s="70"/>
      <c r="M1328" s="70"/>
      <c r="N1328" s="70"/>
      <c r="O1328" s="70"/>
      <c r="P1328" s="70"/>
      <c r="Q1328" s="70"/>
      <c r="R1328" s="70"/>
      <c r="S1328" s="70"/>
      <c r="T1328" s="70"/>
      <c r="U1328" s="64"/>
      <c r="V1328" s="64"/>
      <c r="W1328" s="70"/>
      <c r="X1328" s="64"/>
      <c r="Y1328" s="70"/>
      <c r="Z1328" s="70"/>
      <c r="AA1328" s="71"/>
      <c r="AB1328" s="70"/>
      <c r="AC1328" s="70"/>
      <c r="AD1328" s="64"/>
      <c r="AE1328" s="70"/>
      <c r="AF1328" s="70"/>
      <c r="AG1328" s="70"/>
      <c r="AH1328" s="70"/>
    </row>
    <row r="1329" spans="4:34" x14ac:dyDescent="0.3">
      <c r="D1329" s="53"/>
      <c r="E1329" s="70"/>
      <c r="F1329" s="70"/>
      <c r="G1329" s="70"/>
      <c r="H1329" s="70"/>
      <c r="I1329" s="70"/>
      <c r="J1329" s="70"/>
      <c r="K1329" s="70"/>
      <c r="L1329" s="70"/>
      <c r="M1329" s="70"/>
      <c r="N1329" s="70"/>
      <c r="O1329" s="70"/>
      <c r="P1329" s="70"/>
      <c r="Q1329" s="70"/>
      <c r="R1329" s="70"/>
      <c r="S1329" s="70"/>
      <c r="T1329" s="70"/>
      <c r="U1329" s="64"/>
      <c r="V1329" s="64"/>
      <c r="W1329" s="70"/>
      <c r="X1329" s="64"/>
      <c r="Y1329" s="70"/>
      <c r="Z1329" s="70"/>
      <c r="AA1329" s="71"/>
      <c r="AB1329" s="70"/>
      <c r="AC1329" s="70"/>
      <c r="AD1329" s="64"/>
      <c r="AE1329" s="70"/>
      <c r="AF1329" s="70"/>
      <c r="AG1329" s="70"/>
      <c r="AH1329" s="70"/>
    </row>
    <row r="1330" spans="4:34" x14ac:dyDescent="0.3">
      <c r="D1330" s="53"/>
      <c r="E1330" s="70"/>
      <c r="F1330" s="70"/>
      <c r="G1330" s="70"/>
      <c r="H1330" s="70"/>
      <c r="I1330" s="70"/>
      <c r="J1330" s="70"/>
      <c r="K1330" s="70"/>
      <c r="L1330" s="70"/>
      <c r="M1330" s="70"/>
      <c r="N1330" s="70"/>
      <c r="O1330" s="70"/>
      <c r="P1330" s="70"/>
      <c r="Q1330" s="70"/>
      <c r="R1330" s="70"/>
      <c r="S1330" s="70"/>
      <c r="T1330" s="70"/>
      <c r="U1330" s="64"/>
      <c r="V1330" s="64"/>
      <c r="W1330" s="70"/>
      <c r="X1330" s="64"/>
      <c r="Y1330" s="70"/>
      <c r="Z1330" s="70"/>
      <c r="AA1330" s="71"/>
      <c r="AB1330" s="70"/>
      <c r="AC1330" s="70"/>
      <c r="AD1330" s="64"/>
      <c r="AE1330" s="70"/>
      <c r="AF1330" s="70"/>
      <c r="AG1330" s="70"/>
      <c r="AH1330" s="70"/>
    </row>
    <row r="1331" spans="4:34" x14ac:dyDescent="0.3">
      <c r="D1331" s="53"/>
      <c r="E1331" s="70"/>
      <c r="F1331" s="70"/>
      <c r="G1331" s="70"/>
      <c r="H1331" s="70"/>
      <c r="I1331" s="70"/>
      <c r="J1331" s="70"/>
      <c r="K1331" s="70"/>
      <c r="L1331" s="70"/>
      <c r="M1331" s="70"/>
      <c r="N1331" s="70"/>
      <c r="O1331" s="70"/>
      <c r="P1331" s="70"/>
      <c r="Q1331" s="70"/>
      <c r="R1331" s="70"/>
      <c r="S1331" s="70"/>
      <c r="T1331" s="70"/>
      <c r="U1331" s="64"/>
      <c r="V1331" s="64"/>
      <c r="W1331" s="70"/>
      <c r="X1331" s="64"/>
      <c r="Y1331" s="70"/>
      <c r="Z1331" s="70"/>
      <c r="AA1331" s="71"/>
      <c r="AB1331" s="70"/>
      <c r="AC1331" s="70"/>
      <c r="AD1331" s="64"/>
      <c r="AE1331" s="70"/>
      <c r="AF1331" s="70"/>
      <c r="AG1331" s="70"/>
      <c r="AH1331" s="70"/>
    </row>
    <row r="1332" spans="4:34" x14ac:dyDescent="0.3">
      <c r="D1332" s="53"/>
      <c r="E1332" s="70"/>
      <c r="F1332" s="70"/>
      <c r="G1332" s="70"/>
      <c r="H1332" s="70"/>
      <c r="I1332" s="70"/>
      <c r="J1332" s="70"/>
      <c r="K1332" s="70"/>
      <c r="L1332" s="70"/>
      <c r="M1332" s="70"/>
      <c r="N1332" s="70"/>
      <c r="O1332" s="70"/>
      <c r="P1332" s="70"/>
      <c r="Q1332" s="70"/>
      <c r="R1332" s="70"/>
      <c r="S1332" s="70"/>
      <c r="T1332" s="70"/>
      <c r="U1332" s="64"/>
      <c r="V1332" s="64"/>
      <c r="W1332" s="70"/>
      <c r="X1332" s="64"/>
      <c r="Y1332" s="70"/>
      <c r="Z1332" s="70"/>
      <c r="AA1332" s="71"/>
      <c r="AB1332" s="70"/>
      <c r="AC1332" s="70"/>
      <c r="AD1332" s="64"/>
      <c r="AE1332" s="70"/>
      <c r="AF1332" s="70"/>
      <c r="AG1332" s="70"/>
      <c r="AH1332" s="70"/>
    </row>
    <row r="1333" spans="4:34" x14ac:dyDescent="0.3">
      <c r="D1333" s="53"/>
      <c r="E1333" s="70"/>
      <c r="F1333" s="70"/>
      <c r="G1333" s="70"/>
      <c r="H1333" s="70"/>
      <c r="I1333" s="70"/>
      <c r="J1333" s="70"/>
      <c r="K1333" s="70"/>
      <c r="L1333" s="70"/>
      <c r="M1333" s="70"/>
      <c r="N1333" s="70"/>
      <c r="O1333" s="70"/>
      <c r="P1333" s="70"/>
      <c r="Q1333" s="70"/>
      <c r="R1333" s="70"/>
      <c r="S1333" s="70"/>
      <c r="T1333" s="70"/>
      <c r="U1333" s="64"/>
      <c r="V1333" s="64"/>
      <c r="W1333" s="70"/>
      <c r="X1333" s="64"/>
      <c r="Y1333" s="70"/>
      <c r="Z1333" s="70"/>
      <c r="AA1333" s="71"/>
      <c r="AB1333" s="70"/>
      <c r="AC1333" s="70"/>
      <c r="AD1333" s="64"/>
      <c r="AE1333" s="70"/>
      <c r="AF1333" s="70"/>
      <c r="AG1333" s="70"/>
      <c r="AH1333" s="70"/>
    </row>
    <row r="1334" spans="4:34" x14ac:dyDescent="0.3">
      <c r="D1334" s="53"/>
      <c r="E1334" s="70"/>
      <c r="F1334" s="70"/>
      <c r="G1334" s="70"/>
      <c r="H1334" s="70"/>
      <c r="I1334" s="70"/>
      <c r="J1334" s="70"/>
      <c r="K1334" s="70"/>
      <c r="L1334" s="70"/>
      <c r="M1334" s="70"/>
      <c r="N1334" s="70"/>
      <c r="O1334" s="70"/>
      <c r="P1334" s="70"/>
      <c r="Q1334" s="70"/>
      <c r="R1334" s="70"/>
      <c r="S1334" s="70"/>
      <c r="T1334" s="70"/>
      <c r="U1334" s="64"/>
      <c r="V1334" s="64"/>
      <c r="W1334" s="70"/>
      <c r="X1334" s="64"/>
      <c r="Y1334" s="70"/>
      <c r="Z1334" s="70"/>
      <c r="AA1334" s="71"/>
      <c r="AB1334" s="70"/>
      <c r="AC1334" s="70"/>
      <c r="AD1334" s="64"/>
      <c r="AE1334" s="70"/>
      <c r="AF1334" s="70"/>
      <c r="AG1334" s="70"/>
      <c r="AH1334" s="70"/>
    </row>
    <row r="1335" spans="4:34" x14ac:dyDescent="0.3">
      <c r="D1335" s="53"/>
      <c r="E1335" s="70"/>
      <c r="F1335" s="70"/>
      <c r="G1335" s="70"/>
      <c r="H1335" s="70"/>
      <c r="I1335" s="70"/>
      <c r="J1335" s="70"/>
      <c r="K1335" s="70"/>
      <c r="L1335" s="70"/>
      <c r="M1335" s="70"/>
      <c r="N1335" s="70"/>
      <c r="O1335" s="70"/>
      <c r="P1335" s="70"/>
      <c r="Q1335" s="70"/>
      <c r="R1335" s="70"/>
      <c r="S1335" s="70"/>
      <c r="T1335" s="70"/>
      <c r="U1335" s="64"/>
      <c r="V1335" s="64"/>
      <c r="W1335" s="70"/>
      <c r="X1335" s="64"/>
      <c r="Y1335" s="70"/>
      <c r="Z1335" s="70"/>
      <c r="AA1335" s="71"/>
      <c r="AB1335" s="70"/>
      <c r="AC1335" s="70"/>
      <c r="AD1335" s="64"/>
      <c r="AE1335" s="70"/>
      <c r="AF1335" s="70"/>
      <c r="AG1335" s="70"/>
      <c r="AH1335" s="70"/>
    </row>
    <row r="1336" spans="4:34" x14ac:dyDescent="0.3">
      <c r="D1336" s="53"/>
      <c r="E1336" s="70"/>
      <c r="F1336" s="70"/>
      <c r="G1336" s="70"/>
      <c r="H1336" s="70"/>
      <c r="I1336" s="70"/>
      <c r="J1336" s="70"/>
      <c r="K1336" s="70"/>
      <c r="L1336" s="70"/>
      <c r="M1336" s="70"/>
      <c r="N1336" s="70"/>
      <c r="O1336" s="70"/>
      <c r="P1336" s="70"/>
      <c r="Q1336" s="70"/>
      <c r="R1336" s="70"/>
      <c r="S1336" s="70"/>
      <c r="T1336" s="70"/>
      <c r="U1336" s="64"/>
      <c r="V1336" s="64"/>
      <c r="W1336" s="70"/>
      <c r="X1336" s="64"/>
      <c r="Y1336" s="70"/>
      <c r="Z1336" s="70"/>
      <c r="AA1336" s="71"/>
      <c r="AB1336" s="70"/>
      <c r="AC1336" s="70"/>
      <c r="AD1336" s="64"/>
      <c r="AE1336" s="70"/>
      <c r="AF1336" s="70"/>
      <c r="AG1336" s="70"/>
      <c r="AH1336" s="70"/>
    </row>
    <row r="1337" spans="4:34" x14ac:dyDescent="0.3">
      <c r="D1337" s="53"/>
      <c r="E1337" s="70"/>
      <c r="F1337" s="70"/>
      <c r="G1337" s="70"/>
      <c r="H1337" s="70"/>
      <c r="I1337" s="70"/>
      <c r="J1337" s="70"/>
      <c r="K1337" s="70"/>
      <c r="L1337" s="70"/>
      <c r="M1337" s="70"/>
      <c r="N1337" s="70"/>
      <c r="O1337" s="70"/>
      <c r="P1337" s="70"/>
      <c r="Q1337" s="70"/>
      <c r="R1337" s="70"/>
      <c r="S1337" s="70"/>
      <c r="T1337" s="70"/>
      <c r="U1337" s="64"/>
      <c r="V1337" s="64"/>
      <c r="W1337" s="70"/>
      <c r="X1337" s="64"/>
      <c r="Y1337" s="70"/>
      <c r="Z1337" s="70"/>
      <c r="AA1337" s="71"/>
      <c r="AB1337" s="70"/>
      <c r="AC1337" s="70"/>
      <c r="AD1337" s="64"/>
      <c r="AE1337" s="70"/>
      <c r="AF1337" s="70"/>
      <c r="AG1337" s="70"/>
      <c r="AH1337" s="70"/>
    </row>
    <row r="1338" spans="4:34" x14ac:dyDescent="0.3">
      <c r="D1338" s="53"/>
      <c r="E1338" s="70"/>
      <c r="F1338" s="70"/>
      <c r="G1338" s="70"/>
      <c r="H1338" s="70"/>
      <c r="I1338" s="70"/>
      <c r="J1338" s="70"/>
      <c r="K1338" s="70"/>
      <c r="L1338" s="70"/>
      <c r="M1338" s="70"/>
      <c r="N1338" s="70"/>
      <c r="O1338" s="70"/>
      <c r="P1338" s="70"/>
      <c r="Q1338" s="70"/>
      <c r="R1338" s="70"/>
      <c r="S1338" s="70"/>
      <c r="T1338" s="70"/>
      <c r="U1338" s="64"/>
      <c r="V1338" s="64"/>
      <c r="W1338" s="70"/>
      <c r="X1338" s="64"/>
      <c r="Y1338" s="70"/>
      <c r="Z1338" s="70"/>
      <c r="AA1338" s="71"/>
      <c r="AB1338" s="70"/>
      <c r="AC1338" s="70"/>
      <c r="AD1338" s="64"/>
      <c r="AE1338" s="70"/>
      <c r="AF1338" s="70"/>
      <c r="AG1338" s="70"/>
      <c r="AH1338" s="70"/>
    </row>
    <row r="1339" spans="4:34" x14ac:dyDescent="0.3">
      <c r="D1339" s="53"/>
      <c r="E1339" s="70"/>
      <c r="F1339" s="70"/>
      <c r="G1339" s="70"/>
      <c r="H1339" s="70"/>
      <c r="I1339" s="70"/>
      <c r="J1339" s="70"/>
      <c r="K1339" s="70"/>
      <c r="L1339" s="70"/>
      <c r="M1339" s="70"/>
      <c r="N1339" s="70"/>
      <c r="O1339" s="70"/>
      <c r="P1339" s="70"/>
      <c r="Q1339" s="70"/>
      <c r="R1339" s="70"/>
      <c r="S1339" s="70"/>
      <c r="T1339" s="70"/>
      <c r="U1339" s="64"/>
      <c r="V1339" s="64"/>
      <c r="W1339" s="70"/>
      <c r="X1339" s="64"/>
      <c r="Y1339" s="70"/>
      <c r="Z1339" s="70"/>
      <c r="AA1339" s="71"/>
      <c r="AB1339" s="70"/>
      <c r="AC1339" s="70"/>
      <c r="AD1339" s="64"/>
      <c r="AE1339" s="70"/>
      <c r="AF1339" s="70"/>
      <c r="AG1339" s="70"/>
      <c r="AH1339" s="70"/>
    </row>
    <row r="1340" spans="4:34" x14ac:dyDescent="0.3">
      <c r="D1340" s="53"/>
      <c r="E1340" s="70"/>
      <c r="F1340" s="70"/>
      <c r="G1340" s="70"/>
      <c r="H1340" s="70"/>
      <c r="I1340" s="70"/>
      <c r="J1340" s="70"/>
      <c r="K1340" s="70"/>
      <c r="L1340" s="70"/>
      <c r="M1340" s="70"/>
      <c r="N1340" s="70"/>
      <c r="O1340" s="70"/>
      <c r="P1340" s="70"/>
      <c r="Q1340" s="70"/>
      <c r="R1340" s="70"/>
      <c r="S1340" s="70"/>
      <c r="T1340" s="70"/>
      <c r="U1340" s="64"/>
      <c r="V1340" s="64"/>
      <c r="W1340" s="70"/>
      <c r="X1340" s="64"/>
      <c r="Y1340" s="70"/>
      <c r="Z1340" s="70"/>
      <c r="AA1340" s="71"/>
      <c r="AB1340" s="70"/>
      <c r="AC1340" s="70"/>
      <c r="AD1340" s="64"/>
      <c r="AE1340" s="70"/>
      <c r="AF1340" s="70"/>
      <c r="AG1340" s="70"/>
      <c r="AH1340" s="70"/>
    </row>
    <row r="1341" spans="4:34" x14ac:dyDescent="0.3">
      <c r="D1341" s="53"/>
      <c r="E1341" s="70"/>
      <c r="F1341" s="70"/>
      <c r="G1341" s="70"/>
      <c r="H1341" s="70"/>
      <c r="I1341" s="70"/>
      <c r="J1341" s="70"/>
      <c r="K1341" s="70"/>
      <c r="L1341" s="70"/>
      <c r="M1341" s="70"/>
      <c r="N1341" s="70"/>
      <c r="O1341" s="70"/>
      <c r="P1341" s="70"/>
      <c r="Q1341" s="70"/>
      <c r="R1341" s="70"/>
      <c r="S1341" s="70"/>
      <c r="T1341" s="70"/>
      <c r="U1341" s="64"/>
      <c r="V1341" s="64"/>
      <c r="W1341" s="70"/>
      <c r="X1341" s="64"/>
      <c r="Y1341" s="70"/>
      <c r="Z1341" s="70"/>
      <c r="AA1341" s="71"/>
      <c r="AB1341" s="70"/>
      <c r="AC1341" s="70"/>
      <c r="AD1341" s="64"/>
      <c r="AE1341" s="70"/>
      <c r="AF1341" s="70"/>
      <c r="AG1341" s="70"/>
      <c r="AH1341" s="70"/>
    </row>
    <row r="1342" spans="4:34" x14ac:dyDescent="0.3">
      <c r="D1342" s="53"/>
      <c r="E1342" s="70"/>
      <c r="F1342" s="70"/>
      <c r="G1342" s="70"/>
      <c r="H1342" s="70"/>
      <c r="I1342" s="70"/>
      <c r="J1342" s="70"/>
      <c r="K1342" s="70"/>
      <c r="L1342" s="70"/>
      <c r="M1342" s="70"/>
      <c r="N1342" s="70"/>
      <c r="O1342" s="70"/>
      <c r="P1342" s="70"/>
      <c r="Q1342" s="70"/>
      <c r="R1342" s="70"/>
      <c r="S1342" s="70"/>
      <c r="T1342" s="70"/>
      <c r="U1342" s="64"/>
      <c r="V1342" s="64"/>
      <c r="W1342" s="70"/>
      <c r="X1342" s="64"/>
      <c r="Y1342" s="70"/>
      <c r="Z1342" s="70"/>
      <c r="AA1342" s="71"/>
      <c r="AB1342" s="70"/>
      <c r="AC1342" s="70"/>
      <c r="AD1342" s="64"/>
      <c r="AE1342" s="70"/>
      <c r="AF1342" s="70"/>
      <c r="AG1342" s="70"/>
      <c r="AH1342" s="70"/>
    </row>
    <row r="1343" spans="4:34" x14ac:dyDescent="0.3">
      <c r="D1343" s="53"/>
      <c r="E1343" s="70"/>
      <c r="F1343" s="70"/>
      <c r="G1343" s="70"/>
      <c r="H1343" s="70"/>
      <c r="I1343" s="70"/>
      <c r="J1343" s="70"/>
      <c r="K1343" s="70"/>
      <c r="L1343" s="70"/>
      <c r="M1343" s="70"/>
      <c r="N1343" s="70"/>
      <c r="O1343" s="70"/>
      <c r="P1343" s="70"/>
      <c r="Q1343" s="70"/>
      <c r="R1343" s="70"/>
      <c r="S1343" s="70"/>
      <c r="T1343" s="70"/>
      <c r="U1343" s="64"/>
      <c r="V1343" s="64"/>
      <c r="W1343" s="70"/>
      <c r="X1343" s="64"/>
      <c r="Y1343" s="70"/>
      <c r="Z1343" s="70"/>
      <c r="AA1343" s="71"/>
      <c r="AB1343" s="70"/>
      <c r="AC1343" s="70"/>
      <c r="AD1343" s="64"/>
      <c r="AE1343" s="70"/>
      <c r="AF1343" s="70"/>
      <c r="AG1343" s="70"/>
      <c r="AH1343" s="70"/>
    </row>
    <row r="1344" spans="4:34" x14ac:dyDescent="0.3">
      <c r="D1344" s="53"/>
      <c r="E1344" s="70"/>
      <c r="F1344" s="70"/>
      <c r="G1344" s="70"/>
      <c r="H1344" s="70"/>
      <c r="I1344" s="70"/>
      <c r="J1344" s="70"/>
      <c r="K1344" s="70"/>
      <c r="L1344" s="70"/>
      <c r="M1344" s="70"/>
      <c r="N1344" s="70"/>
      <c r="O1344" s="70"/>
      <c r="P1344" s="70"/>
      <c r="Q1344" s="70"/>
      <c r="R1344" s="70"/>
      <c r="S1344" s="70"/>
      <c r="T1344" s="70"/>
      <c r="U1344" s="64"/>
      <c r="V1344" s="64"/>
      <c r="W1344" s="70"/>
      <c r="X1344" s="64"/>
      <c r="Y1344" s="70"/>
      <c r="Z1344" s="70"/>
      <c r="AA1344" s="71"/>
      <c r="AB1344" s="70"/>
      <c r="AC1344" s="70"/>
      <c r="AD1344" s="64"/>
      <c r="AE1344" s="70"/>
      <c r="AF1344" s="70"/>
      <c r="AG1344" s="70"/>
      <c r="AH1344" s="70"/>
    </row>
    <row r="1345" spans="4:34" x14ac:dyDescent="0.3">
      <c r="D1345" s="53"/>
      <c r="E1345" s="70"/>
      <c r="F1345" s="70"/>
      <c r="G1345" s="70"/>
      <c r="H1345" s="70"/>
      <c r="I1345" s="70"/>
      <c r="J1345" s="70"/>
      <c r="K1345" s="70"/>
      <c r="L1345" s="70"/>
      <c r="M1345" s="70"/>
      <c r="N1345" s="70"/>
      <c r="O1345" s="70"/>
      <c r="P1345" s="70"/>
      <c r="Q1345" s="70"/>
      <c r="R1345" s="70"/>
      <c r="S1345" s="70"/>
      <c r="T1345" s="70"/>
      <c r="U1345" s="64"/>
      <c r="V1345" s="64"/>
      <c r="W1345" s="70"/>
      <c r="X1345" s="64"/>
      <c r="Y1345" s="70"/>
      <c r="Z1345" s="70"/>
      <c r="AA1345" s="71"/>
      <c r="AB1345" s="70"/>
      <c r="AC1345" s="70"/>
      <c r="AD1345" s="64"/>
      <c r="AE1345" s="70"/>
      <c r="AF1345" s="70"/>
      <c r="AG1345" s="70"/>
      <c r="AH1345" s="70"/>
    </row>
    <row r="1346" spans="4:34" x14ac:dyDescent="0.3">
      <c r="D1346" s="53"/>
      <c r="E1346" s="70"/>
      <c r="F1346" s="70"/>
      <c r="G1346" s="70"/>
      <c r="H1346" s="70"/>
      <c r="I1346" s="70"/>
      <c r="J1346" s="70"/>
      <c r="K1346" s="70"/>
      <c r="L1346" s="70"/>
      <c r="M1346" s="70"/>
      <c r="N1346" s="70"/>
      <c r="O1346" s="70"/>
      <c r="P1346" s="70"/>
      <c r="Q1346" s="70"/>
      <c r="R1346" s="70"/>
      <c r="S1346" s="70"/>
      <c r="T1346" s="70"/>
      <c r="U1346" s="64"/>
      <c r="V1346" s="64"/>
      <c r="W1346" s="70"/>
      <c r="X1346" s="64"/>
      <c r="Y1346" s="70"/>
      <c r="Z1346" s="70"/>
      <c r="AA1346" s="71"/>
      <c r="AB1346" s="70"/>
      <c r="AC1346" s="70"/>
      <c r="AD1346" s="64"/>
      <c r="AE1346" s="70"/>
      <c r="AF1346" s="70"/>
      <c r="AG1346" s="70"/>
      <c r="AH1346" s="70"/>
    </row>
    <row r="1347" spans="4:34" x14ac:dyDescent="0.3">
      <c r="D1347" s="53"/>
      <c r="E1347" s="70"/>
      <c r="F1347" s="70"/>
      <c r="G1347" s="70"/>
      <c r="H1347" s="70"/>
      <c r="I1347" s="70"/>
      <c r="J1347" s="70"/>
      <c r="K1347" s="70"/>
      <c r="L1347" s="70"/>
      <c r="M1347" s="70"/>
      <c r="N1347" s="70"/>
      <c r="O1347" s="70"/>
      <c r="P1347" s="70"/>
      <c r="Q1347" s="70"/>
      <c r="R1347" s="70"/>
      <c r="S1347" s="70"/>
      <c r="T1347" s="70"/>
      <c r="U1347" s="64"/>
      <c r="V1347" s="64"/>
      <c r="W1347" s="70"/>
      <c r="X1347" s="64"/>
      <c r="Y1347" s="70"/>
      <c r="Z1347" s="70"/>
      <c r="AA1347" s="71"/>
      <c r="AB1347" s="70"/>
      <c r="AC1347" s="70"/>
      <c r="AD1347" s="64"/>
      <c r="AE1347" s="70"/>
      <c r="AF1347" s="70"/>
      <c r="AG1347" s="70"/>
      <c r="AH1347" s="70"/>
    </row>
    <row r="1348" spans="4:34" x14ac:dyDescent="0.3">
      <c r="D1348" s="53"/>
      <c r="E1348" s="70"/>
      <c r="F1348" s="70"/>
      <c r="G1348" s="70"/>
      <c r="H1348" s="70"/>
      <c r="I1348" s="70"/>
      <c r="J1348" s="70"/>
      <c r="K1348" s="70"/>
      <c r="L1348" s="70"/>
      <c r="M1348" s="70"/>
      <c r="N1348" s="70"/>
      <c r="O1348" s="70"/>
      <c r="P1348" s="70"/>
      <c r="Q1348" s="70"/>
      <c r="R1348" s="70"/>
      <c r="S1348" s="70"/>
      <c r="T1348" s="70"/>
      <c r="U1348" s="64"/>
      <c r="V1348" s="64"/>
      <c r="W1348" s="70"/>
      <c r="X1348" s="64"/>
      <c r="Y1348" s="70"/>
      <c r="Z1348" s="70"/>
      <c r="AA1348" s="71"/>
      <c r="AB1348" s="70"/>
      <c r="AC1348" s="70"/>
      <c r="AD1348" s="64"/>
      <c r="AE1348" s="70"/>
      <c r="AF1348" s="70"/>
      <c r="AG1348" s="70"/>
      <c r="AH1348" s="70"/>
    </row>
    <row r="1349" spans="4:34" x14ac:dyDescent="0.3">
      <c r="D1349" s="53"/>
      <c r="E1349" s="70"/>
      <c r="F1349" s="70"/>
      <c r="G1349" s="70"/>
      <c r="H1349" s="70"/>
      <c r="I1349" s="70"/>
      <c r="J1349" s="70"/>
      <c r="K1349" s="70"/>
      <c r="L1349" s="70"/>
      <c r="M1349" s="70"/>
      <c r="N1349" s="70"/>
      <c r="O1349" s="70"/>
      <c r="P1349" s="70"/>
      <c r="Q1349" s="70"/>
      <c r="R1349" s="70"/>
      <c r="S1349" s="70"/>
      <c r="T1349" s="70"/>
      <c r="U1349" s="64"/>
      <c r="V1349" s="64"/>
      <c r="W1349" s="70"/>
      <c r="X1349" s="64"/>
      <c r="Y1349" s="70"/>
      <c r="Z1349" s="70"/>
      <c r="AA1349" s="71"/>
      <c r="AB1349" s="70"/>
      <c r="AC1349" s="70"/>
      <c r="AD1349" s="64"/>
      <c r="AE1349" s="70"/>
      <c r="AF1349" s="70"/>
      <c r="AG1349" s="70"/>
      <c r="AH1349" s="70"/>
    </row>
    <row r="1350" spans="4:34" x14ac:dyDescent="0.3">
      <c r="D1350" s="53"/>
      <c r="E1350" s="70"/>
      <c r="F1350" s="70"/>
      <c r="G1350" s="70"/>
      <c r="H1350" s="70"/>
      <c r="I1350" s="70"/>
      <c r="J1350" s="70"/>
      <c r="K1350" s="70"/>
      <c r="L1350" s="70"/>
      <c r="M1350" s="70"/>
      <c r="N1350" s="70"/>
      <c r="O1350" s="70"/>
      <c r="P1350" s="70"/>
      <c r="Q1350" s="70"/>
      <c r="R1350" s="70"/>
      <c r="S1350" s="70"/>
      <c r="T1350" s="70"/>
      <c r="U1350" s="64"/>
      <c r="V1350" s="64"/>
      <c r="W1350" s="70"/>
      <c r="X1350" s="64"/>
      <c r="Y1350" s="70"/>
      <c r="Z1350" s="70"/>
      <c r="AA1350" s="71"/>
      <c r="AB1350" s="70"/>
      <c r="AC1350" s="70"/>
      <c r="AD1350" s="64"/>
      <c r="AE1350" s="70"/>
      <c r="AF1350" s="70"/>
      <c r="AG1350" s="70"/>
      <c r="AH1350" s="70"/>
    </row>
    <row r="1351" spans="4:34" x14ac:dyDescent="0.3">
      <c r="D1351" s="53"/>
      <c r="E1351" s="70"/>
      <c r="F1351" s="70"/>
      <c r="G1351" s="70"/>
      <c r="H1351" s="70"/>
      <c r="I1351" s="70"/>
      <c r="J1351" s="70"/>
      <c r="K1351" s="70"/>
      <c r="L1351" s="70"/>
      <c r="M1351" s="70"/>
      <c r="N1351" s="70"/>
      <c r="O1351" s="70"/>
      <c r="P1351" s="70"/>
      <c r="Q1351" s="70"/>
      <c r="R1351" s="70"/>
      <c r="S1351" s="70"/>
      <c r="T1351" s="70"/>
      <c r="U1351" s="64"/>
      <c r="V1351" s="64"/>
      <c r="W1351" s="70"/>
      <c r="X1351" s="64"/>
      <c r="Y1351" s="70"/>
      <c r="Z1351" s="70"/>
      <c r="AA1351" s="71"/>
      <c r="AB1351" s="70"/>
      <c r="AC1351" s="70"/>
      <c r="AD1351" s="64"/>
      <c r="AE1351" s="70"/>
      <c r="AF1351" s="70"/>
      <c r="AG1351" s="70"/>
      <c r="AH1351" s="70"/>
    </row>
  </sheetData>
  <phoneticPr fontId="0" type="noConversion"/>
  <hyperlinks>
    <hyperlink ref="A201" r:id="rId1"/>
  </hyperlinks>
  <printOptions gridLines="1"/>
  <pageMargins left="0.5" right="0.28999999999999998" top="0.75" bottom="0.5" header="0.5" footer="0.5"/>
  <headerFooter>
    <oddHeader>&amp;L&amp;"Arial,Italic"&amp;8Gallagher et. al 2008&amp;C&amp;"Arial,Italic"&amp;8&amp;D&amp;R&amp;"Arial,Italic"&amp;8&amp;P</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1978-2023R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1978-2023R'!Print_Area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Laura Diaz Anadon</cp:lastModifiedBy>
  <cp:lastPrinted>2008-12-11T21:02:52Z</cp:lastPrinted>
  <dcterms:created xsi:type="dcterms:W3CDTF">2004-03-17T21:56:39Z</dcterms:created>
  <dcterms:modified xsi:type="dcterms:W3CDTF">2022-04-08T20:35:52Z</dcterms:modified>
</cp:coreProperties>
</file>