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ayle\AppData\Local\Box\Box Edit\Documents\u126Lj7nPE++3KmkfjPAiw==\"/>
    </mc:Choice>
  </mc:AlternateContent>
  <xr:revisionPtr revIDLastSave="0" documentId="13_ncr:1_{863E5B7A-8083-4539-8F18-DE5AE08C4050}" xr6:coauthVersionLast="47" xr6:coauthVersionMax="47" xr10:uidLastSave="{00000000-0000-0000-0000-000000000000}"/>
  <workbookProtection lockStructure="1"/>
  <bookViews>
    <workbookView xWindow="-110" yWindow="-110" windowWidth="22780" windowHeight="14540" xr2:uid="{00000000-000D-0000-FFFF-FFFF00000000}"/>
  </bookViews>
  <sheets>
    <sheet name="Instructions" sheetId="32" r:id="rId1"/>
    <sheet name="Your Model Diet" sheetId="5" r:id="rId2"/>
    <sheet name="Output" sheetId="31" r:id="rId3"/>
    <sheet name="Common Foods" sheetId="33" r:id="rId4"/>
    <sheet name="Sources of Nutrients" sheetId="34" r:id="rId5"/>
    <sheet name="Calculation_TFP" sheetId="9" r:id="rId6"/>
    <sheet name="CurrConsumption_Ref" sheetId="29" r:id="rId7"/>
    <sheet name="TFPConsumption_Ref" sheetId="27" r:id="rId8"/>
    <sheet name="Nutrient Content_TFP" sheetId="10" r:id="rId9"/>
    <sheet name="Distance Function" sheetId="16" r:id="rId10"/>
    <sheet name="Cost_TFP" sheetId="11" r:id="rId11"/>
    <sheet name="TFP Cost Constraint" sheetId="12" r:id="rId12"/>
    <sheet name="TFP Lower Nutr Constraints" sheetId="13" r:id="rId13"/>
    <sheet name="TFP Upper Nutr Constraints" sheetId="14" r:id="rId14"/>
    <sheet name="Dietary Pattern Serv" sheetId="15" r:id="rId15"/>
  </sheets>
  <definedNames>
    <definedName name="_xlnm._FilterDatabase" localSheetId="2" hidden="1">Output!$B$27:$B$30</definedName>
    <definedName name="_xlnm._FilterDatabase" localSheetId="4" hidden="1">'Sources of Nutrients'!$B$8:$BT$8</definedName>
    <definedName name="_xlnm._FilterDatabase" localSheetId="1" hidden="1">'Your Model Diet'!$R$31:$S$34</definedName>
    <definedName name="ckcal_f20_50">#REF!</definedName>
    <definedName name="ckcal_pct_f20_50">#REF!</definedName>
    <definedName name="cs_f20_50">#REF!</definedName>
    <definedName name="cs_pct_f20_50">#REF!</definedName>
    <definedName name="ENERC_KCAL">#REF!</definedName>
    <definedName name="foods">#REF!</definedName>
    <definedName name="foodsid">#REF!</definedName>
    <definedName name="modeling_des">#REF!</definedName>
    <definedName name="p">#REF!</definedName>
    <definedName name="tfpkcal_f20_50">#REF!</definedName>
    <definedName name="tfpkcal_pct_f20_50">#REF!</definedName>
    <definedName name="tfps_f20_50">#REF!</definedName>
    <definedName name="tfps_pct_f20_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 l="1"/>
  <c r="E108" i="5"/>
  <c r="E13" i="5"/>
  <c r="E14"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F8" i="12"/>
  <c r="B8" i="12"/>
  <c r="C8" i="12"/>
  <c r="D8" i="12"/>
  <c r="E6" i="12"/>
  <c r="E8" i="12"/>
  <c r="H5" i="12"/>
  <c r="I5" i="12"/>
  <c r="J5" i="12"/>
  <c r="K5" i="12"/>
  <c r="G5" i="12"/>
  <c r="C5" i="12"/>
  <c r="D5" i="12"/>
  <c r="E5" i="12"/>
  <c r="F5" i="12"/>
  <c r="B5" i="12"/>
  <c r="H6" i="12"/>
  <c r="I6" i="12"/>
  <c r="J6" i="12"/>
  <c r="K6" i="12"/>
  <c r="G6" i="12"/>
  <c r="H8" i="12"/>
  <c r="I8" i="12"/>
  <c r="J8" i="12"/>
  <c r="K8" i="12"/>
  <c r="G8" i="12"/>
  <c r="C6" i="12"/>
  <c r="D6" i="12"/>
  <c r="B6" i="12"/>
  <c r="F7" i="12"/>
  <c r="F6" i="12" s="1"/>
  <c r="C6" i="31"/>
  <c r="I102" i="11"/>
  <c r="I101" i="11"/>
  <c r="I100" i="11"/>
  <c r="I99" i="11"/>
  <c r="I98" i="11"/>
  <c r="I97" i="11"/>
  <c r="I96" i="11"/>
  <c r="I95" i="11"/>
  <c r="I94" i="11"/>
  <c r="I93" i="11"/>
  <c r="I92" i="11"/>
  <c r="I91" i="11"/>
  <c r="I90" i="11"/>
  <c r="I89" i="11"/>
  <c r="I88" i="11"/>
  <c r="I87" i="11"/>
  <c r="I86"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I6" i="11"/>
  <c r="BT10" i="34"/>
  <c r="BT11" i="34"/>
  <c r="BT12" i="34"/>
  <c r="BT13" i="34"/>
  <c r="BT14" i="34"/>
  <c r="BT15" i="34"/>
  <c r="BT16" i="34"/>
  <c r="BT17" i="34"/>
  <c r="BT18" i="34"/>
  <c r="BT19" i="34"/>
  <c r="BT20" i="34"/>
  <c r="BT21" i="34"/>
  <c r="BT22" i="34"/>
  <c r="BT23" i="34"/>
  <c r="BT24" i="34"/>
  <c r="BT25" i="34"/>
  <c r="BT26" i="34"/>
  <c r="BT27" i="34"/>
  <c r="BT28" i="34"/>
  <c r="BT29" i="34"/>
  <c r="BT30" i="34"/>
  <c r="BT31" i="34"/>
  <c r="BT32" i="34"/>
  <c r="BT33" i="34"/>
  <c r="BT34" i="34"/>
  <c r="BT35" i="34"/>
  <c r="BT36" i="34"/>
  <c r="BT37" i="34"/>
  <c r="BT38" i="34"/>
  <c r="BT39" i="34"/>
  <c r="BT40" i="34"/>
  <c r="BT41" i="34"/>
  <c r="BT42" i="34"/>
  <c r="BT43" i="34"/>
  <c r="BT44" i="34"/>
  <c r="BT45" i="34"/>
  <c r="BT46" i="34"/>
  <c r="BT47" i="34"/>
  <c r="BT48" i="34"/>
  <c r="BT49" i="34"/>
  <c r="BT50" i="34"/>
  <c r="BT51" i="34"/>
  <c r="BT52" i="34"/>
  <c r="BT53" i="34"/>
  <c r="BT54" i="34"/>
  <c r="BT55" i="34"/>
  <c r="BT56" i="34"/>
  <c r="BT57" i="34"/>
  <c r="BT58" i="34"/>
  <c r="BT59" i="34"/>
  <c r="BT60" i="34"/>
  <c r="BT61" i="34"/>
  <c r="BT62" i="34"/>
  <c r="BT63" i="34"/>
  <c r="BT64" i="34"/>
  <c r="BT65" i="34"/>
  <c r="BT66" i="34"/>
  <c r="BT67" i="34"/>
  <c r="BT68" i="34"/>
  <c r="BT69" i="34"/>
  <c r="BT70" i="34"/>
  <c r="BT71" i="34"/>
  <c r="BT72" i="34"/>
  <c r="BT73" i="34"/>
  <c r="BT74" i="34"/>
  <c r="BT75" i="34"/>
  <c r="BT76" i="34"/>
  <c r="BT77" i="34"/>
  <c r="BT78" i="34"/>
  <c r="BT79" i="34"/>
  <c r="BT80" i="34"/>
  <c r="BT81" i="34"/>
  <c r="BT82" i="34"/>
  <c r="BT83" i="34"/>
  <c r="BT84" i="34"/>
  <c r="BT85" i="34"/>
  <c r="BT86" i="34"/>
  <c r="BT87" i="34"/>
  <c r="BT88" i="34"/>
  <c r="BT89" i="34"/>
  <c r="BT90" i="34"/>
  <c r="BT91" i="34"/>
  <c r="BT92" i="34"/>
  <c r="BT93" i="34"/>
  <c r="BT94" i="34"/>
  <c r="BT95" i="34"/>
  <c r="BT96" i="34"/>
  <c r="BT97" i="34"/>
  <c r="BT98" i="34"/>
  <c r="BT99" i="34"/>
  <c r="BT100" i="34"/>
  <c r="BT101" i="34"/>
  <c r="BT102" i="34"/>
  <c r="BT103" i="34"/>
  <c r="BT104" i="34"/>
  <c r="BT105" i="34"/>
  <c r="BT9" i="34"/>
  <c r="BS10" i="34"/>
  <c r="BS11" i="34"/>
  <c r="BS12" i="34"/>
  <c r="BS13" i="34"/>
  <c r="BS14" i="34"/>
  <c r="BS15" i="34"/>
  <c r="BS16" i="34"/>
  <c r="BS17" i="34"/>
  <c r="BS18" i="34"/>
  <c r="BS19" i="34"/>
  <c r="BS20" i="34"/>
  <c r="BS21" i="34"/>
  <c r="BS22" i="34"/>
  <c r="BS23" i="34"/>
  <c r="BS24" i="34"/>
  <c r="BS25" i="34"/>
  <c r="BS26" i="34"/>
  <c r="BS27" i="34"/>
  <c r="BS28" i="34"/>
  <c r="BS29" i="34"/>
  <c r="BS30" i="34"/>
  <c r="BS31" i="34"/>
  <c r="BS32" i="34"/>
  <c r="BS33" i="34"/>
  <c r="BS34" i="34"/>
  <c r="BS35" i="34"/>
  <c r="BS36" i="34"/>
  <c r="BS37" i="34"/>
  <c r="BS38" i="34"/>
  <c r="BS39" i="34"/>
  <c r="BS40" i="34"/>
  <c r="BS41" i="34"/>
  <c r="BS42" i="34"/>
  <c r="BS43" i="34"/>
  <c r="BS44" i="34"/>
  <c r="BS45" i="34"/>
  <c r="BS46" i="34"/>
  <c r="BS47" i="34"/>
  <c r="BS48" i="34"/>
  <c r="BS49" i="34"/>
  <c r="BS50" i="34"/>
  <c r="BS51" i="34"/>
  <c r="BS52" i="34"/>
  <c r="BS53" i="34"/>
  <c r="BS54" i="34"/>
  <c r="BS55" i="34"/>
  <c r="BS56" i="34"/>
  <c r="BS57" i="34"/>
  <c r="BS58" i="34"/>
  <c r="BS59" i="34"/>
  <c r="BS60" i="34"/>
  <c r="BS61" i="34"/>
  <c r="BS62" i="34"/>
  <c r="BS63" i="34"/>
  <c r="BS64" i="34"/>
  <c r="BS65" i="34"/>
  <c r="BS66" i="34"/>
  <c r="BS67" i="34"/>
  <c r="BS68" i="34"/>
  <c r="BS69" i="34"/>
  <c r="BS70" i="34"/>
  <c r="BS71" i="34"/>
  <c r="BS72" i="34"/>
  <c r="BS73" i="34"/>
  <c r="BS74" i="34"/>
  <c r="BS75" i="34"/>
  <c r="BS76" i="34"/>
  <c r="BS77" i="34"/>
  <c r="BS78" i="34"/>
  <c r="BS79" i="34"/>
  <c r="BS80" i="34"/>
  <c r="BS81" i="34"/>
  <c r="BS82" i="34"/>
  <c r="BS83" i="34"/>
  <c r="BS84" i="34"/>
  <c r="BS85" i="34"/>
  <c r="BS86" i="34"/>
  <c r="BS87" i="34"/>
  <c r="BS88" i="34"/>
  <c r="BS89" i="34"/>
  <c r="BS90" i="34"/>
  <c r="BS91" i="34"/>
  <c r="BS92" i="34"/>
  <c r="BS93" i="34"/>
  <c r="BS94" i="34"/>
  <c r="BS95" i="34"/>
  <c r="BS96" i="34"/>
  <c r="BS97" i="34"/>
  <c r="BS98" i="34"/>
  <c r="BS99" i="34"/>
  <c r="BS100" i="34"/>
  <c r="BS101" i="34"/>
  <c r="BS102" i="34"/>
  <c r="BS103" i="34"/>
  <c r="BS104" i="34"/>
  <c r="BS105" i="34"/>
  <c r="BS9" i="34"/>
  <c r="BQ10" i="34"/>
  <c r="BQ11" i="34"/>
  <c r="BQ12" i="34"/>
  <c r="BQ13" i="34"/>
  <c r="BQ14" i="34"/>
  <c r="BQ15" i="34"/>
  <c r="BQ16" i="34"/>
  <c r="BQ17" i="34"/>
  <c r="BQ18" i="34"/>
  <c r="BQ19" i="34"/>
  <c r="BQ20" i="34"/>
  <c r="BQ21" i="34"/>
  <c r="BQ22" i="34"/>
  <c r="BQ23" i="34"/>
  <c r="BQ24" i="34"/>
  <c r="BQ25" i="34"/>
  <c r="BQ26" i="34"/>
  <c r="BQ27" i="34"/>
  <c r="BQ28" i="34"/>
  <c r="BQ29" i="34"/>
  <c r="BQ30" i="34"/>
  <c r="BQ31" i="34"/>
  <c r="BQ32" i="34"/>
  <c r="BQ33" i="34"/>
  <c r="BQ34" i="34"/>
  <c r="BQ35" i="34"/>
  <c r="BQ36" i="34"/>
  <c r="BQ37" i="34"/>
  <c r="BQ38" i="34"/>
  <c r="BQ39" i="34"/>
  <c r="BQ40" i="34"/>
  <c r="BQ41" i="34"/>
  <c r="BQ42" i="34"/>
  <c r="BQ43" i="34"/>
  <c r="BQ44" i="34"/>
  <c r="BQ45" i="34"/>
  <c r="BQ46" i="34"/>
  <c r="BQ47" i="34"/>
  <c r="BQ48" i="34"/>
  <c r="BQ49" i="34"/>
  <c r="BQ50" i="34"/>
  <c r="BQ51" i="34"/>
  <c r="BQ52" i="34"/>
  <c r="BQ53" i="34"/>
  <c r="BQ54" i="34"/>
  <c r="BQ55" i="34"/>
  <c r="BQ56" i="34"/>
  <c r="BQ57" i="34"/>
  <c r="BQ58" i="34"/>
  <c r="BQ59" i="34"/>
  <c r="BQ60" i="34"/>
  <c r="BQ61" i="34"/>
  <c r="BQ62" i="34"/>
  <c r="BQ63" i="34"/>
  <c r="BQ64" i="34"/>
  <c r="BQ65" i="34"/>
  <c r="BQ66" i="34"/>
  <c r="BQ67" i="34"/>
  <c r="BQ68" i="34"/>
  <c r="BQ69" i="34"/>
  <c r="BQ70" i="34"/>
  <c r="BQ71" i="34"/>
  <c r="BQ72" i="34"/>
  <c r="BQ73" i="34"/>
  <c r="BQ74" i="34"/>
  <c r="BQ75" i="34"/>
  <c r="BQ76" i="34"/>
  <c r="BQ77" i="34"/>
  <c r="BQ78" i="34"/>
  <c r="BQ79" i="34"/>
  <c r="BQ80" i="34"/>
  <c r="BQ81" i="34"/>
  <c r="BQ82" i="34"/>
  <c r="BQ83" i="34"/>
  <c r="BQ84" i="34"/>
  <c r="BQ85" i="34"/>
  <c r="BQ86" i="34"/>
  <c r="BQ87" i="34"/>
  <c r="BQ88" i="34"/>
  <c r="BQ89" i="34"/>
  <c r="BQ90" i="34"/>
  <c r="BQ91" i="34"/>
  <c r="BQ92" i="34"/>
  <c r="BQ93" i="34"/>
  <c r="BQ94" i="34"/>
  <c r="BQ95" i="34"/>
  <c r="BQ96" i="34"/>
  <c r="BQ97" i="34"/>
  <c r="BQ98" i="34"/>
  <c r="BQ99" i="34"/>
  <c r="BQ100" i="34"/>
  <c r="BQ101" i="34"/>
  <c r="BQ102" i="34"/>
  <c r="BQ103" i="34"/>
  <c r="BQ104" i="34"/>
  <c r="BQ105" i="34"/>
  <c r="BQ9" i="34"/>
  <c r="BP10" i="34"/>
  <c r="BP11" i="34"/>
  <c r="BP12" i="34"/>
  <c r="BP13" i="34"/>
  <c r="BP14" i="34"/>
  <c r="BP15" i="34"/>
  <c r="BP16" i="34"/>
  <c r="BP17" i="34"/>
  <c r="BP18" i="34"/>
  <c r="BP19" i="34"/>
  <c r="BP20" i="34"/>
  <c r="BP21" i="34"/>
  <c r="BP22" i="34"/>
  <c r="BP23" i="34"/>
  <c r="BP24" i="34"/>
  <c r="BP25" i="34"/>
  <c r="BP26" i="34"/>
  <c r="BP27" i="34"/>
  <c r="BP28" i="34"/>
  <c r="BP29" i="34"/>
  <c r="BP30" i="34"/>
  <c r="BP31" i="34"/>
  <c r="BP32" i="34"/>
  <c r="BP33" i="34"/>
  <c r="BP34" i="34"/>
  <c r="BP35" i="34"/>
  <c r="BP36" i="34"/>
  <c r="BP37" i="34"/>
  <c r="BP38" i="34"/>
  <c r="BP39" i="34"/>
  <c r="BP40" i="34"/>
  <c r="BP41" i="34"/>
  <c r="BP42" i="34"/>
  <c r="BP43" i="34"/>
  <c r="BP44" i="34"/>
  <c r="BP45" i="34"/>
  <c r="BP46" i="34"/>
  <c r="BP47" i="34"/>
  <c r="BP48" i="34"/>
  <c r="BP49" i="34"/>
  <c r="BP50" i="34"/>
  <c r="BP51" i="34"/>
  <c r="BP52" i="34"/>
  <c r="BP53" i="34"/>
  <c r="BP54" i="34"/>
  <c r="BP55" i="34"/>
  <c r="BP56" i="34"/>
  <c r="BP57" i="34"/>
  <c r="BP58" i="34"/>
  <c r="BP59" i="34"/>
  <c r="BP60" i="34"/>
  <c r="BP61" i="34"/>
  <c r="BP62" i="34"/>
  <c r="BP63" i="34"/>
  <c r="BP64" i="34"/>
  <c r="BP65" i="34"/>
  <c r="BP66" i="34"/>
  <c r="BP67" i="34"/>
  <c r="BP68" i="34"/>
  <c r="BP69" i="34"/>
  <c r="BP70" i="34"/>
  <c r="BP71" i="34"/>
  <c r="BP72" i="34"/>
  <c r="BP73" i="34"/>
  <c r="BP74" i="34"/>
  <c r="BP75" i="34"/>
  <c r="BP76" i="34"/>
  <c r="BP77" i="34"/>
  <c r="BP78" i="34"/>
  <c r="BP79" i="34"/>
  <c r="BP80" i="34"/>
  <c r="BP81" i="34"/>
  <c r="BP82" i="34"/>
  <c r="BP83" i="34"/>
  <c r="BP84" i="34"/>
  <c r="BP85" i="34"/>
  <c r="BP86" i="34"/>
  <c r="BP87" i="34"/>
  <c r="BP88" i="34"/>
  <c r="BP89" i="34"/>
  <c r="BP90" i="34"/>
  <c r="BP91" i="34"/>
  <c r="BP92" i="34"/>
  <c r="BP93" i="34"/>
  <c r="BP94" i="34"/>
  <c r="BP95" i="34"/>
  <c r="BP96" i="34"/>
  <c r="BP97" i="34"/>
  <c r="BP98" i="34"/>
  <c r="BP99" i="34"/>
  <c r="BP100" i="34"/>
  <c r="BP101" i="34"/>
  <c r="BP102" i="34"/>
  <c r="BP103" i="34"/>
  <c r="BP104" i="34"/>
  <c r="BP105" i="34"/>
  <c r="BP9" i="34"/>
  <c r="BN10" i="34"/>
  <c r="BN11" i="34"/>
  <c r="BN12" i="34"/>
  <c r="BN13" i="34"/>
  <c r="BN14" i="34"/>
  <c r="BN15" i="34"/>
  <c r="BN16" i="34"/>
  <c r="BN17" i="34"/>
  <c r="BN18" i="34"/>
  <c r="BN19" i="34"/>
  <c r="BN20" i="34"/>
  <c r="BN21" i="34"/>
  <c r="BN22" i="34"/>
  <c r="BN23" i="34"/>
  <c r="BN24" i="34"/>
  <c r="BN25" i="34"/>
  <c r="BN26" i="34"/>
  <c r="BN27" i="34"/>
  <c r="BN28" i="34"/>
  <c r="BN29" i="34"/>
  <c r="BN30" i="34"/>
  <c r="BN31" i="34"/>
  <c r="BN32" i="34"/>
  <c r="BN33" i="34"/>
  <c r="BN34" i="34"/>
  <c r="BN35" i="34"/>
  <c r="BN36" i="34"/>
  <c r="BN37" i="34"/>
  <c r="BN38" i="34"/>
  <c r="BN39" i="34"/>
  <c r="BN40" i="34"/>
  <c r="BN41" i="34"/>
  <c r="BN42" i="34"/>
  <c r="BN43" i="34"/>
  <c r="BN44" i="34"/>
  <c r="BN45" i="34"/>
  <c r="BN46" i="34"/>
  <c r="BN47" i="34"/>
  <c r="BN48" i="34"/>
  <c r="BN49" i="34"/>
  <c r="BN50" i="34"/>
  <c r="BN51" i="34"/>
  <c r="BN52" i="34"/>
  <c r="BN53" i="34"/>
  <c r="BN54" i="34"/>
  <c r="BN55" i="34"/>
  <c r="BN56" i="34"/>
  <c r="BN57" i="34"/>
  <c r="BN58" i="34"/>
  <c r="BN59" i="34"/>
  <c r="BN60" i="34"/>
  <c r="BN61" i="34"/>
  <c r="BN62" i="34"/>
  <c r="BN63" i="34"/>
  <c r="BN64" i="34"/>
  <c r="BN65" i="34"/>
  <c r="BN66" i="34"/>
  <c r="BN67" i="34"/>
  <c r="BN68" i="34"/>
  <c r="BN69" i="34"/>
  <c r="BN70" i="34"/>
  <c r="BN71" i="34"/>
  <c r="BN72" i="34"/>
  <c r="BN73" i="34"/>
  <c r="BN74" i="34"/>
  <c r="BN75" i="34"/>
  <c r="BN76" i="34"/>
  <c r="BN77" i="34"/>
  <c r="BN78" i="34"/>
  <c r="BN79" i="34"/>
  <c r="BN80" i="34"/>
  <c r="BN81" i="34"/>
  <c r="BN82" i="34"/>
  <c r="BN83" i="34"/>
  <c r="BN84" i="34"/>
  <c r="BN85" i="34"/>
  <c r="BN86" i="34"/>
  <c r="BN87" i="34"/>
  <c r="BN88" i="34"/>
  <c r="BN89" i="34"/>
  <c r="BN90" i="34"/>
  <c r="BN91" i="34"/>
  <c r="BN92" i="34"/>
  <c r="BN93" i="34"/>
  <c r="BN94" i="34"/>
  <c r="BN95" i="34"/>
  <c r="BN96" i="34"/>
  <c r="BN97" i="34"/>
  <c r="BN98" i="34"/>
  <c r="BN99" i="34"/>
  <c r="BN100" i="34"/>
  <c r="BN101" i="34"/>
  <c r="BN102" i="34"/>
  <c r="BN103" i="34"/>
  <c r="BN104" i="34"/>
  <c r="BN105" i="34"/>
  <c r="BN9" i="34"/>
  <c r="BM10" i="34"/>
  <c r="BM11" i="34"/>
  <c r="BM12" i="34"/>
  <c r="BM13" i="34"/>
  <c r="BM14" i="34"/>
  <c r="BM15" i="34"/>
  <c r="BM16" i="34"/>
  <c r="BM17" i="34"/>
  <c r="BM18" i="34"/>
  <c r="BM19" i="34"/>
  <c r="BM20" i="34"/>
  <c r="BM21" i="34"/>
  <c r="BM22" i="34"/>
  <c r="BM23" i="34"/>
  <c r="BM24" i="34"/>
  <c r="BM25" i="34"/>
  <c r="BM26" i="34"/>
  <c r="BM27" i="34"/>
  <c r="BM28" i="34"/>
  <c r="BM29" i="34"/>
  <c r="BM30" i="34"/>
  <c r="BM31" i="34"/>
  <c r="BM32" i="34"/>
  <c r="BM33" i="34"/>
  <c r="BM34" i="34"/>
  <c r="BM35" i="34"/>
  <c r="BM36" i="34"/>
  <c r="BM37" i="34"/>
  <c r="BM38" i="34"/>
  <c r="BM39" i="34"/>
  <c r="BM40" i="34"/>
  <c r="BM41" i="34"/>
  <c r="BM42" i="34"/>
  <c r="BM43" i="34"/>
  <c r="BM44" i="34"/>
  <c r="BM45" i="34"/>
  <c r="BM46" i="34"/>
  <c r="BM47" i="34"/>
  <c r="BM48" i="34"/>
  <c r="BM49" i="34"/>
  <c r="BM50" i="34"/>
  <c r="BM51" i="34"/>
  <c r="BM52" i="34"/>
  <c r="BM53" i="34"/>
  <c r="BM54" i="34"/>
  <c r="BM55" i="34"/>
  <c r="BM56" i="34"/>
  <c r="BM57" i="34"/>
  <c r="BM58" i="34"/>
  <c r="BM59" i="34"/>
  <c r="BM60" i="34"/>
  <c r="BM61" i="34"/>
  <c r="BM62" i="34"/>
  <c r="BM63" i="34"/>
  <c r="BM64" i="34"/>
  <c r="BM65" i="34"/>
  <c r="BM66" i="34"/>
  <c r="BM67" i="34"/>
  <c r="BM68" i="34"/>
  <c r="BM69" i="34"/>
  <c r="BM70" i="34"/>
  <c r="BM71" i="34"/>
  <c r="BM72" i="34"/>
  <c r="BM73" i="34"/>
  <c r="BM74" i="34"/>
  <c r="BM75" i="34"/>
  <c r="BM76" i="34"/>
  <c r="BM77" i="34"/>
  <c r="BM78" i="34"/>
  <c r="BM79" i="34"/>
  <c r="BM80" i="34"/>
  <c r="BM81" i="34"/>
  <c r="BM82" i="34"/>
  <c r="BM83" i="34"/>
  <c r="BM84" i="34"/>
  <c r="BM85" i="34"/>
  <c r="BM86" i="34"/>
  <c r="BM87" i="34"/>
  <c r="BM88" i="34"/>
  <c r="BM89" i="34"/>
  <c r="BM90" i="34"/>
  <c r="BM91" i="34"/>
  <c r="BM92" i="34"/>
  <c r="BM93" i="34"/>
  <c r="BM94" i="34"/>
  <c r="BM95" i="34"/>
  <c r="BM96" i="34"/>
  <c r="BM97" i="34"/>
  <c r="BM98" i="34"/>
  <c r="BM99" i="34"/>
  <c r="BM100" i="34"/>
  <c r="BM101" i="34"/>
  <c r="BM102" i="34"/>
  <c r="BM103" i="34"/>
  <c r="BM104" i="34"/>
  <c r="BM105" i="34"/>
  <c r="BM9" i="34"/>
  <c r="BK10" i="34"/>
  <c r="BK11" i="34"/>
  <c r="BK12" i="34"/>
  <c r="BK13" i="34"/>
  <c r="BK14" i="34"/>
  <c r="BK15" i="34"/>
  <c r="BK16" i="34"/>
  <c r="BK17" i="34"/>
  <c r="BK18" i="34"/>
  <c r="BK19" i="34"/>
  <c r="BK20" i="34"/>
  <c r="BK21" i="34"/>
  <c r="BK22" i="34"/>
  <c r="BK23" i="34"/>
  <c r="BK24" i="34"/>
  <c r="BK25" i="34"/>
  <c r="BK26" i="34"/>
  <c r="BK27" i="34"/>
  <c r="BK28" i="34"/>
  <c r="BK29" i="34"/>
  <c r="BK30" i="34"/>
  <c r="BK31" i="34"/>
  <c r="BK32" i="34"/>
  <c r="BK33" i="34"/>
  <c r="BK34" i="34"/>
  <c r="BK35" i="34"/>
  <c r="BK36" i="34"/>
  <c r="BK37" i="34"/>
  <c r="BK38" i="34"/>
  <c r="BK39" i="34"/>
  <c r="BK40" i="34"/>
  <c r="BK41" i="34"/>
  <c r="BK42" i="34"/>
  <c r="BK43" i="34"/>
  <c r="BK44" i="34"/>
  <c r="BK45" i="34"/>
  <c r="BK46" i="34"/>
  <c r="BK47" i="34"/>
  <c r="BK48" i="34"/>
  <c r="BK49" i="34"/>
  <c r="BK50" i="34"/>
  <c r="BK51" i="34"/>
  <c r="BK52" i="34"/>
  <c r="BK53" i="34"/>
  <c r="BK54" i="34"/>
  <c r="BK55" i="34"/>
  <c r="BK56" i="34"/>
  <c r="BK57" i="34"/>
  <c r="BK58" i="34"/>
  <c r="BK59" i="34"/>
  <c r="BK60" i="34"/>
  <c r="BK61" i="34"/>
  <c r="BK62" i="34"/>
  <c r="BK63" i="34"/>
  <c r="BK64" i="34"/>
  <c r="BK65" i="34"/>
  <c r="BK66" i="34"/>
  <c r="BK67" i="34"/>
  <c r="BK68" i="34"/>
  <c r="BK69" i="34"/>
  <c r="BK70" i="34"/>
  <c r="BK71" i="34"/>
  <c r="BK72" i="34"/>
  <c r="BK73" i="34"/>
  <c r="BK74" i="34"/>
  <c r="BK75" i="34"/>
  <c r="BK76" i="34"/>
  <c r="BK77" i="34"/>
  <c r="BK78" i="34"/>
  <c r="BK79" i="34"/>
  <c r="BK80" i="34"/>
  <c r="BK81" i="34"/>
  <c r="BK82" i="34"/>
  <c r="BK83" i="34"/>
  <c r="BK84" i="34"/>
  <c r="BK85" i="34"/>
  <c r="BK86" i="34"/>
  <c r="BK87" i="34"/>
  <c r="BK88" i="34"/>
  <c r="BK89" i="34"/>
  <c r="BK90" i="34"/>
  <c r="BK91" i="34"/>
  <c r="BK92" i="34"/>
  <c r="BK93" i="34"/>
  <c r="BK94" i="34"/>
  <c r="BK95" i="34"/>
  <c r="BK96" i="34"/>
  <c r="BK97" i="34"/>
  <c r="BK98" i="34"/>
  <c r="BK99" i="34"/>
  <c r="BK100" i="34"/>
  <c r="BK101" i="34"/>
  <c r="BK102" i="34"/>
  <c r="BK103" i="34"/>
  <c r="BK104" i="34"/>
  <c r="BK105" i="34"/>
  <c r="BK9" i="34"/>
  <c r="BJ10" i="34"/>
  <c r="BJ11" i="34"/>
  <c r="BJ12" i="34"/>
  <c r="BJ13" i="34"/>
  <c r="BJ14" i="34"/>
  <c r="BJ15" i="34"/>
  <c r="BJ16" i="34"/>
  <c r="BJ17" i="34"/>
  <c r="BJ18" i="34"/>
  <c r="BJ19" i="34"/>
  <c r="BJ20" i="34"/>
  <c r="BJ21" i="34"/>
  <c r="BJ22" i="34"/>
  <c r="BJ23" i="34"/>
  <c r="BJ24" i="34"/>
  <c r="BJ25" i="34"/>
  <c r="BJ26" i="34"/>
  <c r="BJ27" i="34"/>
  <c r="BJ28" i="34"/>
  <c r="BJ29" i="34"/>
  <c r="BJ30" i="34"/>
  <c r="BJ31" i="34"/>
  <c r="BJ32" i="34"/>
  <c r="BJ33" i="34"/>
  <c r="BJ34" i="34"/>
  <c r="BJ35" i="34"/>
  <c r="BJ36" i="34"/>
  <c r="BJ37" i="34"/>
  <c r="BJ38" i="34"/>
  <c r="BJ39" i="34"/>
  <c r="BJ40" i="34"/>
  <c r="BJ41" i="34"/>
  <c r="BJ42" i="34"/>
  <c r="BJ43" i="34"/>
  <c r="BJ44" i="34"/>
  <c r="BJ45" i="34"/>
  <c r="BJ46" i="34"/>
  <c r="BJ47" i="34"/>
  <c r="BJ48" i="34"/>
  <c r="BJ49" i="34"/>
  <c r="BJ50" i="34"/>
  <c r="BJ51" i="34"/>
  <c r="BJ52" i="34"/>
  <c r="BJ53" i="34"/>
  <c r="BJ54" i="34"/>
  <c r="BJ55" i="34"/>
  <c r="BJ56" i="34"/>
  <c r="BJ57" i="34"/>
  <c r="BJ58" i="34"/>
  <c r="BJ59" i="34"/>
  <c r="BJ60" i="34"/>
  <c r="BJ61" i="34"/>
  <c r="BJ62" i="34"/>
  <c r="BJ63" i="34"/>
  <c r="BJ64" i="34"/>
  <c r="BJ65" i="34"/>
  <c r="BJ66" i="34"/>
  <c r="BJ67" i="34"/>
  <c r="BJ68" i="34"/>
  <c r="BJ69" i="34"/>
  <c r="BJ70" i="34"/>
  <c r="BJ71" i="34"/>
  <c r="BJ72" i="34"/>
  <c r="BJ73" i="34"/>
  <c r="BJ74" i="34"/>
  <c r="BJ75" i="34"/>
  <c r="BJ76" i="34"/>
  <c r="BJ77" i="34"/>
  <c r="BJ78" i="34"/>
  <c r="BJ79" i="34"/>
  <c r="BJ80" i="34"/>
  <c r="BJ81" i="34"/>
  <c r="BJ82" i="34"/>
  <c r="BJ83" i="34"/>
  <c r="BJ84" i="34"/>
  <c r="BJ85" i="34"/>
  <c r="BJ86" i="34"/>
  <c r="BJ87" i="34"/>
  <c r="BJ88" i="34"/>
  <c r="BJ89" i="34"/>
  <c r="BJ90" i="34"/>
  <c r="BJ91" i="34"/>
  <c r="BJ92" i="34"/>
  <c r="BJ93" i="34"/>
  <c r="BJ94" i="34"/>
  <c r="BJ95" i="34"/>
  <c r="BJ96" i="34"/>
  <c r="BJ97" i="34"/>
  <c r="BJ98" i="34"/>
  <c r="BJ99" i="34"/>
  <c r="BJ100" i="34"/>
  <c r="BJ101" i="34"/>
  <c r="BJ102" i="34"/>
  <c r="BJ103" i="34"/>
  <c r="BJ104" i="34"/>
  <c r="BJ105" i="34"/>
  <c r="BJ9" i="34"/>
  <c r="BH10" i="34"/>
  <c r="BH11" i="34"/>
  <c r="BH12" i="34"/>
  <c r="BH13" i="34"/>
  <c r="BH14" i="34"/>
  <c r="BH15" i="34"/>
  <c r="BH16" i="34"/>
  <c r="BH17" i="34"/>
  <c r="BH18" i="34"/>
  <c r="BH19" i="34"/>
  <c r="BH20" i="34"/>
  <c r="BH21" i="34"/>
  <c r="BH22" i="34"/>
  <c r="BH23" i="34"/>
  <c r="BH24" i="34"/>
  <c r="BH25" i="34"/>
  <c r="BH26" i="34"/>
  <c r="BH27" i="34"/>
  <c r="BH28" i="34"/>
  <c r="BH29" i="34"/>
  <c r="BH30" i="34"/>
  <c r="BH31" i="34"/>
  <c r="BH32" i="34"/>
  <c r="BH33" i="34"/>
  <c r="BH34" i="34"/>
  <c r="BH35" i="34"/>
  <c r="BH36" i="34"/>
  <c r="BH37" i="34"/>
  <c r="BH38" i="34"/>
  <c r="BH39" i="34"/>
  <c r="BH40" i="34"/>
  <c r="BH41" i="34"/>
  <c r="BH42" i="34"/>
  <c r="BH43" i="34"/>
  <c r="BH44" i="34"/>
  <c r="BH45" i="34"/>
  <c r="BH46" i="34"/>
  <c r="BH47" i="34"/>
  <c r="BH48" i="34"/>
  <c r="BH49" i="34"/>
  <c r="BH50" i="34"/>
  <c r="BH51" i="34"/>
  <c r="BH52" i="34"/>
  <c r="BH53" i="34"/>
  <c r="BH54" i="34"/>
  <c r="BH55" i="34"/>
  <c r="BH56" i="34"/>
  <c r="BH57" i="34"/>
  <c r="BH58" i="34"/>
  <c r="BH59" i="34"/>
  <c r="BH60" i="34"/>
  <c r="BH61" i="34"/>
  <c r="BH62" i="34"/>
  <c r="BH63" i="34"/>
  <c r="BH64" i="34"/>
  <c r="BH65" i="34"/>
  <c r="BH66" i="34"/>
  <c r="BH67" i="34"/>
  <c r="BH68" i="34"/>
  <c r="BH69" i="34"/>
  <c r="BH70" i="34"/>
  <c r="BH71" i="34"/>
  <c r="BH72" i="34"/>
  <c r="BH73" i="34"/>
  <c r="BH74" i="34"/>
  <c r="BH75" i="34"/>
  <c r="BH76" i="34"/>
  <c r="BH77" i="34"/>
  <c r="BH78" i="34"/>
  <c r="BH79" i="34"/>
  <c r="BH80" i="34"/>
  <c r="BH81" i="34"/>
  <c r="BH82" i="34"/>
  <c r="BH83" i="34"/>
  <c r="BH84" i="34"/>
  <c r="BH85" i="34"/>
  <c r="BH86" i="34"/>
  <c r="BH87" i="34"/>
  <c r="BH88" i="34"/>
  <c r="BH89" i="34"/>
  <c r="BH90" i="34"/>
  <c r="BH91" i="34"/>
  <c r="BH92" i="34"/>
  <c r="BH93" i="34"/>
  <c r="BH94" i="34"/>
  <c r="BH95" i="34"/>
  <c r="BH96" i="34"/>
  <c r="BH97" i="34"/>
  <c r="BH98" i="34"/>
  <c r="BH99" i="34"/>
  <c r="BH100" i="34"/>
  <c r="BH101" i="34"/>
  <c r="BH102" i="34"/>
  <c r="BH103" i="34"/>
  <c r="BH104" i="34"/>
  <c r="BH105" i="34"/>
  <c r="BH9" i="34"/>
  <c r="BG10" i="34"/>
  <c r="BG11" i="34"/>
  <c r="BG12" i="34"/>
  <c r="BG13" i="34"/>
  <c r="BG14" i="34"/>
  <c r="BG15" i="34"/>
  <c r="BG16" i="34"/>
  <c r="BG17" i="34"/>
  <c r="BG18" i="34"/>
  <c r="BG19" i="34"/>
  <c r="BG20" i="34"/>
  <c r="BG21" i="34"/>
  <c r="BG22" i="34"/>
  <c r="BG23" i="34"/>
  <c r="BG24" i="34"/>
  <c r="BG25" i="34"/>
  <c r="BG26" i="34"/>
  <c r="BG27" i="34"/>
  <c r="BG28" i="34"/>
  <c r="BG29" i="34"/>
  <c r="BG30" i="34"/>
  <c r="BG31" i="34"/>
  <c r="BG32" i="34"/>
  <c r="BG33" i="34"/>
  <c r="BG34" i="34"/>
  <c r="BG35" i="34"/>
  <c r="BG36" i="34"/>
  <c r="BG37" i="34"/>
  <c r="BG38" i="34"/>
  <c r="BG39" i="34"/>
  <c r="BG40" i="34"/>
  <c r="BG41" i="34"/>
  <c r="BG42" i="34"/>
  <c r="BG43" i="34"/>
  <c r="BG44" i="34"/>
  <c r="BG45" i="34"/>
  <c r="BG46" i="34"/>
  <c r="BG47" i="34"/>
  <c r="BG48" i="34"/>
  <c r="BG49" i="34"/>
  <c r="BG50" i="34"/>
  <c r="BG51" i="34"/>
  <c r="BG52" i="34"/>
  <c r="BG53" i="34"/>
  <c r="BG54" i="34"/>
  <c r="BG55" i="34"/>
  <c r="BG56" i="34"/>
  <c r="BG57" i="34"/>
  <c r="BG58" i="34"/>
  <c r="BG59" i="34"/>
  <c r="BG60" i="34"/>
  <c r="BG61" i="34"/>
  <c r="BG62" i="34"/>
  <c r="BG63" i="34"/>
  <c r="BG64" i="34"/>
  <c r="BG65" i="34"/>
  <c r="BG66" i="34"/>
  <c r="BG67" i="34"/>
  <c r="BG68" i="34"/>
  <c r="BG69" i="34"/>
  <c r="BG70" i="34"/>
  <c r="BG71" i="34"/>
  <c r="BG72" i="34"/>
  <c r="BG73" i="34"/>
  <c r="BG74" i="34"/>
  <c r="BG75" i="34"/>
  <c r="BG76" i="34"/>
  <c r="BG77" i="34"/>
  <c r="BG78" i="34"/>
  <c r="BG79" i="34"/>
  <c r="BG80" i="34"/>
  <c r="BG81" i="34"/>
  <c r="BG82" i="34"/>
  <c r="BG83" i="34"/>
  <c r="BG84" i="34"/>
  <c r="BG85" i="34"/>
  <c r="BG86" i="34"/>
  <c r="BG87" i="34"/>
  <c r="BG88" i="34"/>
  <c r="BG89" i="34"/>
  <c r="BG90" i="34"/>
  <c r="BG91" i="34"/>
  <c r="BG92" i="34"/>
  <c r="BG93" i="34"/>
  <c r="BG94" i="34"/>
  <c r="BG95" i="34"/>
  <c r="BG96" i="34"/>
  <c r="BG97" i="34"/>
  <c r="BG98" i="34"/>
  <c r="BG99" i="34"/>
  <c r="BG100" i="34"/>
  <c r="BG101" i="34"/>
  <c r="BG102" i="34"/>
  <c r="BG103" i="34"/>
  <c r="BG104" i="34"/>
  <c r="BG105" i="34"/>
  <c r="BG9" i="34"/>
  <c r="BE10" i="34"/>
  <c r="BE11" i="34"/>
  <c r="BE12" i="34"/>
  <c r="BE13" i="34"/>
  <c r="BE14" i="34"/>
  <c r="BE15" i="34"/>
  <c r="BE16" i="34"/>
  <c r="BE17" i="34"/>
  <c r="BE18" i="34"/>
  <c r="BE19" i="34"/>
  <c r="BE20" i="34"/>
  <c r="BE21" i="34"/>
  <c r="BE22" i="34"/>
  <c r="BE23" i="34"/>
  <c r="BE24" i="34"/>
  <c r="BE25" i="34"/>
  <c r="BE26" i="34"/>
  <c r="BE27" i="34"/>
  <c r="BE28" i="34"/>
  <c r="BE29" i="34"/>
  <c r="BE30" i="34"/>
  <c r="BE31" i="34"/>
  <c r="BE32" i="34"/>
  <c r="BE33" i="34"/>
  <c r="BE34" i="34"/>
  <c r="BE35" i="34"/>
  <c r="BE36" i="34"/>
  <c r="BE37" i="34"/>
  <c r="BE38" i="34"/>
  <c r="BE39" i="34"/>
  <c r="BE40" i="34"/>
  <c r="BE41" i="34"/>
  <c r="BE42" i="34"/>
  <c r="BE43" i="34"/>
  <c r="BE44" i="34"/>
  <c r="BE45" i="34"/>
  <c r="BE46" i="34"/>
  <c r="BE47" i="34"/>
  <c r="BE48" i="34"/>
  <c r="BE49" i="34"/>
  <c r="BE50" i="34"/>
  <c r="BE51" i="34"/>
  <c r="BE52" i="34"/>
  <c r="BE53" i="34"/>
  <c r="BE54" i="34"/>
  <c r="BE55" i="34"/>
  <c r="BE56" i="34"/>
  <c r="BE57" i="34"/>
  <c r="BE58" i="34"/>
  <c r="BE59" i="34"/>
  <c r="BE60" i="34"/>
  <c r="BE61" i="34"/>
  <c r="BE62" i="34"/>
  <c r="BE63" i="34"/>
  <c r="BE64" i="34"/>
  <c r="BE65" i="34"/>
  <c r="BE66" i="34"/>
  <c r="BE67" i="34"/>
  <c r="BE68" i="34"/>
  <c r="BE69" i="34"/>
  <c r="BE70" i="34"/>
  <c r="BE71" i="34"/>
  <c r="BE72" i="34"/>
  <c r="BE73" i="34"/>
  <c r="BE74" i="34"/>
  <c r="BE75" i="34"/>
  <c r="BE76" i="34"/>
  <c r="BE77" i="34"/>
  <c r="BE78" i="34"/>
  <c r="BE79" i="34"/>
  <c r="BE80" i="34"/>
  <c r="BE81" i="34"/>
  <c r="BE82" i="34"/>
  <c r="BE83" i="34"/>
  <c r="BE84" i="34"/>
  <c r="BE85" i="34"/>
  <c r="BE86" i="34"/>
  <c r="BE87" i="34"/>
  <c r="BE88" i="34"/>
  <c r="BE89" i="34"/>
  <c r="BE90" i="34"/>
  <c r="BE91" i="34"/>
  <c r="BE92" i="34"/>
  <c r="BE93" i="34"/>
  <c r="BE94" i="34"/>
  <c r="BE95" i="34"/>
  <c r="BE96" i="34"/>
  <c r="BE97" i="34"/>
  <c r="BE98" i="34"/>
  <c r="BE99" i="34"/>
  <c r="BE100" i="34"/>
  <c r="BE101" i="34"/>
  <c r="BE102" i="34"/>
  <c r="BE103" i="34"/>
  <c r="BE104" i="34"/>
  <c r="BE105" i="34"/>
  <c r="BE9" i="34"/>
  <c r="BD10" i="34"/>
  <c r="BD11" i="34"/>
  <c r="BD12" i="34"/>
  <c r="BD13" i="34"/>
  <c r="BD14" i="34"/>
  <c r="BD15" i="34"/>
  <c r="BD16" i="34"/>
  <c r="BD17" i="34"/>
  <c r="BD18" i="34"/>
  <c r="BD19" i="34"/>
  <c r="BD20" i="34"/>
  <c r="BD21" i="34"/>
  <c r="BD22" i="34"/>
  <c r="BD23" i="34"/>
  <c r="BD24" i="34"/>
  <c r="BD25" i="34"/>
  <c r="BD26" i="34"/>
  <c r="BD27" i="34"/>
  <c r="BD28" i="34"/>
  <c r="BD29" i="34"/>
  <c r="BD30" i="34"/>
  <c r="BD31" i="34"/>
  <c r="BD32" i="34"/>
  <c r="BD33" i="34"/>
  <c r="BD34" i="34"/>
  <c r="BD35" i="34"/>
  <c r="BD36" i="34"/>
  <c r="BD37" i="34"/>
  <c r="BD38" i="34"/>
  <c r="BD39" i="34"/>
  <c r="BD40" i="34"/>
  <c r="BD41" i="34"/>
  <c r="BD42" i="34"/>
  <c r="BD43" i="34"/>
  <c r="BD44" i="34"/>
  <c r="BD45" i="34"/>
  <c r="BD46" i="34"/>
  <c r="BD47" i="34"/>
  <c r="BD48" i="34"/>
  <c r="BD49" i="34"/>
  <c r="BD50" i="34"/>
  <c r="BD51" i="34"/>
  <c r="BD52" i="34"/>
  <c r="BD53" i="34"/>
  <c r="BD54" i="34"/>
  <c r="BD55" i="34"/>
  <c r="BD56" i="34"/>
  <c r="BD57" i="34"/>
  <c r="BD58" i="34"/>
  <c r="BD59" i="34"/>
  <c r="BD60" i="34"/>
  <c r="BD61" i="34"/>
  <c r="BD62" i="34"/>
  <c r="BD63" i="34"/>
  <c r="BD64" i="34"/>
  <c r="BD65" i="34"/>
  <c r="BD66" i="34"/>
  <c r="BD67" i="34"/>
  <c r="BD68" i="34"/>
  <c r="BD69" i="34"/>
  <c r="BD70" i="34"/>
  <c r="BD71" i="34"/>
  <c r="BD72" i="34"/>
  <c r="BD73" i="34"/>
  <c r="BD74" i="34"/>
  <c r="BD75" i="34"/>
  <c r="BD76" i="34"/>
  <c r="BD77" i="34"/>
  <c r="BD78" i="34"/>
  <c r="BD79" i="34"/>
  <c r="BD80" i="34"/>
  <c r="BD81" i="34"/>
  <c r="BD82" i="34"/>
  <c r="BD83" i="34"/>
  <c r="BD84" i="34"/>
  <c r="BD85" i="34"/>
  <c r="BD86" i="34"/>
  <c r="BD87" i="34"/>
  <c r="BD88" i="34"/>
  <c r="BD89" i="34"/>
  <c r="BD90" i="34"/>
  <c r="BD91" i="34"/>
  <c r="BD92" i="34"/>
  <c r="BD93" i="34"/>
  <c r="BD94" i="34"/>
  <c r="BD95" i="34"/>
  <c r="BD96" i="34"/>
  <c r="BD97" i="34"/>
  <c r="BD98" i="34"/>
  <c r="BD99" i="34"/>
  <c r="BD100" i="34"/>
  <c r="BD101" i="34"/>
  <c r="BD102" i="34"/>
  <c r="BD103" i="34"/>
  <c r="BD104" i="34"/>
  <c r="BD105" i="34"/>
  <c r="BD9" i="34"/>
  <c r="BB10" i="34"/>
  <c r="BB11" i="34"/>
  <c r="BB12" i="34"/>
  <c r="BB13" i="34"/>
  <c r="BB14" i="34"/>
  <c r="BB15" i="34"/>
  <c r="BB16" i="34"/>
  <c r="BB17" i="34"/>
  <c r="BB18" i="34"/>
  <c r="BB19" i="34"/>
  <c r="BB20" i="34"/>
  <c r="BB21" i="34"/>
  <c r="BB22" i="34"/>
  <c r="BB23" i="34"/>
  <c r="BB24" i="34"/>
  <c r="BB25" i="34"/>
  <c r="BB26" i="34"/>
  <c r="BB27" i="34"/>
  <c r="BB28" i="34"/>
  <c r="BB29" i="34"/>
  <c r="BB30" i="34"/>
  <c r="BB31" i="34"/>
  <c r="BB32" i="34"/>
  <c r="BB33" i="34"/>
  <c r="BB34" i="34"/>
  <c r="BB35" i="34"/>
  <c r="BB36" i="34"/>
  <c r="BB37" i="34"/>
  <c r="BB38" i="34"/>
  <c r="BB39" i="34"/>
  <c r="BB40" i="34"/>
  <c r="BB41" i="34"/>
  <c r="BB42" i="34"/>
  <c r="BB43" i="34"/>
  <c r="BB44" i="34"/>
  <c r="BB45" i="34"/>
  <c r="BB46" i="34"/>
  <c r="BB47" i="34"/>
  <c r="BB48" i="34"/>
  <c r="BB49" i="34"/>
  <c r="BB50" i="34"/>
  <c r="BB51" i="34"/>
  <c r="BB52" i="34"/>
  <c r="BB53" i="34"/>
  <c r="BB54" i="34"/>
  <c r="BB55" i="34"/>
  <c r="BB56" i="34"/>
  <c r="BB57" i="34"/>
  <c r="BB58" i="34"/>
  <c r="BB59" i="34"/>
  <c r="BB60" i="34"/>
  <c r="BB61" i="34"/>
  <c r="BB62" i="34"/>
  <c r="BB63" i="34"/>
  <c r="BB64" i="34"/>
  <c r="BB65" i="34"/>
  <c r="BB66" i="34"/>
  <c r="BB67" i="34"/>
  <c r="BB68" i="34"/>
  <c r="BB69" i="34"/>
  <c r="BB70" i="34"/>
  <c r="BB71" i="34"/>
  <c r="BB72" i="34"/>
  <c r="BB73" i="34"/>
  <c r="BB74" i="34"/>
  <c r="BB75" i="34"/>
  <c r="BB76" i="34"/>
  <c r="BB77" i="34"/>
  <c r="BB78" i="34"/>
  <c r="BB79" i="34"/>
  <c r="BB80" i="34"/>
  <c r="BB81" i="34"/>
  <c r="BB82" i="34"/>
  <c r="BB83" i="34"/>
  <c r="BB84" i="34"/>
  <c r="BB85" i="34"/>
  <c r="BB86" i="34"/>
  <c r="BB87" i="34"/>
  <c r="BB88" i="34"/>
  <c r="BB89" i="34"/>
  <c r="BB90" i="34"/>
  <c r="BB91" i="34"/>
  <c r="BB92" i="34"/>
  <c r="BB93" i="34"/>
  <c r="BB94" i="34"/>
  <c r="BB95" i="34"/>
  <c r="BB96" i="34"/>
  <c r="BB97" i="34"/>
  <c r="BB98" i="34"/>
  <c r="BB99" i="34"/>
  <c r="BB100" i="34"/>
  <c r="BB101" i="34"/>
  <c r="BB102" i="34"/>
  <c r="BB103" i="34"/>
  <c r="BB104" i="34"/>
  <c r="BB105" i="34"/>
  <c r="BB9" i="34"/>
  <c r="BA10" i="34"/>
  <c r="BA11" i="34"/>
  <c r="BA12" i="34"/>
  <c r="BA13" i="34"/>
  <c r="BA14" i="34"/>
  <c r="BA15" i="34"/>
  <c r="BA16" i="34"/>
  <c r="BA17" i="34"/>
  <c r="BA18" i="34"/>
  <c r="BA19" i="34"/>
  <c r="BA20" i="34"/>
  <c r="BA21" i="34"/>
  <c r="BA22" i="34"/>
  <c r="BA23" i="34"/>
  <c r="BA24" i="34"/>
  <c r="BA25" i="34"/>
  <c r="BA26" i="34"/>
  <c r="BA27" i="34"/>
  <c r="BA28" i="34"/>
  <c r="BA29" i="34"/>
  <c r="BA30" i="34"/>
  <c r="BA31" i="34"/>
  <c r="BA32" i="34"/>
  <c r="BA33" i="34"/>
  <c r="BA34" i="34"/>
  <c r="BA35" i="34"/>
  <c r="BA36" i="34"/>
  <c r="BA37" i="34"/>
  <c r="BA38" i="34"/>
  <c r="BA39" i="34"/>
  <c r="BA40" i="34"/>
  <c r="BA41" i="34"/>
  <c r="BA42" i="34"/>
  <c r="BA43" i="34"/>
  <c r="BA44" i="34"/>
  <c r="BA45" i="34"/>
  <c r="BA46" i="34"/>
  <c r="BA47" i="34"/>
  <c r="BA48" i="34"/>
  <c r="BA49" i="34"/>
  <c r="BA50" i="34"/>
  <c r="BA51" i="34"/>
  <c r="BA52" i="34"/>
  <c r="BA53" i="34"/>
  <c r="BA54" i="34"/>
  <c r="BA55" i="34"/>
  <c r="BA56" i="34"/>
  <c r="BA57" i="34"/>
  <c r="BA58" i="34"/>
  <c r="BA59" i="34"/>
  <c r="BA60" i="34"/>
  <c r="BA61" i="34"/>
  <c r="BA62" i="34"/>
  <c r="BA63" i="34"/>
  <c r="BA64" i="34"/>
  <c r="BA65" i="34"/>
  <c r="BA66" i="34"/>
  <c r="BA67" i="34"/>
  <c r="BA68" i="34"/>
  <c r="BA69" i="34"/>
  <c r="BA70" i="34"/>
  <c r="BA71" i="34"/>
  <c r="BA72" i="34"/>
  <c r="BA73" i="34"/>
  <c r="BA74" i="34"/>
  <c r="BA75" i="34"/>
  <c r="BA76" i="34"/>
  <c r="BA77" i="34"/>
  <c r="BA78" i="34"/>
  <c r="BA79" i="34"/>
  <c r="BA80" i="34"/>
  <c r="BA81" i="34"/>
  <c r="BA82" i="34"/>
  <c r="BA83" i="34"/>
  <c r="BA84" i="34"/>
  <c r="BA85" i="34"/>
  <c r="BA86" i="34"/>
  <c r="BA87" i="34"/>
  <c r="BA88" i="34"/>
  <c r="BA89" i="34"/>
  <c r="BA90" i="34"/>
  <c r="BA91" i="34"/>
  <c r="BA92" i="34"/>
  <c r="BA93" i="34"/>
  <c r="BA94" i="34"/>
  <c r="BA95" i="34"/>
  <c r="BA96" i="34"/>
  <c r="BA97" i="34"/>
  <c r="BA98" i="34"/>
  <c r="BA99" i="34"/>
  <c r="BA100" i="34"/>
  <c r="BA101" i="34"/>
  <c r="BA102" i="34"/>
  <c r="BA103" i="34"/>
  <c r="BA104" i="34"/>
  <c r="BA105" i="34"/>
  <c r="BA9" i="34"/>
  <c r="AY10" i="34"/>
  <c r="AY11" i="34"/>
  <c r="AY12" i="34"/>
  <c r="AY13" i="34"/>
  <c r="AY14" i="34"/>
  <c r="AY15" i="34"/>
  <c r="AY16" i="34"/>
  <c r="AY17" i="34"/>
  <c r="AY18" i="34"/>
  <c r="AY19" i="34"/>
  <c r="AY20" i="34"/>
  <c r="AY21" i="34"/>
  <c r="AY22" i="34"/>
  <c r="AY23" i="34"/>
  <c r="AY24" i="34"/>
  <c r="AY25" i="34"/>
  <c r="AY26" i="34"/>
  <c r="AY27" i="34"/>
  <c r="AY28" i="34"/>
  <c r="AY29" i="34"/>
  <c r="AY30" i="34"/>
  <c r="AY31" i="34"/>
  <c r="AY32" i="34"/>
  <c r="AY33" i="34"/>
  <c r="AY34" i="34"/>
  <c r="AY35" i="34"/>
  <c r="AY36" i="34"/>
  <c r="AY37" i="34"/>
  <c r="AY38" i="34"/>
  <c r="AY39" i="34"/>
  <c r="AY40" i="34"/>
  <c r="AY41" i="34"/>
  <c r="AY42" i="34"/>
  <c r="AY43" i="34"/>
  <c r="AY44" i="34"/>
  <c r="AY45" i="34"/>
  <c r="AY46" i="34"/>
  <c r="AY47" i="34"/>
  <c r="AY48" i="34"/>
  <c r="AY49" i="34"/>
  <c r="AY50" i="34"/>
  <c r="AY51" i="34"/>
  <c r="AY52" i="34"/>
  <c r="AY53" i="34"/>
  <c r="AY54" i="34"/>
  <c r="AY55" i="34"/>
  <c r="AY56" i="34"/>
  <c r="AY57" i="34"/>
  <c r="AY58" i="34"/>
  <c r="AY59" i="34"/>
  <c r="AY60" i="34"/>
  <c r="AY61" i="34"/>
  <c r="AY62" i="34"/>
  <c r="AY63" i="34"/>
  <c r="AY64" i="34"/>
  <c r="AY65" i="34"/>
  <c r="AY66" i="34"/>
  <c r="AY67" i="34"/>
  <c r="AY68" i="34"/>
  <c r="AY69" i="34"/>
  <c r="AY70" i="34"/>
  <c r="AY71" i="34"/>
  <c r="AY72" i="34"/>
  <c r="AY73" i="34"/>
  <c r="AY74" i="34"/>
  <c r="AY75" i="34"/>
  <c r="AY76" i="34"/>
  <c r="AY77" i="34"/>
  <c r="AY78" i="34"/>
  <c r="AY79" i="34"/>
  <c r="AY80" i="34"/>
  <c r="AY81" i="34"/>
  <c r="AY82" i="34"/>
  <c r="AY83" i="34"/>
  <c r="AY84" i="34"/>
  <c r="AY85" i="34"/>
  <c r="AY86" i="34"/>
  <c r="AY87" i="34"/>
  <c r="AY88" i="34"/>
  <c r="AY89" i="34"/>
  <c r="AY90" i="34"/>
  <c r="AY91" i="34"/>
  <c r="AY92" i="34"/>
  <c r="AY93" i="34"/>
  <c r="AY94" i="34"/>
  <c r="AY95" i="34"/>
  <c r="AY96" i="34"/>
  <c r="AY97" i="34"/>
  <c r="AY98" i="34"/>
  <c r="AY99" i="34"/>
  <c r="AY100" i="34"/>
  <c r="AY101" i="34"/>
  <c r="AY102" i="34"/>
  <c r="AY103" i="34"/>
  <c r="AY104" i="34"/>
  <c r="AY105" i="34"/>
  <c r="AY9" i="34"/>
  <c r="AX10" i="34"/>
  <c r="AX11" i="34"/>
  <c r="AX12" i="34"/>
  <c r="AX13" i="34"/>
  <c r="AX14" i="34"/>
  <c r="AX15" i="34"/>
  <c r="AX16" i="34"/>
  <c r="AX17" i="34"/>
  <c r="AX18" i="34"/>
  <c r="AX19" i="34"/>
  <c r="AX20" i="34"/>
  <c r="AX21" i="34"/>
  <c r="AX22" i="34"/>
  <c r="AX23" i="34"/>
  <c r="AX24" i="34"/>
  <c r="AX25" i="34"/>
  <c r="AX26" i="34"/>
  <c r="AX27" i="34"/>
  <c r="AX28" i="34"/>
  <c r="AX29" i="34"/>
  <c r="AX30" i="34"/>
  <c r="AX31" i="34"/>
  <c r="AX32" i="34"/>
  <c r="AX33" i="34"/>
  <c r="AX34" i="34"/>
  <c r="AX35" i="34"/>
  <c r="AX36" i="34"/>
  <c r="AX37" i="34"/>
  <c r="AX38" i="34"/>
  <c r="AX39" i="34"/>
  <c r="AX40" i="34"/>
  <c r="AX41" i="34"/>
  <c r="AX42" i="34"/>
  <c r="AX43" i="34"/>
  <c r="AX44" i="34"/>
  <c r="AX45" i="34"/>
  <c r="AX46" i="34"/>
  <c r="AX47" i="34"/>
  <c r="AX48" i="34"/>
  <c r="AX49" i="34"/>
  <c r="AX50" i="34"/>
  <c r="AX51" i="34"/>
  <c r="AX52" i="34"/>
  <c r="AX53" i="34"/>
  <c r="AX54" i="34"/>
  <c r="AX55" i="34"/>
  <c r="AX56" i="34"/>
  <c r="AX57" i="34"/>
  <c r="AX58" i="34"/>
  <c r="AX59" i="34"/>
  <c r="AX60" i="34"/>
  <c r="AX61" i="34"/>
  <c r="AX62" i="34"/>
  <c r="AX63" i="34"/>
  <c r="AX64" i="34"/>
  <c r="AX65" i="34"/>
  <c r="AX66" i="34"/>
  <c r="AX67" i="34"/>
  <c r="AX68" i="34"/>
  <c r="AX69" i="34"/>
  <c r="AX70" i="34"/>
  <c r="AX71" i="34"/>
  <c r="AX72" i="34"/>
  <c r="AX73" i="34"/>
  <c r="AX74" i="34"/>
  <c r="AX75" i="34"/>
  <c r="AX76" i="34"/>
  <c r="AX77" i="34"/>
  <c r="AX78" i="34"/>
  <c r="AX79" i="34"/>
  <c r="AX80" i="34"/>
  <c r="AX81" i="34"/>
  <c r="AX82" i="34"/>
  <c r="AX83" i="34"/>
  <c r="AX84" i="34"/>
  <c r="AX85" i="34"/>
  <c r="AX86" i="34"/>
  <c r="AX87" i="34"/>
  <c r="AX88" i="34"/>
  <c r="AX89" i="34"/>
  <c r="AX90" i="34"/>
  <c r="AX91" i="34"/>
  <c r="AX92" i="34"/>
  <c r="AX93" i="34"/>
  <c r="AX94" i="34"/>
  <c r="AX95" i="34"/>
  <c r="AX96" i="34"/>
  <c r="AX97" i="34"/>
  <c r="AX98" i="34"/>
  <c r="AX99" i="34"/>
  <c r="AX100" i="34"/>
  <c r="AX101" i="34"/>
  <c r="AX102" i="34"/>
  <c r="AX103" i="34"/>
  <c r="AX104" i="34"/>
  <c r="AX105" i="34"/>
  <c r="AX9" i="34"/>
  <c r="AV10" i="34"/>
  <c r="AV11" i="34"/>
  <c r="AV12" i="34"/>
  <c r="AV13" i="34"/>
  <c r="AV14" i="34"/>
  <c r="AV15" i="34"/>
  <c r="AV16" i="34"/>
  <c r="AV17" i="34"/>
  <c r="AV18" i="34"/>
  <c r="AV19" i="34"/>
  <c r="AV20" i="34"/>
  <c r="AV21" i="34"/>
  <c r="AV22" i="34"/>
  <c r="AV23" i="34"/>
  <c r="AV24" i="34"/>
  <c r="AV25" i="34"/>
  <c r="AV26" i="34"/>
  <c r="AV27" i="34"/>
  <c r="AV28" i="34"/>
  <c r="AV29" i="34"/>
  <c r="AV30" i="34"/>
  <c r="AV31" i="34"/>
  <c r="AV32" i="34"/>
  <c r="AV33" i="34"/>
  <c r="AV34" i="34"/>
  <c r="AV35" i="34"/>
  <c r="AV36" i="34"/>
  <c r="AV37" i="34"/>
  <c r="AV38" i="34"/>
  <c r="AV39" i="34"/>
  <c r="AV40" i="34"/>
  <c r="AV41" i="34"/>
  <c r="AV42" i="34"/>
  <c r="AV43" i="34"/>
  <c r="AV44" i="34"/>
  <c r="AV45" i="34"/>
  <c r="AV46" i="34"/>
  <c r="AV47" i="34"/>
  <c r="AV48" i="34"/>
  <c r="AV49" i="34"/>
  <c r="AV50" i="34"/>
  <c r="AV51" i="34"/>
  <c r="AV52" i="34"/>
  <c r="AV53" i="34"/>
  <c r="AV54" i="34"/>
  <c r="AV55" i="34"/>
  <c r="AV56" i="34"/>
  <c r="AV57" i="34"/>
  <c r="AV58" i="34"/>
  <c r="AV59" i="34"/>
  <c r="AV60" i="34"/>
  <c r="AV61" i="34"/>
  <c r="AV62" i="34"/>
  <c r="AV63" i="34"/>
  <c r="AV64" i="34"/>
  <c r="AV65" i="34"/>
  <c r="AV66" i="34"/>
  <c r="AV67" i="34"/>
  <c r="AV68" i="34"/>
  <c r="AV69" i="34"/>
  <c r="AV70" i="34"/>
  <c r="AV71" i="34"/>
  <c r="AV72" i="34"/>
  <c r="AV73" i="34"/>
  <c r="AV74" i="34"/>
  <c r="AV75" i="34"/>
  <c r="AV76" i="34"/>
  <c r="AV77" i="34"/>
  <c r="AV78" i="34"/>
  <c r="AV79" i="34"/>
  <c r="AV80" i="34"/>
  <c r="AV81" i="34"/>
  <c r="AV82" i="34"/>
  <c r="AV83" i="34"/>
  <c r="AV84" i="34"/>
  <c r="AV85" i="34"/>
  <c r="AV86" i="34"/>
  <c r="AV87" i="34"/>
  <c r="AV88" i="34"/>
  <c r="AV89" i="34"/>
  <c r="AV90" i="34"/>
  <c r="AV91" i="34"/>
  <c r="AV92" i="34"/>
  <c r="AV93" i="34"/>
  <c r="AV94" i="34"/>
  <c r="AV95" i="34"/>
  <c r="AV96" i="34"/>
  <c r="AV97" i="34"/>
  <c r="AV98" i="34"/>
  <c r="AV99" i="34"/>
  <c r="AV100" i="34"/>
  <c r="AV101" i="34"/>
  <c r="AV102" i="34"/>
  <c r="AV103" i="34"/>
  <c r="AV104" i="34"/>
  <c r="AV105" i="34"/>
  <c r="AV9" i="34"/>
  <c r="AU10" i="34"/>
  <c r="AU11" i="34"/>
  <c r="AU12" i="34"/>
  <c r="AU13" i="34"/>
  <c r="AU14" i="34"/>
  <c r="AU15" i="34"/>
  <c r="AU16" i="34"/>
  <c r="AU17" i="34"/>
  <c r="AU18" i="34"/>
  <c r="AU19" i="34"/>
  <c r="AU20" i="34"/>
  <c r="AU21" i="34"/>
  <c r="AU22" i="34"/>
  <c r="AU23" i="34"/>
  <c r="AU24" i="34"/>
  <c r="AU25" i="34"/>
  <c r="AU26" i="34"/>
  <c r="AU27" i="34"/>
  <c r="AU28" i="34"/>
  <c r="AU29" i="34"/>
  <c r="AU30" i="34"/>
  <c r="AU31" i="34"/>
  <c r="AU32" i="34"/>
  <c r="AU33" i="34"/>
  <c r="AU34" i="34"/>
  <c r="AU35" i="34"/>
  <c r="AU36" i="34"/>
  <c r="AU37" i="34"/>
  <c r="AU38" i="34"/>
  <c r="AU39" i="34"/>
  <c r="AU40" i="34"/>
  <c r="AU41" i="34"/>
  <c r="AU42" i="34"/>
  <c r="AU43" i="34"/>
  <c r="AU44" i="34"/>
  <c r="AU45" i="34"/>
  <c r="AU46" i="34"/>
  <c r="AU47" i="34"/>
  <c r="AU48" i="34"/>
  <c r="AU49" i="34"/>
  <c r="AU50" i="34"/>
  <c r="AU51" i="34"/>
  <c r="AU52" i="34"/>
  <c r="AU53" i="34"/>
  <c r="AU54" i="34"/>
  <c r="AU55" i="34"/>
  <c r="AU56" i="34"/>
  <c r="AU57" i="34"/>
  <c r="AU58" i="34"/>
  <c r="AU59" i="34"/>
  <c r="AU60" i="34"/>
  <c r="AU61" i="34"/>
  <c r="AU62" i="34"/>
  <c r="AU63" i="34"/>
  <c r="AU64" i="34"/>
  <c r="AU65" i="34"/>
  <c r="AU66" i="34"/>
  <c r="AU67" i="34"/>
  <c r="AU68" i="34"/>
  <c r="AU69" i="34"/>
  <c r="AU70" i="34"/>
  <c r="AU71" i="34"/>
  <c r="AU72" i="34"/>
  <c r="AU73" i="34"/>
  <c r="AU74" i="34"/>
  <c r="AU75" i="34"/>
  <c r="AU76" i="34"/>
  <c r="AU77" i="34"/>
  <c r="AU78" i="34"/>
  <c r="AU79" i="34"/>
  <c r="AU80" i="34"/>
  <c r="AU81" i="34"/>
  <c r="AU82" i="34"/>
  <c r="AU83" i="34"/>
  <c r="AU84" i="34"/>
  <c r="AU85" i="34"/>
  <c r="AU86" i="34"/>
  <c r="AU87" i="34"/>
  <c r="AU88" i="34"/>
  <c r="AU89" i="34"/>
  <c r="AU90" i="34"/>
  <c r="AU91" i="34"/>
  <c r="AU92" i="34"/>
  <c r="AU93" i="34"/>
  <c r="AU94" i="34"/>
  <c r="AU95" i="34"/>
  <c r="AU96" i="34"/>
  <c r="AU97" i="34"/>
  <c r="AU98" i="34"/>
  <c r="AU99" i="34"/>
  <c r="AU100" i="34"/>
  <c r="AU101" i="34"/>
  <c r="AU102" i="34"/>
  <c r="AU103" i="34"/>
  <c r="AU104" i="34"/>
  <c r="AU105" i="34"/>
  <c r="AU9" i="34"/>
  <c r="AS105" i="34"/>
  <c r="AS10" i="34"/>
  <c r="AS11" i="34"/>
  <c r="AS12" i="34"/>
  <c r="AS13" i="34"/>
  <c r="AS14" i="34"/>
  <c r="AS15" i="34"/>
  <c r="AS16" i="34"/>
  <c r="AS17" i="34"/>
  <c r="AS18" i="34"/>
  <c r="AS19" i="34"/>
  <c r="AS20" i="34"/>
  <c r="AS21" i="34"/>
  <c r="AS22" i="34"/>
  <c r="AS23" i="34"/>
  <c r="AS24" i="34"/>
  <c r="AS25" i="34"/>
  <c r="AS26" i="34"/>
  <c r="AS27" i="34"/>
  <c r="AS28" i="34"/>
  <c r="AS29" i="34"/>
  <c r="AS30" i="34"/>
  <c r="AS31" i="34"/>
  <c r="AS32" i="34"/>
  <c r="AS33" i="34"/>
  <c r="AS34" i="34"/>
  <c r="AS35" i="34"/>
  <c r="AS36" i="34"/>
  <c r="AS37" i="34"/>
  <c r="AS38" i="34"/>
  <c r="AS39" i="34"/>
  <c r="AS40" i="34"/>
  <c r="AS41" i="34"/>
  <c r="AS42" i="34"/>
  <c r="AS43" i="34"/>
  <c r="AS44" i="34"/>
  <c r="AS45" i="34"/>
  <c r="AS46" i="34"/>
  <c r="AS47" i="34"/>
  <c r="AS48" i="34"/>
  <c r="AS49" i="34"/>
  <c r="AS50" i="34"/>
  <c r="AS51" i="34"/>
  <c r="AS52" i="34"/>
  <c r="AS53" i="34"/>
  <c r="AS54" i="34"/>
  <c r="AS55" i="34"/>
  <c r="AS56" i="34"/>
  <c r="AS57" i="34"/>
  <c r="AS58" i="34"/>
  <c r="AS59" i="34"/>
  <c r="AS60" i="34"/>
  <c r="AS61" i="34"/>
  <c r="AS62" i="34"/>
  <c r="AS63" i="34"/>
  <c r="AS64" i="34"/>
  <c r="AS65" i="34"/>
  <c r="AS66" i="34"/>
  <c r="AS67" i="34"/>
  <c r="AS68" i="34"/>
  <c r="AS69" i="34"/>
  <c r="AS70" i="34"/>
  <c r="AS71" i="34"/>
  <c r="AS72" i="34"/>
  <c r="AS73" i="34"/>
  <c r="AS74" i="34"/>
  <c r="AS75" i="34"/>
  <c r="AS76" i="34"/>
  <c r="AS77" i="34"/>
  <c r="AS78" i="34"/>
  <c r="AS79" i="34"/>
  <c r="AS80" i="34"/>
  <c r="AS81" i="34"/>
  <c r="AS82" i="34"/>
  <c r="AS83" i="34"/>
  <c r="AS84" i="34"/>
  <c r="AS85" i="34"/>
  <c r="AS86" i="34"/>
  <c r="AS87" i="34"/>
  <c r="AS88" i="34"/>
  <c r="AS89" i="34"/>
  <c r="AS90" i="34"/>
  <c r="AS91" i="34"/>
  <c r="AS92" i="34"/>
  <c r="AS93" i="34"/>
  <c r="AS94" i="34"/>
  <c r="AS95" i="34"/>
  <c r="AS96" i="34"/>
  <c r="AS97" i="34"/>
  <c r="AS98" i="34"/>
  <c r="AS99" i="34"/>
  <c r="AS100" i="34"/>
  <c r="AS101" i="34"/>
  <c r="AS102" i="34"/>
  <c r="AS103" i="34"/>
  <c r="AS104" i="34"/>
  <c r="AS9" i="34"/>
  <c r="AR10" i="34"/>
  <c r="AR11" i="34"/>
  <c r="AR12" i="34"/>
  <c r="AR13" i="34"/>
  <c r="AR14" i="34"/>
  <c r="AR15" i="34"/>
  <c r="AR16" i="34"/>
  <c r="AR17" i="34"/>
  <c r="AR18" i="34"/>
  <c r="AR19" i="34"/>
  <c r="AR20" i="34"/>
  <c r="AR21" i="34"/>
  <c r="AR22" i="34"/>
  <c r="AR23" i="34"/>
  <c r="AR24" i="34"/>
  <c r="AR25" i="34"/>
  <c r="AR26" i="34"/>
  <c r="AR27" i="34"/>
  <c r="AR28" i="34"/>
  <c r="AR29" i="34"/>
  <c r="AR30" i="34"/>
  <c r="AR31" i="34"/>
  <c r="AR32" i="34"/>
  <c r="AR33" i="34"/>
  <c r="AR34" i="34"/>
  <c r="AR35" i="34"/>
  <c r="AR36" i="34"/>
  <c r="AR37" i="34"/>
  <c r="AR38" i="34"/>
  <c r="AR39" i="34"/>
  <c r="AR40" i="34"/>
  <c r="AR41" i="34"/>
  <c r="AR42" i="34"/>
  <c r="AR43" i="34"/>
  <c r="AR44" i="34"/>
  <c r="AR45" i="34"/>
  <c r="AR46" i="34"/>
  <c r="AR47" i="34"/>
  <c r="AR48" i="34"/>
  <c r="AR49" i="34"/>
  <c r="AR50" i="34"/>
  <c r="AR51" i="34"/>
  <c r="AR52" i="34"/>
  <c r="AR53" i="34"/>
  <c r="AR54" i="34"/>
  <c r="AR55" i="34"/>
  <c r="AR56" i="34"/>
  <c r="AR57" i="34"/>
  <c r="AR58" i="34"/>
  <c r="AR59" i="34"/>
  <c r="AR60" i="34"/>
  <c r="AR61" i="34"/>
  <c r="AR62" i="34"/>
  <c r="AR63" i="34"/>
  <c r="AR64" i="34"/>
  <c r="AR65" i="34"/>
  <c r="AR66" i="34"/>
  <c r="AR67" i="34"/>
  <c r="AR68" i="34"/>
  <c r="AR69" i="34"/>
  <c r="AR70" i="34"/>
  <c r="AR71" i="34"/>
  <c r="AR72" i="34"/>
  <c r="AR73" i="34"/>
  <c r="AR74" i="34"/>
  <c r="AR75" i="34"/>
  <c r="AR76" i="34"/>
  <c r="AR77" i="34"/>
  <c r="AR78" i="34"/>
  <c r="AR79" i="34"/>
  <c r="AR80" i="34"/>
  <c r="AR81" i="34"/>
  <c r="AR82" i="34"/>
  <c r="AR83" i="34"/>
  <c r="AR84" i="34"/>
  <c r="AR85" i="34"/>
  <c r="AR86" i="34"/>
  <c r="AR87" i="34"/>
  <c r="AR88" i="34"/>
  <c r="AR89" i="34"/>
  <c r="AR90" i="34"/>
  <c r="AR91" i="34"/>
  <c r="AR92" i="34"/>
  <c r="AR93" i="34"/>
  <c r="AR94" i="34"/>
  <c r="AR95" i="34"/>
  <c r="AR96" i="34"/>
  <c r="AR97" i="34"/>
  <c r="AR98" i="34"/>
  <c r="AR99" i="34"/>
  <c r="AR100" i="34"/>
  <c r="AR101" i="34"/>
  <c r="AR102" i="34"/>
  <c r="AR103" i="34"/>
  <c r="AR104" i="34"/>
  <c r="AR105" i="34"/>
  <c r="AR9" i="34"/>
  <c r="AP10" i="34"/>
  <c r="AP11" i="34"/>
  <c r="AP12" i="34"/>
  <c r="AP13" i="34"/>
  <c r="AP14" i="34"/>
  <c r="AP15" i="34"/>
  <c r="AP16" i="34"/>
  <c r="AP17" i="34"/>
  <c r="AP18" i="34"/>
  <c r="AP19" i="34"/>
  <c r="AP20" i="34"/>
  <c r="AP21" i="34"/>
  <c r="AP22" i="34"/>
  <c r="AP23" i="34"/>
  <c r="AP24" i="34"/>
  <c r="AP25" i="34"/>
  <c r="AP26" i="34"/>
  <c r="AP27" i="34"/>
  <c r="AP28" i="34"/>
  <c r="AP29" i="34"/>
  <c r="AP30" i="34"/>
  <c r="AP31" i="34"/>
  <c r="AP32" i="34"/>
  <c r="AP33" i="34"/>
  <c r="AP34" i="34"/>
  <c r="AP35" i="34"/>
  <c r="AP36" i="34"/>
  <c r="AP37" i="34"/>
  <c r="AP38" i="34"/>
  <c r="AP39" i="34"/>
  <c r="AP40" i="34"/>
  <c r="AP41" i="34"/>
  <c r="AP42" i="34"/>
  <c r="AP43" i="34"/>
  <c r="AP44" i="34"/>
  <c r="AP45" i="34"/>
  <c r="AP46" i="34"/>
  <c r="AP47" i="34"/>
  <c r="AP48" i="34"/>
  <c r="AP49" i="34"/>
  <c r="AP50" i="34"/>
  <c r="AP51" i="34"/>
  <c r="AP52" i="34"/>
  <c r="AP53" i="34"/>
  <c r="AP54" i="34"/>
  <c r="AP55" i="34"/>
  <c r="AP56" i="34"/>
  <c r="AP57" i="34"/>
  <c r="AP58" i="34"/>
  <c r="AP59" i="34"/>
  <c r="AP60" i="34"/>
  <c r="AP61" i="34"/>
  <c r="AP62" i="34"/>
  <c r="AP63" i="34"/>
  <c r="AP64" i="34"/>
  <c r="AP65" i="34"/>
  <c r="AP66" i="34"/>
  <c r="AP67" i="34"/>
  <c r="AP68" i="34"/>
  <c r="AP69" i="34"/>
  <c r="AP70" i="34"/>
  <c r="AP71" i="34"/>
  <c r="AP72" i="34"/>
  <c r="AP73" i="34"/>
  <c r="AP74" i="34"/>
  <c r="AP75" i="34"/>
  <c r="AP76" i="34"/>
  <c r="AP77" i="34"/>
  <c r="AP78" i="34"/>
  <c r="AP79" i="34"/>
  <c r="AP80" i="34"/>
  <c r="AP81" i="34"/>
  <c r="AP82" i="34"/>
  <c r="AP83" i="34"/>
  <c r="AP84" i="34"/>
  <c r="AP85" i="34"/>
  <c r="AP86" i="34"/>
  <c r="AP87" i="34"/>
  <c r="AP88" i="34"/>
  <c r="AP89" i="34"/>
  <c r="AP90" i="34"/>
  <c r="AP91" i="34"/>
  <c r="AP92" i="34"/>
  <c r="AP93" i="34"/>
  <c r="AP94" i="34"/>
  <c r="AP95" i="34"/>
  <c r="AP96" i="34"/>
  <c r="AP97" i="34"/>
  <c r="AP98" i="34"/>
  <c r="AP99" i="34"/>
  <c r="AP100" i="34"/>
  <c r="AP101" i="34"/>
  <c r="AP102" i="34"/>
  <c r="AP103" i="34"/>
  <c r="AP104" i="34"/>
  <c r="AP105" i="34"/>
  <c r="AP9" i="34"/>
  <c r="AO10" i="34"/>
  <c r="AO11" i="34"/>
  <c r="AO12" i="34"/>
  <c r="AO13" i="34"/>
  <c r="AO14" i="34"/>
  <c r="AO15" i="34"/>
  <c r="AO16" i="34"/>
  <c r="AO17" i="34"/>
  <c r="AO18" i="34"/>
  <c r="AO19" i="34"/>
  <c r="AO20" i="34"/>
  <c r="AO21" i="34"/>
  <c r="AO22" i="34"/>
  <c r="AO23" i="34"/>
  <c r="AO24" i="34"/>
  <c r="AO25" i="34"/>
  <c r="AO26" i="34"/>
  <c r="AO27" i="34"/>
  <c r="AO28" i="34"/>
  <c r="AO29" i="34"/>
  <c r="AO30" i="34"/>
  <c r="AO31" i="34"/>
  <c r="AO32" i="34"/>
  <c r="AO33" i="34"/>
  <c r="AO34" i="34"/>
  <c r="AO35" i="34"/>
  <c r="AO36" i="34"/>
  <c r="AO37" i="34"/>
  <c r="AO38" i="34"/>
  <c r="AO39" i="34"/>
  <c r="AO40" i="34"/>
  <c r="AO41" i="34"/>
  <c r="AO42" i="34"/>
  <c r="AO43" i="34"/>
  <c r="AO44" i="34"/>
  <c r="AO45" i="34"/>
  <c r="AO46" i="34"/>
  <c r="AO47" i="34"/>
  <c r="AO48" i="34"/>
  <c r="AO49" i="34"/>
  <c r="AO50" i="34"/>
  <c r="AO51" i="34"/>
  <c r="AO52" i="34"/>
  <c r="AO53" i="34"/>
  <c r="AO54" i="34"/>
  <c r="AO55" i="34"/>
  <c r="AO56" i="34"/>
  <c r="AO57" i="34"/>
  <c r="AO58" i="34"/>
  <c r="AO59" i="34"/>
  <c r="AO60" i="34"/>
  <c r="AO61" i="34"/>
  <c r="AO62" i="34"/>
  <c r="AO63" i="34"/>
  <c r="AO64" i="34"/>
  <c r="AO65" i="34"/>
  <c r="AO66" i="34"/>
  <c r="AO67" i="34"/>
  <c r="AO68" i="34"/>
  <c r="AO69" i="34"/>
  <c r="AO70" i="34"/>
  <c r="AO71" i="34"/>
  <c r="AO72" i="34"/>
  <c r="AO73" i="34"/>
  <c r="AO74" i="34"/>
  <c r="AO75" i="34"/>
  <c r="AO76" i="34"/>
  <c r="AO77" i="34"/>
  <c r="AO78" i="34"/>
  <c r="AO79" i="34"/>
  <c r="AO80" i="34"/>
  <c r="AO81" i="34"/>
  <c r="AO82" i="34"/>
  <c r="AO83" i="34"/>
  <c r="AO84" i="34"/>
  <c r="AO85" i="34"/>
  <c r="AO86" i="34"/>
  <c r="AO87" i="34"/>
  <c r="AO88" i="34"/>
  <c r="AO89" i="34"/>
  <c r="AO90" i="34"/>
  <c r="AO91" i="34"/>
  <c r="AO92" i="34"/>
  <c r="AO93" i="34"/>
  <c r="AO94" i="34"/>
  <c r="AO95" i="34"/>
  <c r="AO96" i="34"/>
  <c r="AO97" i="34"/>
  <c r="AO98" i="34"/>
  <c r="AO99" i="34"/>
  <c r="AO100" i="34"/>
  <c r="AO101" i="34"/>
  <c r="AO102" i="34"/>
  <c r="AO103" i="34"/>
  <c r="AO104" i="34"/>
  <c r="AO105" i="34"/>
  <c r="AO9" i="34"/>
  <c r="AM105" i="34"/>
  <c r="AM10" i="34"/>
  <c r="AM11" i="34"/>
  <c r="AM12" i="34"/>
  <c r="AM13" i="34"/>
  <c r="AM14" i="34"/>
  <c r="AM15" i="34"/>
  <c r="AM16" i="34"/>
  <c r="AM17" i="34"/>
  <c r="AM18" i="34"/>
  <c r="AM19" i="34"/>
  <c r="AM20" i="34"/>
  <c r="AM21" i="34"/>
  <c r="AM22" i="34"/>
  <c r="AM23" i="34"/>
  <c r="AM24" i="34"/>
  <c r="AM25" i="34"/>
  <c r="AM26" i="34"/>
  <c r="AM27" i="34"/>
  <c r="AM28" i="34"/>
  <c r="AM29" i="34"/>
  <c r="AM30" i="34"/>
  <c r="AM31" i="34"/>
  <c r="AM32" i="34"/>
  <c r="AM33" i="34"/>
  <c r="AM34" i="34"/>
  <c r="AM35" i="34"/>
  <c r="AM36" i="34"/>
  <c r="AM37" i="34"/>
  <c r="AM38" i="34"/>
  <c r="AM39" i="34"/>
  <c r="AM40" i="34"/>
  <c r="AM41" i="34"/>
  <c r="AM42" i="34"/>
  <c r="AM43" i="34"/>
  <c r="AM44" i="34"/>
  <c r="AM45" i="34"/>
  <c r="AM46" i="34"/>
  <c r="AM47" i="34"/>
  <c r="AM48" i="34"/>
  <c r="AM49" i="34"/>
  <c r="AM50" i="34"/>
  <c r="AM51" i="34"/>
  <c r="AM52" i="34"/>
  <c r="AM53" i="34"/>
  <c r="AM54" i="34"/>
  <c r="AM55" i="34"/>
  <c r="AM56" i="34"/>
  <c r="AM57" i="34"/>
  <c r="AM58" i="34"/>
  <c r="AM59" i="34"/>
  <c r="AM60" i="34"/>
  <c r="AM61" i="34"/>
  <c r="AM62" i="34"/>
  <c r="AM63" i="34"/>
  <c r="AM64" i="34"/>
  <c r="AM65" i="34"/>
  <c r="AM66" i="34"/>
  <c r="AM67" i="34"/>
  <c r="AM68" i="34"/>
  <c r="AM69" i="34"/>
  <c r="AM70" i="34"/>
  <c r="AM71" i="34"/>
  <c r="AM72" i="34"/>
  <c r="AM73" i="34"/>
  <c r="AM74" i="34"/>
  <c r="AM75" i="34"/>
  <c r="AM76" i="34"/>
  <c r="AM77" i="34"/>
  <c r="AM78" i="34"/>
  <c r="AM79" i="34"/>
  <c r="AM80" i="34"/>
  <c r="AM81" i="34"/>
  <c r="AM82" i="34"/>
  <c r="AM83" i="34"/>
  <c r="AM84" i="34"/>
  <c r="AM85" i="34"/>
  <c r="AM86" i="34"/>
  <c r="AM87" i="34"/>
  <c r="AM88" i="34"/>
  <c r="AM89" i="34"/>
  <c r="AM90" i="34"/>
  <c r="AM91" i="34"/>
  <c r="AM92" i="34"/>
  <c r="AM93" i="34"/>
  <c r="AM94" i="34"/>
  <c r="AM95" i="34"/>
  <c r="AM96" i="34"/>
  <c r="AM97" i="34"/>
  <c r="AM98" i="34"/>
  <c r="AM99" i="34"/>
  <c r="AM100" i="34"/>
  <c r="AM101" i="34"/>
  <c r="AM102" i="34"/>
  <c r="AM103" i="34"/>
  <c r="AM104" i="34"/>
  <c r="AM9" i="34"/>
  <c r="AL10" i="34"/>
  <c r="AL11" i="34"/>
  <c r="AL12" i="34"/>
  <c r="AL13" i="34"/>
  <c r="AL14" i="34"/>
  <c r="AL15" i="34"/>
  <c r="AL16" i="34"/>
  <c r="AL17" i="34"/>
  <c r="AL18" i="34"/>
  <c r="AL19" i="34"/>
  <c r="AL20" i="34"/>
  <c r="AL21" i="34"/>
  <c r="AL22" i="34"/>
  <c r="AL23" i="34"/>
  <c r="AL24" i="34"/>
  <c r="AL25" i="34"/>
  <c r="AL26" i="34"/>
  <c r="AL27" i="34"/>
  <c r="AL28" i="34"/>
  <c r="AL29" i="34"/>
  <c r="AL30" i="34"/>
  <c r="AL31" i="34"/>
  <c r="AL32" i="34"/>
  <c r="AL33" i="34"/>
  <c r="AL34" i="34"/>
  <c r="AL35" i="34"/>
  <c r="AL36" i="34"/>
  <c r="AL37" i="34"/>
  <c r="AL38" i="34"/>
  <c r="AL39" i="34"/>
  <c r="AL40" i="34"/>
  <c r="AL41" i="34"/>
  <c r="AL42" i="34"/>
  <c r="AL43" i="34"/>
  <c r="AL44" i="34"/>
  <c r="AL45" i="34"/>
  <c r="AL46" i="34"/>
  <c r="AL47" i="34"/>
  <c r="AL48" i="34"/>
  <c r="AL49" i="34"/>
  <c r="AL50" i="34"/>
  <c r="AL51" i="34"/>
  <c r="AL52" i="34"/>
  <c r="AL53" i="34"/>
  <c r="AL54" i="34"/>
  <c r="AL55" i="34"/>
  <c r="AL56" i="34"/>
  <c r="AL57" i="34"/>
  <c r="AL58" i="34"/>
  <c r="AL59" i="34"/>
  <c r="AL60" i="34"/>
  <c r="AL61" i="34"/>
  <c r="AL62" i="34"/>
  <c r="AL63" i="34"/>
  <c r="AL64" i="34"/>
  <c r="AL65" i="34"/>
  <c r="AL66" i="34"/>
  <c r="AL67" i="34"/>
  <c r="AL68" i="34"/>
  <c r="AL69" i="34"/>
  <c r="AL70" i="34"/>
  <c r="AL71" i="34"/>
  <c r="AL72" i="34"/>
  <c r="AL73" i="34"/>
  <c r="AL74" i="34"/>
  <c r="AL75" i="34"/>
  <c r="AL76" i="34"/>
  <c r="AL77" i="34"/>
  <c r="AL78" i="34"/>
  <c r="AL79" i="34"/>
  <c r="AL80" i="34"/>
  <c r="AL81" i="34"/>
  <c r="AL82" i="34"/>
  <c r="AL83" i="34"/>
  <c r="AL84" i="34"/>
  <c r="AL85" i="34"/>
  <c r="AL86" i="34"/>
  <c r="AL87" i="34"/>
  <c r="AL88" i="34"/>
  <c r="AL89" i="34"/>
  <c r="AL90" i="34"/>
  <c r="AL91" i="34"/>
  <c r="AL92" i="34"/>
  <c r="AL93" i="34"/>
  <c r="AL94" i="34"/>
  <c r="AL95" i="34"/>
  <c r="AL96" i="34"/>
  <c r="AL97" i="34"/>
  <c r="AL98" i="34"/>
  <c r="AL99" i="34"/>
  <c r="AL100" i="34"/>
  <c r="AL101" i="34"/>
  <c r="AL102" i="34"/>
  <c r="AL103" i="34"/>
  <c r="AL104" i="34"/>
  <c r="AL105" i="34"/>
  <c r="AL9" i="34"/>
  <c r="AJ10" i="34"/>
  <c r="AJ11" i="34"/>
  <c r="AJ12" i="34"/>
  <c r="AJ13" i="34"/>
  <c r="AJ14" i="34"/>
  <c r="AJ15" i="34"/>
  <c r="AJ16" i="34"/>
  <c r="AJ17" i="34"/>
  <c r="AJ18" i="34"/>
  <c r="AJ19" i="34"/>
  <c r="AJ20" i="34"/>
  <c r="AJ21" i="34"/>
  <c r="AJ22" i="34"/>
  <c r="AJ23" i="34"/>
  <c r="AJ24" i="34"/>
  <c r="AJ25" i="34"/>
  <c r="AJ26" i="34"/>
  <c r="AJ27" i="34"/>
  <c r="AJ28" i="34"/>
  <c r="AJ29" i="34"/>
  <c r="AJ30" i="34"/>
  <c r="AJ31" i="34"/>
  <c r="AJ32" i="34"/>
  <c r="AJ33" i="34"/>
  <c r="AJ34" i="34"/>
  <c r="AJ35" i="34"/>
  <c r="AJ36" i="34"/>
  <c r="AJ37" i="34"/>
  <c r="AJ38" i="34"/>
  <c r="AJ39" i="34"/>
  <c r="AJ40" i="34"/>
  <c r="AJ41" i="34"/>
  <c r="AJ42" i="34"/>
  <c r="AJ43" i="34"/>
  <c r="AJ44" i="34"/>
  <c r="AJ45" i="34"/>
  <c r="AJ46" i="34"/>
  <c r="AJ47" i="34"/>
  <c r="AJ48" i="34"/>
  <c r="AJ49" i="34"/>
  <c r="AJ50" i="34"/>
  <c r="AJ51" i="34"/>
  <c r="AJ52" i="34"/>
  <c r="AJ53" i="34"/>
  <c r="AJ54" i="34"/>
  <c r="AJ55" i="34"/>
  <c r="AJ56" i="34"/>
  <c r="AJ57" i="34"/>
  <c r="AJ58" i="34"/>
  <c r="AJ59" i="34"/>
  <c r="AJ60" i="34"/>
  <c r="AJ61" i="34"/>
  <c r="AJ62" i="34"/>
  <c r="AJ63" i="34"/>
  <c r="AJ64" i="34"/>
  <c r="AJ65" i="34"/>
  <c r="AJ66" i="34"/>
  <c r="AJ67" i="34"/>
  <c r="AJ68" i="34"/>
  <c r="AJ69" i="34"/>
  <c r="AJ70" i="34"/>
  <c r="AJ71" i="34"/>
  <c r="AJ72" i="34"/>
  <c r="AJ73" i="34"/>
  <c r="AJ74" i="34"/>
  <c r="AJ75" i="34"/>
  <c r="AJ76" i="34"/>
  <c r="AJ77" i="34"/>
  <c r="AJ78" i="34"/>
  <c r="AJ79" i="34"/>
  <c r="AJ80" i="34"/>
  <c r="AJ81" i="34"/>
  <c r="AJ82" i="34"/>
  <c r="AJ83" i="34"/>
  <c r="AJ84" i="34"/>
  <c r="AJ85" i="34"/>
  <c r="AJ86" i="34"/>
  <c r="AJ87" i="34"/>
  <c r="AJ88" i="34"/>
  <c r="AJ89" i="34"/>
  <c r="AJ90" i="34"/>
  <c r="AJ91" i="34"/>
  <c r="AJ92" i="34"/>
  <c r="AJ93" i="34"/>
  <c r="AJ94" i="34"/>
  <c r="AJ95" i="34"/>
  <c r="AJ96" i="34"/>
  <c r="AJ97" i="34"/>
  <c r="AJ98" i="34"/>
  <c r="AJ99" i="34"/>
  <c r="AJ100" i="34"/>
  <c r="AJ101" i="34"/>
  <c r="AJ102" i="34"/>
  <c r="AJ103" i="34"/>
  <c r="AJ104" i="34"/>
  <c r="AJ105" i="34"/>
  <c r="AJ9" i="34"/>
  <c r="AI10" i="34"/>
  <c r="AI11" i="34"/>
  <c r="AI12" i="34"/>
  <c r="AI13" i="34"/>
  <c r="AI14" i="34"/>
  <c r="AI15" i="34"/>
  <c r="AI16" i="34"/>
  <c r="AI17" i="34"/>
  <c r="AI18" i="34"/>
  <c r="AI19" i="34"/>
  <c r="AI20" i="34"/>
  <c r="AI21" i="34"/>
  <c r="AI22" i="34"/>
  <c r="AI23" i="34"/>
  <c r="AI24" i="34"/>
  <c r="AI25" i="34"/>
  <c r="AI26" i="34"/>
  <c r="AI27" i="34"/>
  <c r="AI28" i="34"/>
  <c r="AI29" i="34"/>
  <c r="AI30" i="34"/>
  <c r="AI31" i="34"/>
  <c r="AI32" i="34"/>
  <c r="AI33" i="34"/>
  <c r="AI34" i="34"/>
  <c r="AI35" i="34"/>
  <c r="AI36" i="34"/>
  <c r="AI37" i="34"/>
  <c r="AI38" i="34"/>
  <c r="AI39" i="34"/>
  <c r="AI40" i="34"/>
  <c r="AI41" i="34"/>
  <c r="AI42" i="34"/>
  <c r="AI43" i="34"/>
  <c r="AI44" i="34"/>
  <c r="AI45" i="34"/>
  <c r="AI46" i="34"/>
  <c r="AI47" i="34"/>
  <c r="AI48" i="34"/>
  <c r="AI49" i="34"/>
  <c r="AI50" i="34"/>
  <c r="AI51" i="34"/>
  <c r="AI52" i="34"/>
  <c r="AI53" i="34"/>
  <c r="AI54" i="34"/>
  <c r="AI55" i="34"/>
  <c r="AI56" i="34"/>
  <c r="AI57" i="34"/>
  <c r="AI58" i="34"/>
  <c r="AI59" i="34"/>
  <c r="AI60" i="34"/>
  <c r="AI61" i="34"/>
  <c r="AI62" i="34"/>
  <c r="AI63" i="34"/>
  <c r="AI64" i="34"/>
  <c r="AI65" i="34"/>
  <c r="AI66" i="34"/>
  <c r="AI67" i="34"/>
  <c r="AI68" i="34"/>
  <c r="AI69" i="34"/>
  <c r="AI70" i="34"/>
  <c r="AI71" i="34"/>
  <c r="AI72" i="34"/>
  <c r="AI73" i="34"/>
  <c r="AI74" i="34"/>
  <c r="AI75" i="34"/>
  <c r="AI76" i="34"/>
  <c r="AI77" i="34"/>
  <c r="AI78" i="34"/>
  <c r="AI79" i="34"/>
  <c r="AI80" i="34"/>
  <c r="AI81" i="34"/>
  <c r="AI82" i="34"/>
  <c r="AI83" i="34"/>
  <c r="AI84" i="34"/>
  <c r="AI85" i="34"/>
  <c r="AI86" i="34"/>
  <c r="AI87" i="34"/>
  <c r="AI88" i="34"/>
  <c r="AI89" i="34"/>
  <c r="AI90" i="34"/>
  <c r="AI91" i="34"/>
  <c r="AI92" i="34"/>
  <c r="AI93" i="34"/>
  <c r="AI94" i="34"/>
  <c r="AI95" i="34"/>
  <c r="AI96" i="34"/>
  <c r="AI97" i="34"/>
  <c r="AI98" i="34"/>
  <c r="AI99" i="34"/>
  <c r="AI100" i="34"/>
  <c r="AI101" i="34"/>
  <c r="AI102" i="34"/>
  <c r="AI103" i="34"/>
  <c r="AI104" i="34"/>
  <c r="AI105" i="34"/>
  <c r="AI9" i="34"/>
  <c r="AG10" i="34"/>
  <c r="AG11" i="34"/>
  <c r="AG12" i="34"/>
  <c r="AG13" i="34"/>
  <c r="AG14" i="34"/>
  <c r="AG15" i="34"/>
  <c r="AG16" i="34"/>
  <c r="AG17" i="34"/>
  <c r="AG18" i="34"/>
  <c r="AG19" i="34"/>
  <c r="AG20" i="34"/>
  <c r="AG21" i="34"/>
  <c r="AG22" i="34"/>
  <c r="AG23" i="34"/>
  <c r="AG24" i="34"/>
  <c r="AG25" i="34"/>
  <c r="AG26" i="34"/>
  <c r="AG27" i="34"/>
  <c r="AG28" i="34"/>
  <c r="AG29" i="34"/>
  <c r="AG30" i="34"/>
  <c r="AG31" i="34"/>
  <c r="AG32" i="34"/>
  <c r="AG33" i="34"/>
  <c r="AG34" i="34"/>
  <c r="AG35" i="34"/>
  <c r="AG36" i="34"/>
  <c r="AG37" i="34"/>
  <c r="AG38" i="34"/>
  <c r="AG39" i="34"/>
  <c r="AG40" i="34"/>
  <c r="AG41" i="34"/>
  <c r="AG42" i="34"/>
  <c r="AG43" i="34"/>
  <c r="AG44" i="34"/>
  <c r="AG45" i="34"/>
  <c r="AG46" i="34"/>
  <c r="AG47" i="34"/>
  <c r="AG48" i="34"/>
  <c r="AG49" i="34"/>
  <c r="AG50" i="34"/>
  <c r="AG51" i="34"/>
  <c r="AG52" i="34"/>
  <c r="AG53" i="34"/>
  <c r="AG54" i="34"/>
  <c r="AG55" i="34"/>
  <c r="AG56" i="34"/>
  <c r="AG57" i="34"/>
  <c r="AG58" i="34"/>
  <c r="AG59" i="34"/>
  <c r="AG60" i="34"/>
  <c r="AG61" i="34"/>
  <c r="AG62" i="34"/>
  <c r="AG63" i="34"/>
  <c r="AG64" i="34"/>
  <c r="AG65" i="34"/>
  <c r="AG66" i="34"/>
  <c r="AG67" i="34"/>
  <c r="AG68" i="34"/>
  <c r="AG69" i="34"/>
  <c r="AG70" i="34"/>
  <c r="AG71" i="34"/>
  <c r="AG72" i="34"/>
  <c r="AG73" i="34"/>
  <c r="AG74" i="34"/>
  <c r="AG75" i="34"/>
  <c r="AG76" i="34"/>
  <c r="AG77" i="34"/>
  <c r="AG78" i="34"/>
  <c r="AG79" i="34"/>
  <c r="AG80" i="34"/>
  <c r="AG81" i="34"/>
  <c r="AG82" i="34"/>
  <c r="AG83" i="34"/>
  <c r="AG84" i="34"/>
  <c r="AG85" i="34"/>
  <c r="AG86" i="34"/>
  <c r="AG87" i="34"/>
  <c r="AG88" i="34"/>
  <c r="AG89" i="34"/>
  <c r="AG90" i="34"/>
  <c r="AG91" i="34"/>
  <c r="AG92" i="34"/>
  <c r="AG93" i="34"/>
  <c r="AG94" i="34"/>
  <c r="AG95" i="34"/>
  <c r="AG96" i="34"/>
  <c r="AG97" i="34"/>
  <c r="AG98" i="34"/>
  <c r="AG99" i="34"/>
  <c r="AG100" i="34"/>
  <c r="AG101" i="34"/>
  <c r="AG102" i="34"/>
  <c r="AG103" i="34"/>
  <c r="AG104" i="34"/>
  <c r="AG105" i="34"/>
  <c r="AG9" i="34"/>
  <c r="AF10" i="34"/>
  <c r="AF11" i="34"/>
  <c r="AF12" i="34"/>
  <c r="AF13" i="34"/>
  <c r="AF14" i="34"/>
  <c r="AF15" i="34"/>
  <c r="AF16" i="34"/>
  <c r="AF17" i="34"/>
  <c r="AF18" i="34"/>
  <c r="AF19" i="34"/>
  <c r="AF20" i="34"/>
  <c r="AF21" i="34"/>
  <c r="AF22" i="34"/>
  <c r="AF23" i="34"/>
  <c r="AF24" i="34"/>
  <c r="AF25" i="34"/>
  <c r="AF26" i="34"/>
  <c r="AF27" i="34"/>
  <c r="AF28" i="34"/>
  <c r="AF29" i="34"/>
  <c r="AF30" i="34"/>
  <c r="AF31" i="34"/>
  <c r="AF32" i="34"/>
  <c r="AF33" i="34"/>
  <c r="AF34" i="34"/>
  <c r="AF35" i="34"/>
  <c r="AF36" i="34"/>
  <c r="AF37" i="34"/>
  <c r="AF38" i="34"/>
  <c r="AF39" i="34"/>
  <c r="AF40" i="34"/>
  <c r="AF41" i="34"/>
  <c r="AF42" i="34"/>
  <c r="AF43" i="34"/>
  <c r="AF44" i="34"/>
  <c r="AF45" i="34"/>
  <c r="AF46" i="34"/>
  <c r="AF47" i="34"/>
  <c r="AF48" i="34"/>
  <c r="AF49" i="34"/>
  <c r="AF50" i="34"/>
  <c r="AF51" i="34"/>
  <c r="AF52" i="34"/>
  <c r="AF53" i="34"/>
  <c r="AF54" i="34"/>
  <c r="AF55" i="34"/>
  <c r="AF56" i="34"/>
  <c r="AF57" i="34"/>
  <c r="AF58" i="34"/>
  <c r="AF59" i="34"/>
  <c r="AF60" i="34"/>
  <c r="AF61" i="34"/>
  <c r="AF62" i="34"/>
  <c r="AF63" i="34"/>
  <c r="AF64" i="34"/>
  <c r="AF65" i="34"/>
  <c r="AF66" i="34"/>
  <c r="AF67" i="34"/>
  <c r="AF68" i="34"/>
  <c r="AF69" i="34"/>
  <c r="AF70" i="34"/>
  <c r="AF71" i="34"/>
  <c r="AF72" i="34"/>
  <c r="AF73" i="34"/>
  <c r="AF74" i="34"/>
  <c r="AF75" i="34"/>
  <c r="AF76" i="34"/>
  <c r="AF77" i="34"/>
  <c r="AF78" i="34"/>
  <c r="AF79" i="34"/>
  <c r="AF80" i="34"/>
  <c r="AF81" i="34"/>
  <c r="AF82" i="34"/>
  <c r="AF83" i="34"/>
  <c r="AF84" i="34"/>
  <c r="AF85" i="34"/>
  <c r="AF86" i="34"/>
  <c r="AF87" i="34"/>
  <c r="AF88" i="34"/>
  <c r="AF89" i="34"/>
  <c r="AF90" i="34"/>
  <c r="AF91" i="34"/>
  <c r="AF92" i="34"/>
  <c r="AF93" i="34"/>
  <c r="AF94" i="34"/>
  <c r="AF95" i="34"/>
  <c r="AF96" i="34"/>
  <c r="AF97" i="34"/>
  <c r="AF98" i="34"/>
  <c r="AF99" i="34"/>
  <c r="AF100" i="34"/>
  <c r="AF101" i="34"/>
  <c r="AF102" i="34"/>
  <c r="AF103" i="34"/>
  <c r="AF104" i="34"/>
  <c r="AF105" i="34"/>
  <c r="AF9" i="34"/>
  <c r="AD10" i="34"/>
  <c r="AD11" i="34"/>
  <c r="AD12" i="34"/>
  <c r="AD13" i="34"/>
  <c r="AD14" i="34"/>
  <c r="AD15" i="34"/>
  <c r="AD16" i="34"/>
  <c r="AD17" i="34"/>
  <c r="AD18" i="34"/>
  <c r="AD19" i="34"/>
  <c r="AD20" i="34"/>
  <c r="AD21" i="34"/>
  <c r="AD22" i="34"/>
  <c r="AD23" i="34"/>
  <c r="AD24" i="34"/>
  <c r="AD25" i="34"/>
  <c r="AD26" i="34"/>
  <c r="AD27" i="34"/>
  <c r="AD28" i="34"/>
  <c r="AD29" i="34"/>
  <c r="AD30" i="34"/>
  <c r="AD31" i="34"/>
  <c r="AD32" i="34"/>
  <c r="AD33" i="34"/>
  <c r="AD34" i="34"/>
  <c r="AD35" i="34"/>
  <c r="AD36" i="34"/>
  <c r="AD37" i="34"/>
  <c r="AD38" i="34"/>
  <c r="AD39" i="34"/>
  <c r="AD40" i="34"/>
  <c r="AD41" i="34"/>
  <c r="AD42" i="34"/>
  <c r="AD43" i="34"/>
  <c r="AD44" i="34"/>
  <c r="AD45" i="34"/>
  <c r="AD46" i="34"/>
  <c r="AD47" i="34"/>
  <c r="AD48" i="34"/>
  <c r="AD49" i="34"/>
  <c r="AD50" i="34"/>
  <c r="AD51" i="34"/>
  <c r="AD52" i="34"/>
  <c r="AD53" i="34"/>
  <c r="AD54" i="34"/>
  <c r="AD55" i="34"/>
  <c r="AD56" i="34"/>
  <c r="AD57" i="34"/>
  <c r="AD58" i="34"/>
  <c r="AD59" i="34"/>
  <c r="AD60" i="34"/>
  <c r="AD61" i="34"/>
  <c r="AD62" i="34"/>
  <c r="AD63" i="34"/>
  <c r="AD64" i="34"/>
  <c r="AD65" i="34"/>
  <c r="AD66" i="34"/>
  <c r="AD67" i="34"/>
  <c r="AD68" i="34"/>
  <c r="AD69" i="34"/>
  <c r="AD70" i="34"/>
  <c r="AD71" i="34"/>
  <c r="AD72" i="34"/>
  <c r="AD73" i="34"/>
  <c r="AD74" i="34"/>
  <c r="AD75" i="34"/>
  <c r="AD76" i="34"/>
  <c r="AD77" i="34"/>
  <c r="AD78" i="34"/>
  <c r="AD79" i="34"/>
  <c r="AD80" i="34"/>
  <c r="AD81" i="34"/>
  <c r="AD82" i="34"/>
  <c r="AD83" i="34"/>
  <c r="AD84" i="34"/>
  <c r="AD85" i="34"/>
  <c r="AD86" i="34"/>
  <c r="AD87" i="34"/>
  <c r="AD88" i="34"/>
  <c r="AD89" i="34"/>
  <c r="AD90" i="34"/>
  <c r="AD91" i="34"/>
  <c r="AD92" i="34"/>
  <c r="AD93" i="34"/>
  <c r="AD94" i="34"/>
  <c r="AD95" i="34"/>
  <c r="AD96" i="34"/>
  <c r="AD97" i="34"/>
  <c r="AD98" i="34"/>
  <c r="AD99" i="34"/>
  <c r="AD100" i="34"/>
  <c r="AD101" i="34"/>
  <c r="AD102" i="34"/>
  <c r="AD103" i="34"/>
  <c r="AD104" i="34"/>
  <c r="AD105" i="34"/>
  <c r="AD9" i="34"/>
  <c r="AC10" i="34"/>
  <c r="AC11" i="34"/>
  <c r="AC12" i="34"/>
  <c r="AC13" i="34"/>
  <c r="AC14" i="34"/>
  <c r="AC15" i="34"/>
  <c r="AC16" i="34"/>
  <c r="AC17" i="34"/>
  <c r="AC18" i="34"/>
  <c r="AC19" i="34"/>
  <c r="AC20" i="34"/>
  <c r="AC21" i="34"/>
  <c r="AC22" i="34"/>
  <c r="AC23" i="34"/>
  <c r="AC24" i="34"/>
  <c r="AC25" i="34"/>
  <c r="AC26" i="34"/>
  <c r="AC27" i="34"/>
  <c r="AC28" i="34"/>
  <c r="AC29" i="34"/>
  <c r="AC30" i="34"/>
  <c r="AC31" i="34"/>
  <c r="AC32" i="34"/>
  <c r="AC33" i="34"/>
  <c r="AC34" i="34"/>
  <c r="AC35" i="34"/>
  <c r="AC36" i="34"/>
  <c r="AC37" i="34"/>
  <c r="AC38" i="34"/>
  <c r="AC39" i="34"/>
  <c r="AC40" i="34"/>
  <c r="AC41" i="34"/>
  <c r="AC42" i="34"/>
  <c r="AC43" i="34"/>
  <c r="AC44" i="34"/>
  <c r="AC45" i="34"/>
  <c r="AC46" i="34"/>
  <c r="AC47" i="34"/>
  <c r="AC48" i="34"/>
  <c r="AC49" i="34"/>
  <c r="AC50" i="34"/>
  <c r="AC51" i="34"/>
  <c r="AC52" i="34"/>
  <c r="AC53" i="34"/>
  <c r="AC54" i="34"/>
  <c r="AC55" i="34"/>
  <c r="AC56" i="34"/>
  <c r="AC57" i="34"/>
  <c r="AC58" i="34"/>
  <c r="AC59" i="34"/>
  <c r="AC60" i="34"/>
  <c r="AC61" i="34"/>
  <c r="AC62" i="34"/>
  <c r="AC63" i="34"/>
  <c r="AC64" i="34"/>
  <c r="AC65" i="34"/>
  <c r="AC66" i="34"/>
  <c r="AC67" i="34"/>
  <c r="AC68" i="34"/>
  <c r="AC69" i="34"/>
  <c r="AC70" i="34"/>
  <c r="AC71" i="34"/>
  <c r="AC72" i="34"/>
  <c r="AC73" i="34"/>
  <c r="AC74" i="34"/>
  <c r="AC75" i="34"/>
  <c r="AC76" i="34"/>
  <c r="AC77" i="34"/>
  <c r="AC78" i="34"/>
  <c r="AC79" i="34"/>
  <c r="AC80" i="34"/>
  <c r="AC81" i="34"/>
  <c r="AC82" i="34"/>
  <c r="AC83" i="34"/>
  <c r="AC84" i="34"/>
  <c r="AC85" i="34"/>
  <c r="AC86" i="34"/>
  <c r="AC87" i="34"/>
  <c r="AC88" i="34"/>
  <c r="AC89" i="34"/>
  <c r="AC90" i="34"/>
  <c r="AC91" i="34"/>
  <c r="AC92" i="34"/>
  <c r="AC93" i="34"/>
  <c r="AC94" i="34"/>
  <c r="AC95" i="34"/>
  <c r="AC96" i="34"/>
  <c r="AC97" i="34"/>
  <c r="AC98" i="34"/>
  <c r="AC99" i="34"/>
  <c r="AC100" i="34"/>
  <c r="AC101" i="34"/>
  <c r="AC102" i="34"/>
  <c r="AC103" i="34"/>
  <c r="AC104" i="34"/>
  <c r="AC105" i="34"/>
  <c r="AC9" i="34"/>
  <c r="AA105" i="34"/>
  <c r="AA10" i="34"/>
  <c r="AA11" i="34"/>
  <c r="AA12" i="34"/>
  <c r="AA13" i="34"/>
  <c r="AA14" i="34"/>
  <c r="AA15" i="34"/>
  <c r="AA16" i="34"/>
  <c r="AA17" i="34"/>
  <c r="AA18" i="34"/>
  <c r="AA19" i="34"/>
  <c r="AA20" i="34"/>
  <c r="AA21" i="34"/>
  <c r="AA22" i="34"/>
  <c r="AA23" i="34"/>
  <c r="AA24" i="34"/>
  <c r="AA25" i="34"/>
  <c r="AA26" i="34"/>
  <c r="AA27" i="34"/>
  <c r="AA28" i="34"/>
  <c r="AA29" i="34"/>
  <c r="AA30" i="34"/>
  <c r="AA31" i="34"/>
  <c r="AA32" i="34"/>
  <c r="AA33" i="34"/>
  <c r="AA34" i="34"/>
  <c r="AA35" i="34"/>
  <c r="AA36" i="34"/>
  <c r="AA37" i="34"/>
  <c r="AA38" i="34"/>
  <c r="AA39" i="34"/>
  <c r="AA40" i="34"/>
  <c r="AA41" i="34"/>
  <c r="AA42" i="34"/>
  <c r="AA43" i="34"/>
  <c r="AA44" i="34"/>
  <c r="AA45" i="34"/>
  <c r="AA46" i="34"/>
  <c r="AA47" i="34"/>
  <c r="AA48" i="34"/>
  <c r="AA49" i="34"/>
  <c r="AA50" i="34"/>
  <c r="AA51" i="34"/>
  <c r="AA52" i="34"/>
  <c r="AA53" i="34"/>
  <c r="AA54" i="34"/>
  <c r="AA55" i="34"/>
  <c r="AA56" i="34"/>
  <c r="AA57" i="34"/>
  <c r="AA58" i="34"/>
  <c r="AA59" i="34"/>
  <c r="AA60" i="34"/>
  <c r="AA61" i="34"/>
  <c r="AA62" i="34"/>
  <c r="AA63" i="34"/>
  <c r="AA64" i="34"/>
  <c r="AA65" i="34"/>
  <c r="AA66" i="34"/>
  <c r="AA67" i="34"/>
  <c r="AA68" i="34"/>
  <c r="AA69" i="34"/>
  <c r="AA70" i="34"/>
  <c r="AA71" i="34"/>
  <c r="AA72" i="34"/>
  <c r="AA73" i="34"/>
  <c r="AA74" i="34"/>
  <c r="AA75" i="34"/>
  <c r="AA76" i="34"/>
  <c r="AA77" i="34"/>
  <c r="AA78" i="34"/>
  <c r="AA79" i="34"/>
  <c r="AA80" i="34"/>
  <c r="AA81" i="34"/>
  <c r="AA82" i="34"/>
  <c r="AA83" i="34"/>
  <c r="AA84" i="34"/>
  <c r="AA85" i="34"/>
  <c r="AA86" i="34"/>
  <c r="AA87" i="34"/>
  <c r="AA88" i="34"/>
  <c r="AA89" i="34"/>
  <c r="AA90" i="34"/>
  <c r="AA91" i="34"/>
  <c r="AA92" i="34"/>
  <c r="AA93" i="34"/>
  <c r="AA94" i="34"/>
  <c r="AA95" i="34"/>
  <c r="AA96" i="34"/>
  <c r="AA97" i="34"/>
  <c r="AA98" i="34"/>
  <c r="AA99" i="34"/>
  <c r="AA100" i="34"/>
  <c r="AA101" i="34"/>
  <c r="AA102" i="34"/>
  <c r="AA103" i="34"/>
  <c r="AA104" i="34"/>
  <c r="AA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9" i="34"/>
  <c r="W10" i="34"/>
  <c r="W11" i="34"/>
  <c r="W12" i="34"/>
  <c r="W13" i="34"/>
  <c r="W14" i="34"/>
  <c r="W15" i="34"/>
  <c r="W16" i="34"/>
  <c r="W17" i="34"/>
  <c r="W18" i="34"/>
  <c r="W19" i="34"/>
  <c r="W20" i="34"/>
  <c r="W21" i="34"/>
  <c r="W22" i="34"/>
  <c r="W23" i="34"/>
  <c r="W24" i="34"/>
  <c r="W25" i="34"/>
  <c r="W26" i="34"/>
  <c r="W27" i="34"/>
  <c r="W28" i="34"/>
  <c r="W29" i="34"/>
  <c r="W30" i="34"/>
  <c r="W31" i="34"/>
  <c r="W32" i="34"/>
  <c r="W33" i="34"/>
  <c r="W34" i="34"/>
  <c r="W35" i="34"/>
  <c r="W36" i="34"/>
  <c r="W37" i="34"/>
  <c r="W38" i="34"/>
  <c r="W39" i="34"/>
  <c r="W40" i="34"/>
  <c r="W41" i="34"/>
  <c r="W42" i="34"/>
  <c r="W43" i="34"/>
  <c r="W44" i="34"/>
  <c r="W45" i="34"/>
  <c r="W46" i="34"/>
  <c r="W47" i="34"/>
  <c r="W48" i="34"/>
  <c r="W49" i="34"/>
  <c r="W50" i="34"/>
  <c r="W51" i="34"/>
  <c r="W52" i="34"/>
  <c r="W53" i="34"/>
  <c r="W54" i="34"/>
  <c r="W55" i="34"/>
  <c r="W56" i="34"/>
  <c r="W57" i="34"/>
  <c r="W58" i="34"/>
  <c r="W59" i="34"/>
  <c r="W60" i="34"/>
  <c r="W61" i="34"/>
  <c r="W62" i="34"/>
  <c r="W63" i="34"/>
  <c r="W64" i="34"/>
  <c r="W65" i="34"/>
  <c r="W66" i="34"/>
  <c r="W67" i="34"/>
  <c r="W68" i="34"/>
  <c r="W69" i="34"/>
  <c r="W70" i="34"/>
  <c r="W71" i="34"/>
  <c r="W72" i="34"/>
  <c r="W73" i="34"/>
  <c r="W74" i="34"/>
  <c r="W75" i="34"/>
  <c r="W76" i="34"/>
  <c r="W77" i="34"/>
  <c r="W78" i="34"/>
  <c r="W79" i="34"/>
  <c r="W80" i="34"/>
  <c r="W81" i="34"/>
  <c r="W82" i="34"/>
  <c r="W83" i="34"/>
  <c r="W84" i="34"/>
  <c r="W85" i="34"/>
  <c r="W86" i="34"/>
  <c r="W87" i="34"/>
  <c r="W88" i="34"/>
  <c r="W89" i="34"/>
  <c r="W90" i="34"/>
  <c r="W91" i="34"/>
  <c r="W92" i="34"/>
  <c r="W93" i="34"/>
  <c r="W94" i="34"/>
  <c r="W95" i="34"/>
  <c r="W96" i="34"/>
  <c r="W97" i="34"/>
  <c r="W98" i="34"/>
  <c r="W99" i="34"/>
  <c r="W100" i="34"/>
  <c r="W101" i="34"/>
  <c r="W102" i="34"/>
  <c r="W103" i="34"/>
  <c r="W104" i="34"/>
  <c r="W105" i="34"/>
  <c r="W9" i="34"/>
  <c r="U10" i="34"/>
  <c r="U11" i="34"/>
  <c r="U12" i="34"/>
  <c r="U13" i="34"/>
  <c r="U14" i="34"/>
  <c r="U15" i="34"/>
  <c r="U16" i="34"/>
  <c r="U17" i="34"/>
  <c r="U18" i="34"/>
  <c r="U19" i="34"/>
  <c r="U20" i="34"/>
  <c r="U21" i="34"/>
  <c r="U22" i="34"/>
  <c r="U23" i="34"/>
  <c r="U24" i="34"/>
  <c r="U25" i="34"/>
  <c r="U26" i="34"/>
  <c r="U27" i="34"/>
  <c r="U28" i="34"/>
  <c r="U29" i="34"/>
  <c r="U30" i="34"/>
  <c r="U31" i="34"/>
  <c r="U32" i="34"/>
  <c r="U33" i="34"/>
  <c r="U34" i="34"/>
  <c r="U35" i="34"/>
  <c r="U36" i="34"/>
  <c r="U37" i="34"/>
  <c r="U38" i="34"/>
  <c r="U39" i="34"/>
  <c r="U40" i="34"/>
  <c r="U41" i="34"/>
  <c r="U42" i="34"/>
  <c r="U43" i="34"/>
  <c r="U44" i="34"/>
  <c r="U45" i="34"/>
  <c r="U46" i="34"/>
  <c r="U47" i="34"/>
  <c r="U48" i="34"/>
  <c r="U49" i="34"/>
  <c r="U50" i="34"/>
  <c r="U51" i="34"/>
  <c r="U52" i="34"/>
  <c r="U53" i="34"/>
  <c r="U54" i="34"/>
  <c r="U55" i="34"/>
  <c r="U56" i="34"/>
  <c r="U57" i="34"/>
  <c r="U58" i="34"/>
  <c r="U59" i="34"/>
  <c r="U60" i="34"/>
  <c r="U61" i="34"/>
  <c r="U62" i="34"/>
  <c r="U63" i="34"/>
  <c r="U64" i="34"/>
  <c r="U65" i="34"/>
  <c r="U66" i="34"/>
  <c r="U67" i="34"/>
  <c r="U68" i="34"/>
  <c r="U69" i="34"/>
  <c r="U70" i="34"/>
  <c r="U71" i="34"/>
  <c r="U72" i="34"/>
  <c r="U73" i="34"/>
  <c r="U74" i="34"/>
  <c r="U75" i="34"/>
  <c r="U76" i="34"/>
  <c r="U77" i="34"/>
  <c r="U78" i="34"/>
  <c r="U79" i="34"/>
  <c r="U80" i="34"/>
  <c r="U81" i="34"/>
  <c r="U82" i="34"/>
  <c r="U83" i="34"/>
  <c r="U84" i="34"/>
  <c r="U85" i="34"/>
  <c r="U86" i="34"/>
  <c r="U87" i="34"/>
  <c r="U88" i="34"/>
  <c r="U89" i="34"/>
  <c r="U90" i="34"/>
  <c r="U91" i="34"/>
  <c r="U92" i="34"/>
  <c r="U93" i="34"/>
  <c r="U94" i="34"/>
  <c r="U95" i="34"/>
  <c r="U96" i="34"/>
  <c r="U97" i="34"/>
  <c r="U98" i="34"/>
  <c r="U99" i="34"/>
  <c r="U100" i="34"/>
  <c r="U101" i="34"/>
  <c r="U102" i="34"/>
  <c r="U103" i="34"/>
  <c r="U104" i="34"/>
  <c r="U105" i="34"/>
  <c r="U9" i="34"/>
  <c r="T10" i="34"/>
  <c r="T11" i="34"/>
  <c r="T12" i="34"/>
  <c r="T13" i="34"/>
  <c r="T14" i="34"/>
  <c r="T15" i="34"/>
  <c r="T16" i="34"/>
  <c r="T17" i="34"/>
  <c r="T18" i="34"/>
  <c r="T19" i="34"/>
  <c r="T20" i="34"/>
  <c r="T21" i="34"/>
  <c r="T22" i="34"/>
  <c r="T23" i="34"/>
  <c r="T24" i="34"/>
  <c r="T25" i="34"/>
  <c r="T26" i="34"/>
  <c r="T27" i="34"/>
  <c r="T28" i="34"/>
  <c r="T29" i="34"/>
  <c r="T30" i="34"/>
  <c r="T31" i="34"/>
  <c r="T32" i="34"/>
  <c r="T33" i="34"/>
  <c r="T34" i="34"/>
  <c r="T35" i="34"/>
  <c r="T36" i="34"/>
  <c r="T37" i="34"/>
  <c r="T38" i="34"/>
  <c r="T39" i="34"/>
  <c r="T40" i="34"/>
  <c r="T41" i="34"/>
  <c r="T42" i="34"/>
  <c r="T43" i="34"/>
  <c r="T44" i="34"/>
  <c r="T45" i="34"/>
  <c r="T46" i="34"/>
  <c r="T47" i="34"/>
  <c r="T48" i="34"/>
  <c r="T49" i="34"/>
  <c r="T50" i="34"/>
  <c r="T51" i="34"/>
  <c r="T52" i="34"/>
  <c r="T53" i="34"/>
  <c r="T54" i="34"/>
  <c r="T55" i="34"/>
  <c r="T56" i="34"/>
  <c r="T57" i="34"/>
  <c r="T58" i="34"/>
  <c r="T59" i="34"/>
  <c r="T60" i="34"/>
  <c r="T61" i="34"/>
  <c r="T62" i="34"/>
  <c r="T63" i="34"/>
  <c r="T64" i="34"/>
  <c r="T65" i="34"/>
  <c r="T66" i="34"/>
  <c r="T67" i="34"/>
  <c r="T68" i="34"/>
  <c r="T69" i="34"/>
  <c r="T70" i="34"/>
  <c r="T71" i="34"/>
  <c r="T72" i="34"/>
  <c r="T73" i="34"/>
  <c r="T74" i="34"/>
  <c r="T75" i="34"/>
  <c r="T76" i="34"/>
  <c r="T77" i="34"/>
  <c r="T78" i="34"/>
  <c r="T79" i="34"/>
  <c r="T80" i="34"/>
  <c r="T81" i="34"/>
  <c r="T82" i="34"/>
  <c r="T83" i="34"/>
  <c r="T84" i="34"/>
  <c r="T85" i="34"/>
  <c r="T86" i="34"/>
  <c r="T87" i="34"/>
  <c r="T88" i="34"/>
  <c r="T89" i="34"/>
  <c r="T90" i="34"/>
  <c r="T91" i="34"/>
  <c r="T92" i="34"/>
  <c r="T93" i="34"/>
  <c r="T94" i="34"/>
  <c r="T95" i="34"/>
  <c r="T96" i="34"/>
  <c r="T97" i="34"/>
  <c r="T98" i="34"/>
  <c r="T99" i="34"/>
  <c r="T100" i="34"/>
  <c r="T101" i="34"/>
  <c r="T102" i="34"/>
  <c r="T103" i="34"/>
  <c r="T104" i="34"/>
  <c r="T105" i="34"/>
  <c r="T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9" i="34"/>
  <c r="Q10" i="34"/>
  <c r="Q11" i="34"/>
  <c r="Q12" i="34"/>
  <c r="Q13" i="34"/>
  <c r="Q14" i="34"/>
  <c r="Q15" i="34"/>
  <c r="Q16" i="34"/>
  <c r="Q17" i="34"/>
  <c r="Q18" i="34"/>
  <c r="Q19" i="34"/>
  <c r="Q20" i="34"/>
  <c r="Q21" i="34"/>
  <c r="Q22" i="34"/>
  <c r="Q23" i="34"/>
  <c r="Q24" i="34"/>
  <c r="Q25" i="34"/>
  <c r="Q26" i="34"/>
  <c r="Q27" i="34"/>
  <c r="Q28" i="34"/>
  <c r="Q29" i="34"/>
  <c r="Q30" i="34"/>
  <c r="Q31" i="34"/>
  <c r="Q32" i="34"/>
  <c r="Q33" i="34"/>
  <c r="Q34" i="34"/>
  <c r="Q35" i="34"/>
  <c r="Q36" i="34"/>
  <c r="Q37" i="34"/>
  <c r="Q38" i="34"/>
  <c r="Q39" i="34"/>
  <c r="Q40" i="34"/>
  <c r="Q41" i="34"/>
  <c r="Q42" i="34"/>
  <c r="Q43" i="34"/>
  <c r="Q44" i="34"/>
  <c r="Q45" i="34"/>
  <c r="Q46" i="34"/>
  <c r="Q47" i="34"/>
  <c r="Q48" i="34"/>
  <c r="Q49" i="34"/>
  <c r="Q50" i="34"/>
  <c r="Q51" i="34"/>
  <c r="Q52" i="34"/>
  <c r="Q53" i="34"/>
  <c r="Q54" i="34"/>
  <c r="Q55" i="34"/>
  <c r="Q56" i="34"/>
  <c r="Q57" i="34"/>
  <c r="Q58" i="34"/>
  <c r="Q59" i="34"/>
  <c r="Q60" i="34"/>
  <c r="Q61" i="34"/>
  <c r="Q62" i="34"/>
  <c r="Q63" i="34"/>
  <c r="Q64" i="34"/>
  <c r="Q65" i="34"/>
  <c r="Q66" i="34"/>
  <c r="Q67" i="34"/>
  <c r="Q68" i="34"/>
  <c r="Q69" i="34"/>
  <c r="Q70" i="34"/>
  <c r="Q71" i="34"/>
  <c r="Q72" i="34"/>
  <c r="Q73" i="34"/>
  <c r="Q74" i="34"/>
  <c r="Q75" i="34"/>
  <c r="Q76" i="34"/>
  <c r="Q77" i="34"/>
  <c r="Q78" i="34"/>
  <c r="Q79" i="34"/>
  <c r="Q80" i="34"/>
  <c r="Q81" i="34"/>
  <c r="Q82" i="34"/>
  <c r="Q83" i="34"/>
  <c r="Q84" i="34"/>
  <c r="Q85" i="34"/>
  <c r="Q86" i="34"/>
  <c r="Q87" i="34"/>
  <c r="Q88" i="34"/>
  <c r="Q89" i="34"/>
  <c r="Q90" i="34"/>
  <c r="Q91" i="34"/>
  <c r="Q92" i="34"/>
  <c r="Q93" i="34"/>
  <c r="Q94" i="34"/>
  <c r="Q95" i="34"/>
  <c r="Q96" i="34"/>
  <c r="Q97" i="34"/>
  <c r="Q98" i="34"/>
  <c r="Q99" i="34"/>
  <c r="Q100" i="34"/>
  <c r="Q101" i="34"/>
  <c r="Q102" i="34"/>
  <c r="Q103" i="34"/>
  <c r="Q104" i="34"/>
  <c r="Q105" i="34"/>
  <c r="Q9" i="34"/>
  <c r="O10" i="34"/>
  <c r="O11" i="34"/>
  <c r="O12" i="34"/>
  <c r="O13" i="34"/>
  <c r="O14" i="34"/>
  <c r="O15" i="34"/>
  <c r="O16" i="34"/>
  <c r="O17" i="34"/>
  <c r="O18" i="34"/>
  <c r="O19" i="34"/>
  <c r="O20" i="34"/>
  <c r="O21" i="34"/>
  <c r="O22" i="34"/>
  <c r="O23" i="34"/>
  <c r="O24" i="34"/>
  <c r="O25" i="34"/>
  <c r="O26" i="34"/>
  <c r="O27" i="34"/>
  <c r="O28" i="34"/>
  <c r="O29" i="34"/>
  <c r="O30" i="34"/>
  <c r="O31" i="34"/>
  <c r="O32" i="34"/>
  <c r="O33" i="34"/>
  <c r="O34" i="34"/>
  <c r="O35" i="34"/>
  <c r="O36" i="34"/>
  <c r="O37" i="34"/>
  <c r="O38" i="34"/>
  <c r="O39" i="34"/>
  <c r="O40" i="34"/>
  <c r="O41" i="34"/>
  <c r="O42" i="34"/>
  <c r="O43" i="34"/>
  <c r="O44" i="34"/>
  <c r="O45" i="34"/>
  <c r="O46" i="34"/>
  <c r="O47" i="34"/>
  <c r="O48" i="34"/>
  <c r="O49" i="34"/>
  <c r="O50" i="34"/>
  <c r="O51" i="34"/>
  <c r="O52" i="34"/>
  <c r="O53" i="34"/>
  <c r="O54" i="34"/>
  <c r="O55" i="34"/>
  <c r="O56" i="34"/>
  <c r="O57" i="34"/>
  <c r="O58" i="34"/>
  <c r="O59" i="34"/>
  <c r="O60" i="34"/>
  <c r="O61" i="34"/>
  <c r="O62" i="34"/>
  <c r="O63" i="34"/>
  <c r="O64" i="34"/>
  <c r="O65" i="34"/>
  <c r="O66" i="34"/>
  <c r="O67" i="34"/>
  <c r="O68" i="34"/>
  <c r="O69" i="34"/>
  <c r="O70" i="34"/>
  <c r="O71" i="34"/>
  <c r="O72" i="34"/>
  <c r="O73" i="34"/>
  <c r="O74" i="34"/>
  <c r="O75" i="34"/>
  <c r="O76" i="34"/>
  <c r="O77" i="34"/>
  <c r="O78" i="34"/>
  <c r="O79" i="34"/>
  <c r="O80" i="34"/>
  <c r="O81" i="34"/>
  <c r="O82" i="34"/>
  <c r="O83" i="34"/>
  <c r="O84" i="34"/>
  <c r="O85" i="34"/>
  <c r="O86" i="34"/>
  <c r="O87" i="34"/>
  <c r="O88" i="34"/>
  <c r="O89" i="34"/>
  <c r="O90" i="34"/>
  <c r="O91" i="34"/>
  <c r="O92" i="34"/>
  <c r="O93" i="34"/>
  <c r="O94" i="34"/>
  <c r="O95" i="34"/>
  <c r="O96" i="34"/>
  <c r="O97" i="34"/>
  <c r="O98" i="34"/>
  <c r="O99" i="34"/>
  <c r="O100" i="34"/>
  <c r="O101" i="34"/>
  <c r="O102" i="34"/>
  <c r="O103" i="34"/>
  <c r="O104" i="34"/>
  <c r="O105" i="34"/>
  <c r="O9" i="34"/>
  <c r="N10" i="34"/>
  <c r="N11" i="34"/>
  <c r="N12" i="34"/>
  <c r="N13" i="34"/>
  <c r="N14" i="34"/>
  <c r="N15" i="34"/>
  <c r="N16" i="34"/>
  <c r="N17" i="34"/>
  <c r="N18" i="34"/>
  <c r="N19" i="34"/>
  <c r="N20" i="34"/>
  <c r="N21" i="34"/>
  <c r="N22" i="34"/>
  <c r="N23" i="34"/>
  <c r="N24" i="34"/>
  <c r="N25" i="34"/>
  <c r="N26" i="34"/>
  <c r="N27" i="34"/>
  <c r="N28" i="34"/>
  <c r="N29" i="34"/>
  <c r="N30" i="34"/>
  <c r="N31" i="34"/>
  <c r="N32" i="34"/>
  <c r="N33" i="34"/>
  <c r="N34" i="34"/>
  <c r="N35" i="34"/>
  <c r="N36" i="34"/>
  <c r="N37" i="34"/>
  <c r="N38" i="34"/>
  <c r="N39" i="34"/>
  <c r="N40" i="34"/>
  <c r="N41" i="34"/>
  <c r="N42" i="34"/>
  <c r="N43" i="34"/>
  <c r="N44" i="34"/>
  <c r="N45" i="34"/>
  <c r="N46" i="34"/>
  <c r="N47" i="34"/>
  <c r="N48" i="34"/>
  <c r="N49" i="34"/>
  <c r="N50" i="34"/>
  <c r="N51" i="34"/>
  <c r="N52" i="34"/>
  <c r="N53" i="34"/>
  <c r="N54" i="34"/>
  <c r="N55" i="34"/>
  <c r="N56" i="34"/>
  <c r="N57" i="34"/>
  <c r="N58" i="34"/>
  <c r="N59" i="34"/>
  <c r="N60" i="34"/>
  <c r="N61" i="34"/>
  <c r="N62" i="34"/>
  <c r="N63" i="34"/>
  <c r="N64" i="34"/>
  <c r="N65" i="34"/>
  <c r="N66" i="34"/>
  <c r="N67" i="34"/>
  <c r="N68" i="34"/>
  <c r="N69" i="34"/>
  <c r="N70" i="34"/>
  <c r="N71" i="34"/>
  <c r="N72" i="34"/>
  <c r="N73" i="34"/>
  <c r="N74" i="34"/>
  <c r="N75" i="34"/>
  <c r="N76" i="34"/>
  <c r="N77" i="34"/>
  <c r="N78" i="34"/>
  <c r="N79" i="34"/>
  <c r="N80" i="34"/>
  <c r="N81" i="34"/>
  <c r="N82" i="34"/>
  <c r="N83" i="34"/>
  <c r="N84" i="34"/>
  <c r="N85" i="34"/>
  <c r="N86" i="34"/>
  <c r="N87" i="34"/>
  <c r="N88" i="34"/>
  <c r="N89" i="34"/>
  <c r="N90" i="34"/>
  <c r="N91" i="34"/>
  <c r="N92" i="34"/>
  <c r="N93" i="34"/>
  <c r="N94" i="34"/>
  <c r="N95" i="34"/>
  <c r="N96" i="34"/>
  <c r="N97" i="34"/>
  <c r="N98" i="34"/>
  <c r="N99" i="34"/>
  <c r="N100" i="34"/>
  <c r="N101" i="34"/>
  <c r="N102" i="34"/>
  <c r="N103" i="34"/>
  <c r="N104" i="34"/>
  <c r="N105" i="34"/>
  <c r="N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9" i="34"/>
  <c r="K10" i="34"/>
  <c r="K11" i="34"/>
  <c r="K12" i="34"/>
  <c r="K13" i="34"/>
  <c r="K14" i="34"/>
  <c r="K15" i="34"/>
  <c r="K16" i="34"/>
  <c r="K17" i="34"/>
  <c r="K18" i="34"/>
  <c r="K19" i="34"/>
  <c r="K20" i="34"/>
  <c r="K21" i="34"/>
  <c r="K22" i="34"/>
  <c r="K23" i="34"/>
  <c r="K24" i="34"/>
  <c r="K25" i="34"/>
  <c r="K26" i="34"/>
  <c r="K27" i="34"/>
  <c r="K28" i="34"/>
  <c r="K29" i="34"/>
  <c r="K30" i="34"/>
  <c r="K31" i="34"/>
  <c r="K32" i="34"/>
  <c r="K33" i="34"/>
  <c r="K34" i="34"/>
  <c r="K35" i="34"/>
  <c r="K36" i="34"/>
  <c r="K37" i="34"/>
  <c r="K38" i="34"/>
  <c r="K39" i="34"/>
  <c r="K40" i="34"/>
  <c r="K41" i="34"/>
  <c r="K42" i="34"/>
  <c r="K43" i="34"/>
  <c r="K44" i="34"/>
  <c r="K45" i="34"/>
  <c r="K46" i="34"/>
  <c r="K47" i="34"/>
  <c r="K48" i="34"/>
  <c r="K49" i="34"/>
  <c r="K50" i="34"/>
  <c r="K51" i="34"/>
  <c r="K52" i="34"/>
  <c r="K53" i="34"/>
  <c r="K54" i="34"/>
  <c r="K55" i="34"/>
  <c r="K56" i="34"/>
  <c r="K57" i="34"/>
  <c r="K58" i="34"/>
  <c r="K59" i="34"/>
  <c r="K60" i="34"/>
  <c r="K61" i="34"/>
  <c r="K62" i="34"/>
  <c r="K63" i="34"/>
  <c r="K64" i="34"/>
  <c r="K65" i="34"/>
  <c r="K66" i="34"/>
  <c r="K67" i="34"/>
  <c r="K68" i="34"/>
  <c r="K69" i="34"/>
  <c r="K70" i="34"/>
  <c r="K71" i="34"/>
  <c r="K72" i="34"/>
  <c r="K73" i="34"/>
  <c r="K74" i="34"/>
  <c r="K75" i="34"/>
  <c r="K76" i="34"/>
  <c r="K77" i="34"/>
  <c r="K78" i="34"/>
  <c r="K79" i="34"/>
  <c r="K80" i="34"/>
  <c r="K81" i="34"/>
  <c r="K82" i="34"/>
  <c r="K83" i="34"/>
  <c r="K84" i="34"/>
  <c r="K85" i="34"/>
  <c r="K86" i="34"/>
  <c r="K87" i="34"/>
  <c r="K88" i="34"/>
  <c r="K89" i="34"/>
  <c r="K90" i="34"/>
  <c r="K91" i="34"/>
  <c r="K92" i="34"/>
  <c r="K93" i="34"/>
  <c r="K94" i="34"/>
  <c r="K95" i="34"/>
  <c r="K96" i="34"/>
  <c r="K97" i="34"/>
  <c r="K98" i="34"/>
  <c r="K99" i="34"/>
  <c r="K100" i="34"/>
  <c r="K101" i="34"/>
  <c r="K102" i="34"/>
  <c r="K103" i="34"/>
  <c r="K104" i="34"/>
  <c r="K105" i="34"/>
  <c r="K9" i="34"/>
  <c r="I105"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45" i="34"/>
  <c r="I46" i="34"/>
  <c r="I47" i="34"/>
  <c r="I48" i="34"/>
  <c r="I49" i="34"/>
  <c r="I50" i="34"/>
  <c r="I51" i="34"/>
  <c r="I52" i="34"/>
  <c r="I53" i="34"/>
  <c r="I54" i="34"/>
  <c r="I55" i="34"/>
  <c r="I56" i="34"/>
  <c r="I57" i="34"/>
  <c r="I58" i="34"/>
  <c r="I59" i="34"/>
  <c r="I60" i="34"/>
  <c r="I61" i="34"/>
  <c r="I62" i="34"/>
  <c r="I63" i="34"/>
  <c r="I64" i="34"/>
  <c r="I65" i="34"/>
  <c r="I66" i="34"/>
  <c r="I67" i="34"/>
  <c r="I68" i="34"/>
  <c r="I69" i="34"/>
  <c r="I70" i="34"/>
  <c r="I71" i="34"/>
  <c r="I72" i="34"/>
  <c r="I73" i="34"/>
  <c r="I74" i="34"/>
  <c r="I75" i="34"/>
  <c r="I76" i="34"/>
  <c r="I77" i="34"/>
  <c r="I78" i="34"/>
  <c r="I79" i="34"/>
  <c r="I80" i="34"/>
  <c r="I81" i="34"/>
  <c r="I82" i="34"/>
  <c r="I83" i="34"/>
  <c r="I84" i="34"/>
  <c r="I85" i="34"/>
  <c r="I86" i="34"/>
  <c r="I87" i="34"/>
  <c r="I88" i="34"/>
  <c r="I89" i="34"/>
  <c r="I90" i="34"/>
  <c r="I91" i="34"/>
  <c r="I92" i="34"/>
  <c r="I93" i="34"/>
  <c r="I94" i="34"/>
  <c r="I95" i="34"/>
  <c r="I96" i="34"/>
  <c r="I97" i="34"/>
  <c r="I98" i="34"/>
  <c r="I99" i="34"/>
  <c r="I100" i="34"/>
  <c r="I101" i="34"/>
  <c r="I102" i="34"/>
  <c r="I103" i="34"/>
  <c r="I104" i="34"/>
  <c r="I9" i="34"/>
  <c r="H10" i="34"/>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F40" i="34"/>
  <c r="F41" i="34"/>
  <c r="F42" i="34"/>
  <c r="F43" i="34"/>
  <c r="F44" i="34"/>
  <c r="F45" i="34"/>
  <c r="F46" i="34"/>
  <c r="F47" i="34"/>
  <c r="F48" i="34"/>
  <c r="F49" i="34"/>
  <c r="F50" i="34"/>
  <c r="F51" i="34"/>
  <c r="F52" i="34"/>
  <c r="F53" i="34"/>
  <c r="F54" i="34"/>
  <c r="F55" i="34"/>
  <c r="F56" i="34"/>
  <c r="F57" i="34"/>
  <c r="F58" i="34"/>
  <c r="F59" i="34"/>
  <c r="F60" i="34"/>
  <c r="F61" i="34"/>
  <c r="F62" i="34"/>
  <c r="F63" i="34"/>
  <c r="F64" i="34"/>
  <c r="F65" i="34"/>
  <c r="F66" i="34"/>
  <c r="F67" i="34"/>
  <c r="F68" i="34"/>
  <c r="F69" i="34"/>
  <c r="F70" i="34"/>
  <c r="F71" i="34"/>
  <c r="F72" i="34"/>
  <c r="F73" i="34"/>
  <c r="F74" i="34"/>
  <c r="F75" i="34"/>
  <c r="F76" i="34"/>
  <c r="F77" i="34"/>
  <c r="F78" i="34"/>
  <c r="F79" i="34"/>
  <c r="F80" i="34"/>
  <c r="F81" i="34"/>
  <c r="F82" i="34"/>
  <c r="F83" i="34"/>
  <c r="F84" i="34"/>
  <c r="F85" i="34"/>
  <c r="F86" i="34"/>
  <c r="F87" i="34"/>
  <c r="F88" i="34"/>
  <c r="F89" i="34"/>
  <c r="F90" i="34"/>
  <c r="F91" i="34"/>
  <c r="F92" i="34"/>
  <c r="F93" i="34"/>
  <c r="F94" i="34"/>
  <c r="F95" i="34"/>
  <c r="F96" i="34"/>
  <c r="F97" i="34"/>
  <c r="F98" i="34"/>
  <c r="F99" i="34"/>
  <c r="F100" i="34"/>
  <c r="F101" i="34"/>
  <c r="F102" i="34"/>
  <c r="F103" i="34"/>
  <c r="F104" i="34"/>
  <c r="F105" i="34"/>
  <c r="F9" i="34"/>
  <c r="B6" i="31"/>
  <c r="D71" i="31" s="1"/>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2" i="5"/>
  <c r="G21" i="11" l="1"/>
  <c r="G6" i="11"/>
  <c r="G29" i="11"/>
  <c r="G23" i="11"/>
  <c r="G86" i="11"/>
  <c r="G85" i="11"/>
  <c r="G72" i="11"/>
  <c r="G71" i="11"/>
  <c r="G69" i="11"/>
  <c r="G43" i="11"/>
  <c r="G42" i="11"/>
  <c r="G10" i="11"/>
  <c r="G30" i="11"/>
  <c r="G49" i="11"/>
  <c r="G73" i="11"/>
  <c r="G97" i="11"/>
  <c r="G7" i="11"/>
  <c r="G31" i="11"/>
  <c r="G55" i="11"/>
  <c r="G74" i="11"/>
  <c r="G98" i="11"/>
  <c r="G8" i="11"/>
  <c r="G32" i="11"/>
  <c r="G56" i="11"/>
  <c r="G75" i="11"/>
  <c r="G99" i="11"/>
  <c r="G9" i="11"/>
  <c r="G33" i="11"/>
  <c r="G57" i="11"/>
  <c r="G81" i="11"/>
  <c r="G100" i="11"/>
  <c r="G16" i="11"/>
  <c r="G35" i="11"/>
  <c r="G59" i="11"/>
  <c r="G83" i="11"/>
  <c r="G101" i="11"/>
  <c r="G17" i="11"/>
  <c r="G36" i="11"/>
  <c r="G60" i="11"/>
  <c r="G84" i="11"/>
  <c r="G68" i="11"/>
  <c r="G20" i="11"/>
  <c r="G62" i="11"/>
  <c r="G19" i="11"/>
  <c r="G61" i="11"/>
  <c r="G18" i="11"/>
  <c r="G96" i="11"/>
  <c r="G48" i="11"/>
  <c r="G95" i="11"/>
  <c r="G47" i="11"/>
  <c r="G88" i="11"/>
  <c r="G45" i="11"/>
  <c r="G87" i="11"/>
  <c r="G44" i="11"/>
  <c r="G93" i="11"/>
  <c r="G80" i="11"/>
  <c r="G67" i="11"/>
  <c r="G54" i="11"/>
  <c r="G41" i="11"/>
  <c r="G28" i="11"/>
  <c r="G15" i="11"/>
  <c r="G92" i="11"/>
  <c r="G79" i="11"/>
  <c r="G66" i="11"/>
  <c r="G53" i="11"/>
  <c r="G40" i="11"/>
  <c r="G27" i="11"/>
  <c r="G14" i="11"/>
  <c r="G91" i="11"/>
  <c r="G78" i="11"/>
  <c r="G65" i="11"/>
  <c r="G52" i="11"/>
  <c r="G39" i="11"/>
  <c r="G26" i="11"/>
  <c r="G13" i="11"/>
  <c r="G90" i="11"/>
  <c r="G77" i="11"/>
  <c r="G64" i="11"/>
  <c r="G51" i="11"/>
  <c r="G38" i="11"/>
  <c r="G25" i="11"/>
  <c r="G12" i="11"/>
  <c r="G102" i="11"/>
  <c r="G89" i="11"/>
  <c r="G76" i="11"/>
  <c r="G63" i="11"/>
  <c r="G50" i="11"/>
  <c r="G37" i="11"/>
  <c r="G24" i="11"/>
  <c r="G11" i="11"/>
  <c r="G94" i="11"/>
  <c r="G82" i="11"/>
  <c r="G70" i="11"/>
  <c r="G58" i="11"/>
  <c r="G46" i="11"/>
  <c r="G34" i="11"/>
  <c r="G22" i="11"/>
  <c r="D10" i="31"/>
  <c r="D24" i="31"/>
  <c r="L106" i="9"/>
  <c r="D59" i="31"/>
  <c r="D14" i="31"/>
  <c r="D26" i="31"/>
  <c r="E45" i="31"/>
  <c r="D60" i="31"/>
  <c r="D27" i="31"/>
  <c r="E46" i="31"/>
  <c r="D61" i="31"/>
  <c r="D62" i="31"/>
  <c r="D17" i="31"/>
  <c r="D29" i="31"/>
  <c r="I105" i="9"/>
  <c r="D63" i="31"/>
  <c r="D18" i="31"/>
  <c r="I106" i="9"/>
  <c r="D64" i="31"/>
  <c r="D19" i="31"/>
  <c r="D31" i="31"/>
  <c r="J105" i="9"/>
  <c r="D53" i="31"/>
  <c r="D65" i="31"/>
  <c r="D20" i="31"/>
  <c r="D32" i="31"/>
  <c r="J106" i="9"/>
  <c r="D54" i="31"/>
  <c r="D66" i="31"/>
  <c r="D21" i="31"/>
  <c r="D33" i="31"/>
  <c r="K105" i="9"/>
  <c r="D55" i="31"/>
  <c r="D67" i="31"/>
  <c r="E43" i="31"/>
  <c r="D58" i="31"/>
  <c r="D25" i="31"/>
  <c r="E44" i="31"/>
  <c r="M105" i="9"/>
  <c r="M106" i="9"/>
  <c r="D15" i="31"/>
  <c r="N105" i="9"/>
  <c r="D16" i="31"/>
  <c r="D28" i="31"/>
  <c r="E47" i="31"/>
  <c r="N106" i="9"/>
  <c r="D51" i="31"/>
  <c r="D30" i="31"/>
  <c r="D52" i="31"/>
  <c r="D22" i="31"/>
  <c r="D38" i="31"/>
  <c r="K106" i="9"/>
  <c r="D56" i="31"/>
  <c r="D68" i="31"/>
  <c r="D23" i="31"/>
  <c r="E42" i="31"/>
  <c r="L105" i="9"/>
  <c r="D57" i="31"/>
  <c r="D69" i="31"/>
  <c r="D70" i="31"/>
  <c r="T9" i="13"/>
  <c r="T8" i="13"/>
  <c r="T7" i="13"/>
  <c r="T10" i="13" s="1"/>
  <c r="T6" i="13"/>
  <c r="R7" i="15"/>
  <c r="S7" i="15"/>
  <c r="T7" i="15"/>
  <c r="U7" i="15"/>
  <c r="Q7" i="15"/>
  <c r="C7" i="15"/>
  <c r="D7" i="15"/>
  <c r="E7" i="15"/>
  <c r="F7" i="15"/>
  <c r="B7" i="15"/>
  <c r="H7" i="15"/>
  <c r="I7" i="15"/>
  <c r="J7" i="15"/>
  <c r="K7" i="15"/>
  <c r="G7" i="15"/>
  <c r="M7" i="15"/>
  <c r="N7" i="15"/>
  <c r="O7" i="15"/>
  <c r="P7" i="15"/>
  <c r="L7" i="15"/>
  <c r="U9" i="15"/>
  <c r="U10" i="15"/>
  <c r="U11" i="15"/>
  <c r="U12" i="15"/>
  <c r="U13" i="15"/>
  <c r="U14" i="15"/>
  <c r="U15" i="15"/>
  <c r="U16" i="15"/>
  <c r="U17" i="15"/>
  <c r="U18" i="15"/>
  <c r="U19" i="15"/>
  <c r="U20" i="15"/>
  <c r="U21" i="15"/>
  <c r="U22" i="15"/>
  <c r="U27" i="15"/>
  <c r="U8" i="15"/>
  <c r="P24" i="15"/>
  <c r="P25" i="15"/>
  <c r="P26" i="15"/>
  <c r="P27" i="15"/>
  <c r="P23" i="15"/>
  <c r="P9" i="15"/>
  <c r="P10" i="15"/>
  <c r="P11" i="15"/>
  <c r="P12" i="15"/>
  <c r="P13" i="15"/>
  <c r="P14" i="15"/>
  <c r="P15" i="15"/>
  <c r="P16" i="15"/>
  <c r="P17" i="15"/>
  <c r="P18" i="15"/>
  <c r="P19" i="15"/>
  <c r="P8" i="15"/>
  <c r="K27" i="15"/>
  <c r="K9" i="15"/>
  <c r="K10" i="15"/>
  <c r="K11" i="15"/>
  <c r="K12" i="15"/>
  <c r="K13" i="15"/>
  <c r="K14" i="15"/>
  <c r="K15" i="15"/>
  <c r="K16" i="15"/>
  <c r="K17" i="15"/>
  <c r="K18" i="15"/>
  <c r="K19" i="15"/>
  <c r="K20" i="15"/>
  <c r="K21" i="15"/>
  <c r="K22" i="15"/>
  <c r="K8" i="15"/>
  <c r="F27" i="15"/>
  <c r="F22" i="15"/>
  <c r="F21" i="15"/>
  <c r="F20" i="15"/>
  <c r="F19" i="15"/>
  <c r="F18" i="15"/>
  <c r="F17" i="15"/>
  <c r="F16" i="15"/>
  <c r="F15" i="15"/>
  <c r="F14" i="15"/>
  <c r="F13" i="15"/>
  <c r="F12" i="15"/>
  <c r="F11" i="15"/>
  <c r="F10" i="15"/>
  <c r="F9" i="15"/>
  <c r="F8" i="15"/>
  <c r="D6" i="9"/>
  <c r="H7" i="29"/>
  <c r="H8" i="29"/>
  <c r="H9" i="29"/>
  <c r="H10" i="29"/>
  <c r="H11" i="29"/>
  <c r="H12" i="29"/>
  <c r="H13" i="29"/>
  <c r="H14" i="29"/>
  <c r="H15" i="29"/>
  <c r="H16" i="29"/>
  <c r="H17" i="29"/>
  <c r="H18" i="29"/>
  <c r="H19" i="29"/>
  <c r="H20" i="29"/>
  <c r="H21" i="29"/>
  <c r="H22" i="29"/>
  <c r="H23" i="29"/>
  <c r="H24" i="29"/>
  <c r="H25" i="29"/>
  <c r="H26" i="29"/>
  <c r="H27" i="29"/>
  <c r="H28" i="29"/>
  <c r="H29" i="29"/>
  <c r="H30" i="29"/>
  <c r="H31" i="29"/>
  <c r="H32" i="29"/>
  <c r="H33" i="29"/>
  <c r="H34" i="29"/>
  <c r="H35" i="29"/>
  <c r="H36" i="29"/>
  <c r="H37" i="29"/>
  <c r="H38" i="29"/>
  <c r="H39" i="29"/>
  <c r="H40" i="29"/>
  <c r="H41" i="29"/>
  <c r="H42" i="29"/>
  <c r="H43" i="29"/>
  <c r="H44" i="29"/>
  <c r="H45" i="29"/>
  <c r="H46" i="29"/>
  <c r="H47" i="29"/>
  <c r="H48" i="29"/>
  <c r="H49" i="29"/>
  <c r="H50" i="29"/>
  <c r="H51" i="29"/>
  <c r="H52" i="29"/>
  <c r="H53" i="29"/>
  <c r="H54" i="29"/>
  <c r="H55" i="29"/>
  <c r="H56" i="29"/>
  <c r="H57" i="29"/>
  <c r="H58" i="29"/>
  <c r="H59" i="29"/>
  <c r="H60" i="29"/>
  <c r="H61" i="29"/>
  <c r="H62" i="29"/>
  <c r="H63" i="29"/>
  <c r="H64" i="29"/>
  <c r="H65" i="29"/>
  <c r="H66" i="29"/>
  <c r="H67" i="29"/>
  <c r="H68" i="29"/>
  <c r="H69" i="29"/>
  <c r="H70" i="29"/>
  <c r="H71" i="29"/>
  <c r="H72" i="29"/>
  <c r="H73" i="29"/>
  <c r="H74" i="29"/>
  <c r="H75" i="29"/>
  <c r="H76" i="29"/>
  <c r="H77" i="29"/>
  <c r="H78" i="29"/>
  <c r="H79" i="29"/>
  <c r="H80" i="29"/>
  <c r="H81" i="29"/>
  <c r="H82" i="29"/>
  <c r="H83" i="29"/>
  <c r="H84" i="29"/>
  <c r="H85" i="29"/>
  <c r="H86" i="29"/>
  <c r="H87" i="29"/>
  <c r="H88" i="29"/>
  <c r="H89" i="29"/>
  <c r="H90" i="29"/>
  <c r="H91" i="29"/>
  <c r="H92" i="29"/>
  <c r="H93" i="29"/>
  <c r="H94" i="29"/>
  <c r="H95" i="29"/>
  <c r="H96" i="29"/>
  <c r="H97" i="29"/>
  <c r="H98" i="29"/>
  <c r="H99" i="29"/>
  <c r="H100" i="29"/>
  <c r="H101" i="29"/>
  <c r="H102" i="29"/>
  <c r="H6" i="29"/>
  <c r="H7" i="27"/>
  <c r="H8" i="27"/>
  <c r="H9" i="27"/>
  <c r="H10" i="27"/>
  <c r="H11" i="27"/>
  <c r="H12" i="27"/>
  <c r="H13" i="27"/>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H60" i="27"/>
  <c r="H61" i="27"/>
  <c r="H62" i="27"/>
  <c r="H63" i="27"/>
  <c r="H64" i="27"/>
  <c r="H65" i="27"/>
  <c r="H66" i="27"/>
  <c r="H67" i="27"/>
  <c r="H68" i="27"/>
  <c r="H69" i="27"/>
  <c r="H70" i="27"/>
  <c r="H71" i="27"/>
  <c r="H72" i="27"/>
  <c r="H73" i="27"/>
  <c r="H74" i="27"/>
  <c r="H75" i="27"/>
  <c r="H76" i="27"/>
  <c r="H77" i="27"/>
  <c r="H78" i="27"/>
  <c r="H79" i="27"/>
  <c r="H80" i="27"/>
  <c r="H81" i="27"/>
  <c r="H82" i="27"/>
  <c r="H83" i="27"/>
  <c r="H84" i="27"/>
  <c r="H85" i="27"/>
  <c r="H86" i="27"/>
  <c r="H87" i="27"/>
  <c r="H88" i="27"/>
  <c r="H89" i="27"/>
  <c r="H90" i="27"/>
  <c r="H91" i="27"/>
  <c r="H92" i="27"/>
  <c r="H93" i="27"/>
  <c r="H94" i="27"/>
  <c r="H95" i="27"/>
  <c r="H96" i="27"/>
  <c r="H97" i="27"/>
  <c r="H98" i="27"/>
  <c r="H99" i="27"/>
  <c r="H100" i="27"/>
  <c r="H101" i="27"/>
  <c r="H102" i="27"/>
  <c r="H6" i="27"/>
  <c r="D5"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4" i="9"/>
  <c r="C5" i="9"/>
  <c r="E5" i="9" s="1"/>
  <c r="C6" i="9"/>
  <c r="C7" i="9"/>
  <c r="C8" i="9"/>
  <c r="E8" i="9" s="1"/>
  <c r="C9" i="9"/>
  <c r="E9" i="9" s="1"/>
  <c r="C10" i="9"/>
  <c r="C11" i="9"/>
  <c r="E11" i="9" s="1"/>
  <c r="C12" i="9"/>
  <c r="E12" i="9" s="1"/>
  <c r="C13" i="9"/>
  <c r="E13" i="9" s="1"/>
  <c r="C14" i="9"/>
  <c r="E14" i="9" s="1"/>
  <c r="C15" i="9"/>
  <c r="E15" i="9" s="1"/>
  <c r="C16" i="9"/>
  <c r="E16" i="9" s="1"/>
  <c r="C17" i="9"/>
  <c r="E17" i="9" s="1"/>
  <c r="C18" i="9"/>
  <c r="C19" i="9"/>
  <c r="C20" i="9"/>
  <c r="C21" i="9"/>
  <c r="E21" i="9" s="1"/>
  <c r="C22" i="9"/>
  <c r="E22" i="9" s="1"/>
  <c r="C23" i="9"/>
  <c r="E23" i="9" s="1"/>
  <c r="C24" i="9"/>
  <c r="E24" i="9" s="1"/>
  <c r="C25" i="9"/>
  <c r="E25" i="9" s="1"/>
  <c r="C26" i="9"/>
  <c r="E26" i="9" s="1"/>
  <c r="C27" i="9"/>
  <c r="E27" i="9" s="1"/>
  <c r="C28" i="9"/>
  <c r="E28" i="9" s="1"/>
  <c r="C29" i="9"/>
  <c r="E29" i="9" s="1"/>
  <c r="C30" i="9"/>
  <c r="C31" i="9"/>
  <c r="C32" i="9"/>
  <c r="C33" i="9"/>
  <c r="C34" i="9"/>
  <c r="E34" i="9" s="1"/>
  <c r="C35" i="9"/>
  <c r="E35" i="9" s="1"/>
  <c r="C36" i="9"/>
  <c r="E36" i="9" s="1"/>
  <c r="C37" i="9"/>
  <c r="E37" i="9" s="1"/>
  <c r="C38" i="9"/>
  <c r="E38" i="9" s="1"/>
  <c r="C39" i="9"/>
  <c r="E39" i="9" s="1"/>
  <c r="C40" i="9"/>
  <c r="E40" i="9" s="1"/>
  <c r="C41" i="9"/>
  <c r="E41" i="9" s="1"/>
  <c r="C42" i="9"/>
  <c r="C43" i="9"/>
  <c r="C44" i="9"/>
  <c r="E44" i="9" s="1"/>
  <c r="C45" i="9"/>
  <c r="C46" i="9"/>
  <c r="C47" i="9"/>
  <c r="E47" i="9" s="1"/>
  <c r="C48" i="9"/>
  <c r="E48" i="9" s="1"/>
  <c r="C49" i="9"/>
  <c r="E49" i="9" s="1"/>
  <c r="C50" i="9"/>
  <c r="E50" i="9" s="1"/>
  <c r="C51" i="9"/>
  <c r="E51" i="9" s="1"/>
  <c r="C52" i="9"/>
  <c r="E52" i="9" s="1"/>
  <c r="C53" i="9"/>
  <c r="E53" i="9" s="1"/>
  <c r="C54" i="9"/>
  <c r="E54" i="9" s="1"/>
  <c r="C55" i="9"/>
  <c r="E55" i="9" s="1"/>
  <c r="C56" i="9"/>
  <c r="C57" i="9"/>
  <c r="E57" i="9" s="1"/>
  <c r="C58" i="9"/>
  <c r="E58" i="9" s="1"/>
  <c r="C59" i="9"/>
  <c r="E59" i="9" s="1"/>
  <c r="C60" i="9"/>
  <c r="E60" i="9" s="1"/>
  <c r="C61" i="9"/>
  <c r="E61" i="9" s="1"/>
  <c r="C62" i="9"/>
  <c r="E62" i="9" s="1"/>
  <c r="C63" i="9"/>
  <c r="E63" i="9" s="1"/>
  <c r="C64" i="9"/>
  <c r="E64" i="9" s="1"/>
  <c r="C65" i="9"/>
  <c r="E65" i="9" s="1"/>
  <c r="C66" i="9"/>
  <c r="C67" i="9"/>
  <c r="C68" i="9"/>
  <c r="C69" i="9"/>
  <c r="E69" i="9" s="1"/>
  <c r="C70" i="9"/>
  <c r="E70" i="9" s="1"/>
  <c r="C71" i="9"/>
  <c r="E71" i="9" s="1"/>
  <c r="C72" i="9"/>
  <c r="E72" i="9" s="1"/>
  <c r="C73" i="9"/>
  <c r="E73" i="9" s="1"/>
  <c r="C74" i="9"/>
  <c r="E74" i="9" s="1"/>
  <c r="C75" i="9"/>
  <c r="E75" i="9" s="1"/>
  <c r="C76" i="9"/>
  <c r="E76" i="9" s="1"/>
  <c r="C77" i="9"/>
  <c r="E77" i="9" s="1"/>
  <c r="C78" i="9"/>
  <c r="E78" i="9" s="1"/>
  <c r="C79" i="9"/>
  <c r="C80" i="9"/>
  <c r="C81" i="9"/>
  <c r="E81" i="9" s="1"/>
  <c r="C82" i="9"/>
  <c r="E82" i="9" s="1"/>
  <c r="C83" i="9"/>
  <c r="E83" i="9" s="1"/>
  <c r="C84" i="9"/>
  <c r="E84" i="9" s="1"/>
  <c r="C85" i="9"/>
  <c r="E85" i="9" s="1"/>
  <c r="C86" i="9"/>
  <c r="E86" i="9" s="1"/>
  <c r="C87" i="9"/>
  <c r="E87" i="9" s="1"/>
  <c r="C88" i="9"/>
  <c r="E88" i="9" s="1"/>
  <c r="C89" i="9"/>
  <c r="E89" i="9" s="1"/>
  <c r="C90" i="9"/>
  <c r="C91" i="9"/>
  <c r="C92" i="9"/>
  <c r="E92" i="9" s="1"/>
  <c r="C93" i="9"/>
  <c r="E93" i="9" s="1"/>
  <c r="C94" i="9"/>
  <c r="E94" i="9" s="1"/>
  <c r="C95" i="9"/>
  <c r="E95" i="9" s="1"/>
  <c r="C96" i="9"/>
  <c r="E96" i="9" s="1"/>
  <c r="C97" i="9"/>
  <c r="E97" i="9" s="1"/>
  <c r="C98" i="9"/>
  <c r="E98" i="9" s="1"/>
  <c r="C99" i="9"/>
  <c r="E99" i="9" s="1"/>
  <c r="C100" i="9"/>
  <c r="E100" i="9" s="1"/>
  <c r="C4" i="9"/>
  <c r="E4" i="9" s="1"/>
  <c r="G7" i="27"/>
  <c r="I7" i="27" s="1"/>
  <c r="J7" i="27" s="1"/>
  <c r="N7" i="16" s="1"/>
  <c r="G8" i="27"/>
  <c r="I8" i="27" s="1"/>
  <c r="J8" i="27" s="1"/>
  <c r="N8" i="16" s="1"/>
  <c r="G9" i="27"/>
  <c r="G10" i="27"/>
  <c r="G11" i="27"/>
  <c r="I11" i="27" s="1"/>
  <c r="J11" i="27" s="1"/>
  <c r="N11" i="16" s="1"/>
  <c r="G12" i="27"/>
  <c r="I12" i="27" s="1"/>
  <c r="J12" i="27" s="1"/>
  <c r="N12" i="16" s="1"/>
  <c r="G13" i="27"/>
  <c r="I13" i="27" s="1"/>
  <c r="J13" i="27" s="1"/>
  <c r="N13" i="16" s="1"/>
  <c r="G14" i="27"/>
  <c r="I14" i="27" s="1"/>
  <c r="J14" i="27" s="1"/>
  <c r="N14" i="16" s="1"/>
  <c r="G15" i="27"/>
  <c r="I15" i="27" s="1"/>
  <c r="J15" i="27" s="1"/>
  <c r="N15" i="16" s="1"/>
  <c r="G16" i="27"/>
  <c r="I16" i="27" s="1"/>
  <c r="J16" i="27" s="1"/>
  <c r="N16" i="16" s="1"/>
  <c r="G17" i="27"/>
  <c r="I17" i="27" s="1"/>
  <c r="J17" i="27" s="1"/>
  <c r="N17" i="16" s="1"/>
  <c r="G18" i="27"/>
  <c r="I18" i="27" s="1"/>
  <c r="J18" i="27" s="1"/>
  <c r="N18" i="16" s="1"/>
  <c r="G19" i="27"/>
  <c r="I19" i="27" s="1"/>
  <c r="J19" i="27" s="1"/>
  <c r="N19" i="16" s="1"/>
  <c r="G20" i="27"/>
  <c r="I20" i="27" s="1"/>
  <c r="J20" i="27" s="1"/>
  <c r="N20" i="16" s="1"/>
  <c r="G21" i="27"/>
  <c r="G22" i="27"/>
  <c r="G23" i="27"/>
  <c r="I23" i="27" s="1"/>
  <c r="J23" i="27" s="1"/>
  <c r="N23" i="16" s="1"/>
  <c r="G24" i="27"/>
  <c r="I24" i="27" s="1"/>
  <c r="J24" i="27" s="1"/>
  <c r="N24" i="16" s="1"/>
  <c r="G25" i="27"/>
  <c r="I25" i="27" s="1"/>
  <c r="J25" i="27" s="1"/>
  <c r="N25" i="16" s="1"/>
  <c r="G26" i="27"/>
  <c r="I26" i="27" s="1"/>
  <c r="J26" i="27" s="1"/>
  <c r="N26" i="16" s="1"/>
  <c r="G27" i="27"/>
  <c r="I27" i="27" s="1"/>
  <c r="J27" i="27" s="1"/>
  <c r="N27" i="16" s="1"/>
  <c r="G28" i="27"/>
  <c r="I28" i="27" s="1"/>
  <c r="J28" i="27" s="1"/>
  <c r="N28" i="16" s="1"/>
  <c r="G29" i="27"/>
  <c r="I29" i="27" s="1"/>
  <c r="J29" i="27" s="1"/>
  <c r="N29" i="16" s="1"/>
  <c r="G30" i="27"/>
  <c r="I30" i="27" s="1"/>
  <c r="J30" i="27" s="1"/>
  <c r="N30" i="16" s="1"/>
  <c r="G31" i="27"/>
  <c r="I31" i="27" s="1"/>
  <c r="J31" i="27" s="1"/>
  <c r="N31" i="16" s="1"/>
  <c r="G32" i="27"/>
  <c r="I32" i="27" s="1"/>
  <c r="J32" i="27" s="1"/>
  <c r="N32" i="16" s="1"/>
  <c r="G33" i="27"/>
  <c r="G34" i="27"/>
  <c r="G35" i="27"/>
  <c r="I35" i="27" s="1"/>
  <c r="J35" i="27" s="1"/>
  <c r="N35" i="16" s="1"/>
  <c r="G36" i="27"/>
  <c r="I36" i="27" s="1"/>
  <c r="J36" i="27" s="1"/>
  <c r="N36" i="16" s="1"/>
  <c r="G37" i="27"/>
  <c r="I37" i="27" s="1"/>
  <c r="J37" i="27" s="1"/>
  <c r="N37" i="16" s="1"/>
  <c r="G38" i="27"/>
  <c r="I38" i="27" s="1"/>
  <c r="J38" i="27" s="1"/>
  <c r="N38" i="16" s="1"/>
  <c r="G39" i="27"/>
  <c r="I39" i="27" s="1"/>
  <c r="J39" i="27" s="1"/>
  <c r="N39" i="16" s="1"/>
  <c r="G40" i="27"/>
  <c r="I40" i="27" s="1"/>
  <c r="J40" i="27" s="1"/>
  <c r="N40" i="16" s="1"/>
  <c r="G41" i="27"/>
  <c r="I41" i="27" s="1"/>
  <c r="J41" i="27" s="1"/>
  <c r="N41" i="16" s="1"/>
  <c r="G42" i="27"/>
  <c r="I42" i="27" s="1"/>
  <c r="J42" i="27" s="1"/>
  <c r="N42" i="16" s="1"/>
  <c r="G43" i="27"/>
  <c r="I43" i="27" s="1"/>
  <c r="J43" i="27" s="1"/>
  <c r="N43" i="16" s="1"/>
  <c r="G44" i="27"/>
  <c r="I44" i="27" s="1"/>
  <c r="J44" i="27" s="1"/>
  <c r="N44" i="16" s="1"/>
  <c r="G45" i="27"/>
  <c r="G46" i="27"/>
  <c r="G47" i="27"/>
  <c r="I47" i="27" s="1"/>
  <c r="J47" i="27" s="1"/>
  <c r="N47" i="16" s="1"/>
  <c r="G48" i="27"/>
  <c r="I48" i="27" s="1"/>
  <c r="J48" i="27" s="1"/>
  <c r="N48" i="16" s="1"/>
  <c r="G49" i="27"/>
  <c r="I49" i="27" s="1"/>
  <c r="J49" i="27" s="1"/>
  <c r="N49" i="16" s="1"/>
  <c r="G50" i="27"/>
  <c r="I50" i="27" s="1"/>
  <c r="J50" i="27" s="1"/>
  <c r="N50" i="16" s="1"/>
  <c r="G51" i="27"/>
  <c r="I51" i="27" s="1"/>
  <c r="J51" i="27" s="1"/>
  <c r="N51" i="16" s="1"/>
  <c r="G52" i="27"/>
  <c r="I52" i="27" s="1"/>
  <c r="J52" i="27" s="1"/>
  <c r="N52" i="16" s="1"/>
  <c r="G53" i="27"/>
  <c r="I53" i="27" s="1"/>
  <c r="J53" i="27" s="1"/>
  <c r="N53" i="16" s="1"/>
  <c r="G54" i="27"/>
  <c r="I54" i="27" s="1"/>
  <c r="J54" i="27" s="1"/>
  <c r="N54" i="16" s="1"/>
  <c r="G55" i="27"/>
  <c r="I55" i="27" s="1"/>
  <c r="J55" i="27" s="1"/>
  <c r="N55" i="16" s="1"/>
  <c r="G56" i="27"/>
  <c r="I56" i="27" s="1"/>
  <c r="J56" i="27" s="1"/>
  <c r="N56" i="16" s="1"/>
  <c r="G57" i="27"/>
  <c r="G58" i="27"/>
  <c r="G59" i="27"/>
  <c r="I59" i="27" s="1"/>
  <c r="J59" i="27" s="1"/>
  <c r="N59" i="16" s="1"/>
  <c r="G60" i="27"/>
  <c r="I60" i="27" s="1"/>
  <c r="J60" i="27" s="1"/>
  <c r="N60" i="16" s="1"/>
  <c r="G61" i="27"/>
  <c r="I61" i="27" s="1"/>
  <c r="J61" i="27" s="1"/>
  <c r="N61" i="16" s="1"/>
  <c r="G62" i="27"/>
  <c r="I62" i="27" s="1"/>
  <c r="J62" i="27" s="1"/>
  <c r="N62" i="16" s="1"/>
  <c r="G63" i="27"/>
  <c r="I63" i="27" s="1"/>
  <c r="J63" i="27" s="1"/>
  <c r="N63" i="16" s="1"/>
  <c r="G64" i="27"/>
  <c r="I64" i="27" s="1"/>
  <c r="J64" i="27" s="1"/>
  <c r="N64" i="16" s="1"/>
  <c r="G65" i="27"/>
  <c r="I65" i="27" s="1"/>
  <c r="J65" i="27" s="1"/>
  <c r="N65" i="16" s="1"/>
  <c r="G66" i="27"/>
  <c r="I66" i="27" s="1"/>
  <c r="J66" i="27" s="1"/>
  <c r="N66" i="16" s="1"/>
  <c r="G67" i="27"/>
  <c r="I67" i="27" s="1"/>
  <c r="J67" i="27" s="1"/>
  <c r="N67" i="16" s="1"/>
  <c r="G68" i="27"/>
  <c r="I68" i="27" s="1"/>
  <c r="J68" i="27" s="1"/>
  <c r="N68" i="16" s="1"/>
  <c r="G69" i="27"/>
  <c r="G70" i="27"/>
  <c r="G71" i="27"/>
  <c r="I71" i="27" s="1"/>
  <c r="J71" i="27" s="1"/>
  <c r="N71" i="16" s="1"/>
  <c r="G72" i="27"/>
  <c r="I72" i="27" s="1"/>
  <c r="J72" i="27" s="1"/>
  <c r="N72" i="16" s="1"/>
  <c r="G73" i="27"/>
  <c r="I73" i="27" s="1"/>
  <c r="J73" i="27" s="1"/>
  <c r="N73" i="16" s="1"/>
  <c r="G74" i="27"/>
  <c r="I74" i="27" s="1"/>
  <c r="J74" i="27" s="1"/>
  <c r="N74" i="16" s="1"/>
  <c r="G75" i="27"/>
  <c r="I75" i="27" s="1"/>
  <c r="J75" i="27" s="1"/>
  <c r="N75" i="16" s="1"/>
  <c r="G76" i="27"/>
  <c r="I76" i="27" s="1"/>
  <c r="J76" i="27" s="1"/>
  <c r="N76" i="16" s="1"/>
  <c r="G77" i="27"/>
  <c r="I77" i="27" s="1"/>
  <c r="J77" i="27" s="1"/>
  <c r="N77" i="16" s="1"/>
  <c r="G78" i="27"/>
  <c r="I78" i="27" s="1"/>
  <c r="J78" i="27" s="1"/>
  <c r="N78" i="16" s="1"/>
  <c r="G79" i="27"/>
  <c r="I79" i="27" s="1"/>
  <c r="J79" i="27" s="1"/>
  <c r="N79" i="16" s="1"/>
  <c r="G80" i="27"/>
  <c r="I80" i="27" s="1"/>
  <c r="J80" i="27" s="1"/>
  <c r="N80" i="16" s="1"/>
  <c r="G81" i="27"/>
  <c r="G82" i="27"/>
  <c r="G83" i="27"/>
  <c r="I83" i="27" s="1"/>
  <c r="J83" i="27" s="1"/>
  <c r="N83" i="16" s="1"/>
  <c r="G84" i="27"/>
  <c r="I84" i="27" s="1"/>
  <c r="J84" i="27" s="1"/>
  <c r="N84" i="16" s="1"/>
  <c r="G85" i="27"/>
  <c r="I85" i="27" s="1"/>
  <c r="J85" i="27" s="1"/>
  <c r="N85" i="16" s="1"/>
  <c r="G86" i="27"/>
  <c r="I86" i="27" s="1"/>
  <c r="J86" i="27" s="1"/>
  <c r="N86" i="16" s="1"/>
  <c r="G87" i="27"/>
  <c r="I87" i="27" s="1"/>
  <c r="J87" i="27" s="1"/>
  <c r="N87" i="16" s="1"/>
  <c r="G88" i="27"/>
  <c r="I88" i="27" s="1"/>
  <c r="J88" i="27" s="1"/>
  <c r="N88" i="16" s="1"/>
  <c r="G89" i="27"/>
  <c r="I89" i="27" s="1"/>
  <c r="J89" i="27" s="1"/>
  <c r="N89" i="16" s="1"/>
  <c r="G90" i="27"/>
  <c r="I90" i="27" s="1"/>
  <c r="J90" i="27" s="1"/>
  <c r="N90" i="16" s="1"/>
  <c r="G91" i="27"/>
  <c r="I91" i="27" s="1"/>
  <c r="J91" i="27" s="1"/>
  <c r="N91" i="16" s="1"/>
  <c r="G92" i="27"/>
  <c r="I92" i="27" s="1"/>
  <c r="J92" i="27" s="1"/>
  <c r="N92" i="16" s="1"/>
  <c r="G93" i="27"/>
  <c r="G94" i="27"/>
  <c r="G95" i="27"/>
  <c r="I95" i="27" s="1"/>
  <c r="J95" i="27" s="1"/>
  <c r="N95" i="16" s="1"/>
  <c r="G96" i="27"/>
  <c r="I96" i="27" s="1"/>
  <c r="J96" i="27" s="1"/>
  <c r="N96" i="16" s="1"/>
  <c r="G97" i="27"/>
  <c r="I97" i="27" s="1"/>
  <c r="J97" i="27" s="1"/>
  <c r="N97" i="16" s="1"/>
  <c r="G98" i="27"/>
  <c r="I98" i="27" s="1"/>
  <c r="J98" i="27" s="1"/>
  <c r="N98" i="16" s="1"/>
  <c r="G99" i="27"/>
  <c r="I99" i="27" s="1"/>
  <c r="J99" i="27" s="1"/>
  <c r="N99" i="16" s="1"/>
  <c r="G100" i="27"/>
  <c r="I100" i="27" s="1"/>
  <c r="J100" i="27" s="1"/>
  <c r="N100" i="16" s="1"/>
  <c r="G101" i="27"/>
  <c r="I101" i="27" s="1"/>
  <c r="J101" i="27" s="1"/>
  <c r="N101" i="16" s="1"/>
  <c r="G102" i="27"/>
  <c r="I102" i="27" s="1"/>
  <c r="J102" i="27" s="1"/>
  <c r="N102" i="16" s="1"/>
  <c r="G6" i="27"/>
  <c r="I6" i="27" s="1"/>
  <c r="J6" i="27" s="1"/>
  <c r="N6" i="16" s="1"/>
  <c r="G7" i="29"/>
  <c r="I7" i="29" s="1"/>
  <c r="G8" i="29"/>
  <c r="I8" i="29" s="1"/>
  <c r="G9" i="29"/>
  <c r="I9" i="29" s="1"/>
  <c r="G10" i="29"/>
  <c r="I10" i="29" s="1"/>
  <c r="G11" i="29"/>
  <c r="I11" i="29" s="1"/>
  <c r="G12" i="29"/>
  <c r="I12" i="29" s="1"/>
  <c r="G13" i="29"/>
  <c r="I13" i="29" s="1"/>
  <c r="G14" i="29"/>
  <c r="I14" i="29" s="1"/>
  <c r="G15" i="29"/>
  <c r="I15" i="29" s="1"/>
  <c r="G16" i="29"/>
  <c r="I16" i="29" s="1"/>
  <c r="G17" i="29"/>
  <c r="I17" i="29" s="1"/>
  <c r="G18" i="29"/>
  <c r="I18" i="29" s="1"/>
  <c r="G19" i="29"/>
  <c r="I19" i="29" s="1"/>
  <c r="G20" i="29"/>
  <c r="I20" i="29" s="1"/>
  <c r="G21" i="29"/>
  <c r="I21" i="29" s="1"/>
  <c r="G22" i="29"/>
  <c r="I22" i="29" s="1"/>
  <c r="G23" i="29"/>
  <c r="I23" i="29" s="1"/>
  <c r="G24" i="29"/>
  <c r="I24" i="29" s="1"/>
  <c r="G25" i="29"/>
  <c r="I25" i="29" s="1"/>
  <c r="G26" i="29"/>
  <c r="I26" i="29" s="1"/>
  <c r="G27" i="29"/>
  <c r="I27" i="29" s="1"/>
  <c r="G28" i="29"/>
  <c r="I28" i="29" s="1"/>
  <c r="G29" i="29"/>
  <c r="I29" i="29" s="1"/>
  <c r="G30" i="29"/>
  <c r="I30" i="29" s="1"/>
  <c r="G31" i="29"/>
  <c r="I31" i="29" s="1"/>
  <c r="G32" i="29"/>
  <c r="I32" i="29" s="1"/>
  <c r="G33" i="29"/>
  <c r="I33" i="29" s="1"/>
  <c r="G34" i="29"/>
  <c r="I34" i="29" s="1"/>
  <c r="G35" i="29"/>
  <c r="I35" i="29" s="1"/>
  <c r="G36" i="29"/>
  <c r="I36" i="29" s="1"/>
  <c r="G37" i="29"/>
  <c r="I37" i="29" s="1"/>
  <c r="G38" i="29"/>
  <c r="I38" i="29" s="1"/>
  <c r="G39" i="29"/>
  <c r="I39" i="29" s="1"/>
  <c r="G40" i="29"/>
  <c r="I40" i="29" s="1"/>
  <c r="G41" i="29"/>
  <c r="I41" i="29" s="1"/>
  <c r="G42" i="29"/>
  <c r="I42" i="29" s="1"/>
  <c r="G43" i="29"/>
  <c r="I43" i="29" s="1"/>
  <c r="G44" i="29"/>
  <c r="I44" i="29" s="1"/>
  <c r="G45" i="29"/>
  <c r="I45" i="29" s="1"/>
  <c r="G46" i="29"/>
  <c r="I46" i="29" s="1"/>
  <c r="G47" i="29"/>
  <c r="I47" i="29" s="1"/>
  <c r="G48" i="29"/>
  <c r="I48" i="29" s="1"/>
  <c r="G49" i="29"/>
  <c r="I49" i="29" s="1"/>
  <c r="G50" i="29"/>
  <c r="I50" i="29" s="1"/>
  <c r="G51" i="29"/>
  <c r="I51" i="29" s="1"/>
  <c r="G52" i="29"/>
  <c r="I52" i="29" s="1"/>
  <c r="G53" i="29"/>
  <c r="I53" i="29" s="1"/>
  <c r="G54" i="29"/>
  <c r="I54" i="29" s="1"/>
  <c r="G55" i="29"/>
  <c r="I55" i="29" s="1"/>
  <c r="G56" i="29"/>
  <c r="I56" i="29" s="1"/>
  <c r="G57" i="29"/>
  <c r="I57" i="29" s="1"/>
  <c r="G58" i="29"/>
  <c r="I58" i="29" s="1"/>
  <c r="G59" i="29"/>
  <c r="I59" i="29" s="1"/>
  <c r="G60" i="29"/>
  <c r="I60" i="29" s="1"/>
  <c r="G61" i="29"/>
  <c r="I61" i="29" s="1"/>
  <c r="G62" i="29"/>
  <c r="I62" i="29" s="1"/>
  <c r="G63" i="29"/>
  <c r="I63" i="29" s="1"/>
  <c r="G64" i="29"/>
  <c r="I64" i="29" s="1"/>
  <c r="G65" i="29"/>
  <c r="I65" i="29" s="1"/>
  <c r="G66" i="29"/>
  <c r="I66" i="29" s="1"/>
  <c r="G67" i="29"/>
  <c r="I67" i="29" s="1"/>
  <c r="G68" i="29"/>
  <c r="I68" i="29" s="1"/>
  <c r="G69" i="29"/>
  <c r="I69" i="29" s="1"/>
  <c r="G70" i="29"/>
  <c r="I70" i="29" s="1"/>
  <c r="G71" i="29"/>
  <c r="I71" i="29" s="1"/>
  <c r="G72" i="29"/>
  <c r="I72" i="29" s="1"/>
  <c r="G73" i="29"/>
  <c r="I73" i="29" s="1"/>
  <c r="G74" i="29"/>
  <c r="I74" i="29" s="1"/>
  <c r="G75" i="29"/>
  <c r="I75" i="29" s="1"/>
  <c r="G76" i="29"/>
  <c r="I76" i="29" s="1"/>
  <c r="G77" i="29"/>
  <c r="I77" i="29" s="1"/>
  <c r="G78" i="29"/>
  <c r="I78" i="29" s="1"/>
  <c r="G79" i="29"/>
  <c r="I79" i="29" s="1"/>
  <c r="G80" i="29"/>
  <c r="I80" i="29" s="1"/>
  <c r="G81" i="29"/>
  <c r="I81" i="29" s="1"/>
  <c r="G82" i="29"/>
  <c r="I82" i="29" s="1"/>
  <c r="G83" i="29"/>
  <c r="I83" i="29" s="1"/>
  <c r="G84" i="29"/>
  <c r="I84" i="29" s="1"/>
  <c r="G85" i="29"/>
  <c r="I85" i="29" s="1"/>
  <c r="G86" i="29"/>
  <c r="I86" i="29" s="1"/>
  <c r="G87" i="29"/>
  <c r="I87" i="29" s="1"/>
  <c r="G88" i="29"/>
  <c r="I88" i="29" s="1"/>
  <c r="G89" i="29"/>
  <c r="I89" i="29" s="1"/>
  <c r="G90" i="29"/>
  <c r="I90" i="29" s="1"/>
  <c r="G91" i="29"/>
  <c r="I91" i="29" s="1"/>
  <c r="G92" i="29"/>
  <c r="I92" i="29" s="1"/>
  <c r="G93" i="29"/>
  <c r="I93" i="29" s="1"/>
  <c r="G94" i="29"/>
  <c r="I94" i="29" s="1"/>
  <c r="G95" i="29"/>
  <c r="I95" i="29" s="1"/>
  <c r="G96" i="29"/>
  <c r="I96" i="29" s="1"/>
  <c r="G97" i="29"/>
  <c r="I97" i="29" s="1"/>
  <c r="G98" i="29"/>
  <c r="I98" i="29" s="1"/>
  <c r="G99" i="29"/>
  <c r="I99" i="29" s="1"/>
  <c r="G100" i="29"/>
  <c r="I100" i="29" s="1"/>
  <c r="G101" i="29"/>
  <c r="I101" i="29" s="1"/>
  <c r="G102" i="29"/>
  <c r="I102" i="29" s="1"/>
  <c r="G6" i="29"/>
  <c r="I6" i="29" s="1"/>
  <c r="J100" i="29" l="1"/>
  <c r="P100" i="16"/>
  <c r="P88" i="16"/>
  <c r="J88" i="29"/>
  <c r="J76" i="29"/>
  <c r="P76" i="16"/>
  <c r="P64" i="16"/>
  <c r="J64" i="29"/>
  <c r="P52" i="16"/>
  <c r="J52" i="29"/>
  <c r="J40" i="29"/>
  <c r="P40" i="16"/>
  <c r="P28" i="16"/>
  <c r="J28" i="29"/>
  <c r="P16" i="16"/>
  <c r="J16" i="29"/>
  <c r="P99" i="16"/>
  <c r="J99" i="29"/>
  <c r="P87" i="16"/>
  <c r="J87" i="29"/>
  <c r="J75" i="29"/>
  <c r="P75" i="16"/>
  <c r="J63" i="29"/>
  <c r="P63" i="16"/>
  <c r="P51" i="16"/>
  <c r="J51" i="29"/>
  <c r="J39" i="29"/>
  <c r="P39" i="16"/>
  <c r="J27" i="29"/>
  <c r="P27" i="16"/>
  <c r="J15" i="29"/>
  <c r="P15" i="16"/>
  <c r="J98" i="29"/>
  <c r="P98" i="16"/>
  <c r="P86" i="16"/>
  <c r="J86" i="29"/>
  <c r="J74" i="29"/>
  <c r="P74" i="16"/>
  <c r="J62" i="29"/>
  <c r="P62" i="16"/>
  <c r="P50" i="16"/>
  <c r="J50" i="29"/>
  <c r="J38" i="29"/>
  <c r="P38" i="16"/>
  <c r="J26" i="29"/>
  <c r="P26" i="16"/>
  <c r="J14" i="29"/>
  <c r="P14" i="16"/>
  <c r="J97" i="29"/>
  <c r="P97" i="16"/>
  <c r="J85" i="29"/>
  <c r="P85" i="16"/>
  <c r="J73" i="29"/>
  <c r="P73" i="16"/>
  <c r="J61" i="29"/>
  <c r="P61" i="16"/>
  <c r="J49" i="29"/>
  <c r="P49" i="16"/>
  <c r="J37" i="29"/>
  <c r="P37" i="16"/>
  <c r="J25" i="29"/>
  <c r="P25" i="16"/>
  <c r="J13" i="29"/>
  <c r="P13" i="16"/>
  <c r="J96" i="29"/>
  <c r="P96" i="16"/>
  <c r="J84" i="29"/>
  <c r="P84" i="16"/>
  <c r="P72" i="16"/>
  <c r="J72" i="29"/>
  <c r="P60" i="16"/>
  <c r="J60" i="29"/>
  <c r="P48" i="16"/>
  <c r="J48" i="29"/>
  <c r="P36" i="16"/>
  <c r="J36" i="29"/>
  <c r="J24" i="29"/>
  <c r="P24" i="16"/>
  <c r="P12" i="16"/>
  <c r="J12" i="29"/>
  <c r="P95" i="16"/>
  <c r="J95" i="29"/>
  <c r="J83" i="29"/>
  <c r="P83" i="16"/>
  <c r="J71" i="29"/>
  <c r="P71" i="16"/>
  <c r="P59" i="16"/>
  <c r="J59" i="29"/>
  <c r="J47" i="29"/>
  <c r="P47" i="16"/>
  <c r="P35" i="16"/>
  <c r="J35" i="29"/>
  <c r="J23" i="29"/>
  <c r="P23" i="16"/>
  <c r="P11" i="16"/>
  <c r="J11" i="29"/>
  <c r="J94" i="29"/>
  <c r="P94" i="16"/>
  <c r="P82" i="16"/>
  <c r="J82" i="29"/>
  <c r="J70" i="29"/>
  <c r="P70" i="16"/>
  <c r="J58" i="29"/>
  <c r="P58" i="16"/>
  <c r="J46" i="29"/>
  <c r="P46" i="16"/>
  <c r="P34" i="16"/>
  <c r="J34" i="29"/>
  <c r="J22" i="29"/>
  <c r="P22" i="16"/>
  <c r="P10" i="16"/>
  <c r="J10" i="29"/>
  <c r="J93" i="29"/>
  <c r="P93" i="16"/>
  <c r="P81" i="16"/>
  <c r="J81" i="29"/>
  <c r="P69" i="16"/>
  <c r="J69" i="29"/>
  <c r="J57" i="29"/>
  <c r="P57" i="16"/>
  <c r="J45" i="29"/>
  <c r="P45" i="16"/>
  <c r="P33" i="16"/>
  <c r="J33" i="29"/>
  <c r="J21" i="29"/>
  <c r="P21" i="16"/>
  <c r="P9" i="16"/>
  <c r="J9" i="29"/>
  <c r="P92" i="16"/>
  <c r="J92" i="29"/>
  <c r="P80" i="16"/>
  <c r="J80" i="29"/>
  <c r="P68" i="16"/>
  <c r="J68" i="29"/>
  <c r="P56" i="16"/>
  <c r="J56" i="29"/>
  <c r="P44" i="16"/>
  <c r="J44" i="29"/>
  <c r="P32" i="16"/>
  <c r="J32" i="29"/>
  <c r="P20" i="16"/>
  <c r="J20" i="29"/>
  <c r="P8" i="16"/>
  <c r="J8" i="29"/>
  <c r="P6" i="16"/>
  <c r="J6" i="29"/>
  <c r="J91" i="29"/>
  <c r="P91" i="16"/>
  <c r="P79" i="16"/>
  <c r="J79" i="29"/>
  <c r="P67" i="16"/>
  <c r="J67" i="29"/>
  <c r="P55" i="16"/>
  <c r="J55" i="29"/>
  <c r="P43" i="16"/>
  <c r="J43" i="29"/>
  <c r="J31" i="29"/>
  <c r="P31" i="16"/>
  <c r="J19" i="29"/>
  <c r="P19" i="16"/>
  <c r="J7" i="29"/>
  <c r="P7" i="16"/>
  <c r="P102" i="16"/>
  <c r="J102" i="29"/>
  <c r="P90" i="16"/>
  <c r="J90" i="29"/>
  <c r="J78" i="29"/>
  <c r="P78" i="16"/>
  <c r="P66" i="16"/>
  <c r="J66" i="29"/>
  <c r="J54" i="29"/>
  <c r="P54" i="16"/>
  <c r="P42" i="16"/>
  <c r="J42" i="29"/>
  <c r="P30" i="16"/>
  <c r="J30" i="29"/>
  <c r="J18" i="29"/>
  <c r="P18" i="16"/>
  <c r="P101" i="16"/>
  <c r="J101" i="29"/>
  <c r="P89" i="16"/>
  <c r="J89" i="29"/>
  <c r="J77" i="29"/>
  <c r="P77" i="16"/>
  <c r="P65" i="16"/>
  <c r="J65" i="29"/>
  <c r="P53" i="16"/>
  <c r="J53" i="29"/>
  <c r="J41" i="29"/>
  <c r="P41" i="16"/>
  <c r="P29" i="16"/>
  <c r="J29" i="29"/>
  <c r="P17" i="16"/>
  <c r="J17" i="29"/>
  <c r="I94" i="27"/>
  <c r="J94" i="27" s="1"/>
  <c r="N94" i="16" s="1"/>
  <c r="I82" i="27"/>
  <c r="J82" i="27" s="1"/>
  <c r="N82" i="16" s="1"/>
  <c r="I70" i="27"/>
  <c r="J70" i="27" s="1"/>
  <c r="N70" i="16" s="1"/>
  <c r="I58" i="27"/>
  <c r="J58" i="27" s="1"/>
  <c r="N58" i="16" s="1"/>
  <c r="I46" i="27"/>
  <c r="J46" i="27" s="1"/>
  <c r="N46" i="16" s="1"/>
  <c r="I34" i="27"/>
  <c r="J34" i="27" s="1"/>
  <c r="N34" i="16" s="1"/>
  <c r="I22" i="27"/>
  <c r="J22" i="27" s="1"/>
  <c r="N22" i="16" s="1"/>
  <c r="I10" i="27"/>
  <c r="J10" i="27" s="1"/>
  <c r="N10" i="16" s="1"/>
  <c r="I93" i="27"/>
  <c r="J93" i="27" s="1"/>
  <c r="N93" i="16" s="1"/>
  <c r="I81" i="27"/>
  <c r="J81" i="27" s="1"/>
  <c r="N81" i="16" s="1"/>
  <c r="I69" i="27"/>
  <c r="J69" i="27" s="1"/>
  <c r="N69" i="16" s="1"/>
  <c r="I57" i="27"/>
  <c r="J57" i="27" s="1"/>
  <c r="N57" i="16" s="1"/>
  <c r="I45" i="27"/>
  <c r="J45" i="27" s="1"/>
  <c r="N45" i="16" s="1"/>
  <c r="I33" i="27"/>
  <c r="J33" i="27" s="1"/>
  <c r="N33" i="16" s="1"/>
  <c r="I21" i="27"/>
  <c r="J21" i="27" s="1"/>
  <c r="N21" i="16" s="1"/>
  <c r="I9" i="27"/>
  <c r="J9" i="27" s="1"/>
  <c r="N9" i="16" s="1"/>
  <c r="G18" i="16"/>
  <c r="G100" i="16"/>
  <c r="G88" i="16"/>
  <c r="G76" i="16"/>
  <c r="G64" i="16"/>
  <c r="G52" i="16"/>
  <c r="G40" i="16"/>
  <c r="G28" i="16"/>
  <c r="G99" i="16"/>
  <c r="G87" i="16"/>
  <c r="G75" i="16"/>
  <c r="G63" i="16"/>
  <c r="G51" i="16"/>
  <c r="G39" i="16"/>
  <c r="G27" i="16"/>
  <c r="G98" i="16"/>
  <c r="G86" i="16"/>
  <c r="G74" i="16"/>
  <c r="G62" i="16"/>
  <c r="G50" i="16"/>
  <c r="G38" i="16"/>
  <c r="G26" i="16"/>
  <c r="G97" i="16"/>
  <c r="G85" i="16"/>
  <c r="G73" i="16"/>
  <c r="G61" i="16"/>
  <c r="G49" i="16"/>
  <c r="G37" i="16"/>
  <c r="G25" i="16"/>
  <c r="G96" i="16"/>
  <c r="G84" i="16"/>
  <c r="G72" i="16"/>
  <c r="G60" i="16"/>
  <c r="G48" i="16"/>
  <c r="G36" i="16"/>
  <c r="G24" i="16"/>
  <c r="G95" i="16"/>
  <c r="G83" i="16"/>
  <c r="G71" i="16"/>
  <c r="G59" i="16"/>
  <c r="G47" i="16"/>
  <c r="G35" i="16"/>
  <c r="G23" i="16"/>
  <c r="G94" i="16"/>
  <c r="G82" i="16"/>
  <c r="G70" i="16"/>
  <c r="G58" i="16"/>
  <c r="G46" i="16"/>
  <c r="G34" i="16"/>
  <c r="G22" i="16"/>
  <c r="G93" i="16"/>
  <c r="G81" i="16"/>
  <c r="G69" i="16"/>
  <c r="G57" i="16"/>
  <c r="G45" i="16"/>
  <c r="G33" i="16"/>
  <c r="G21" i="16"/>
  <c r="G92" i="16"/>
  <c r="G80" i="16"/>
  <c r="G68" i="16"/>
  <c r="G56" i="16"/>
  <c r="G44" i="16"/>
  <c r="G32" i="16"/>
  <c r="G20" i="16"/>
  <c r="G6" i="16"/>
  <c r="G91" i="16"/>
  <c r="G79" i="16"/>
  <c r="G67" i="16"/>
  <c r="G55" i="16"/>
  <c r="G43" i="16"/>
  <c r="G31" i="16"/>
  <c r="G19" i="16"/>
  <c r="G102" i="16"/>
  <c r="G90" i="16"/>
  <c r="G78" i="16"/>
  <c r="G66" i="16"/>
  <c r="G54" i="16"/>
  <c r="G42" i="16"/>
  <c r="G30" i="16"/>
  <c r="G101" i="16"/>
  <c r="G89" i="16"/>
  <c r="G77" i="16"/>
  <c r="G65" i="16"/>
  <c r="G53" i="16"/>
  <c r="G41" i="16"/>
  <c r="G29" i="16"/>
  <c r="G17" i="16"/>
  <c r="G16" i="16"/>
  <c r="G15" i="16"/>
  <c r="G14" i="16"/>
  <c r="G13" i="16"/>
  <c r="G12" i="16"/>
  <c r="G11" i="16"/>
  <c r="G10" i="16"/>
  <c r="G9" i="16"/>
  <c r="G8" i="16"/>
  <c r="G7" i="16"/>
  <c r="E30" i="31"/>
  <c r="E91" i="9"/>
  <c r="AX91" i="9" s="1"/>
  <c r="E90" i="9"/>
  <c r="AB90" i="9" s="1"/>
  <c r="E80" i="9"/>
  <c r="AQ80" i="9" s="1"/>
  <c r="E79" i="9"/>
  <c r="Z79" i="9" s="1"/>
  <c r="E68" i="9"/>
  <c r="I68" i="9" s="1"/>
  <c r="E67" i="9"/>
  <c r="AF67" i="9" s="1"/>
  <c r="E66" i="9"/>
  <c r="AZ66" i="9" s="1"/>
  <c r="E56" i="9"/>
  <c r="AL56" i="9" s="1"/>
  <c r="E46" i="9"/>
  <c r="F46" i="9" s="1"/>
  <c r="E45" i="9"/>
  <c r="F45" i="9" s="1"/>
  <c r="E43" i="9"/>
  <c r="Q43" i="9" s="1"/>
  <c r="E42" i="9"/>
  <c r="AV42" i="9" s="1"/>
  <c r="E33" i="9"/>
  <c r="AG33" i="9" s="1"/>
  <c r="E32" i="9"/>
  <c r="AC32" i="9" s="1"/>
  <c r="E31" i="9"/>
  <c r="V31" i="9" s="1"/>
  <c r="E30" i="9"/>
  <c r="O30" i="9" s="1"/>
  <c r="E20" i="9"/>
  <c r="BB20" i="9" s="1"/>
  <c r="E19" i="9"/>
  <c r="AE19" i="9" s="1"/>
  <c r="E18" i="9"/>
  <c r="BD18" i="9" s="1"/>
  <c r="E10" i="9"/>
  <c r="AO10" i="9" s="1"/>
  <c r="E7" i="9"/>
  <c r="F7" i="9" s="1"/>
  <c r="E6" i="9"/>
  <c r="F6" i="9" s="1"/>
  <c r="AP100" i="9"/>
  <c r="F100" i="9"/>
  <c r="Z94" i="9"/>
  <c r="F94" i="9"/>
  <c r="Z93" i="9"/>
  <c r="F93" i="9"/>
  <c r="R92" i="9"/>
  <c r="F92" i="9"/>
  <c r="AR89" i="9"/>
  <c r="F89" i="9"/>
  <c r="T88" i="9"/>
  <c r="F88" i="9"/>
  <c r="AO87" i="9"/>
  <c r="F87" i="9"/>
  <c r="AF82" i="9"/>
  <c r="F82" i="9"/>
  <c r="AJ81" i="9"/>
  <c r="F81" i="9"/>
  <c r="AQ78" i="9"/>
  <c r="F78" i="9"/>
  <c r="AQ77" i="9"/>
  <c r="F77" i="9"/>
  <c r="AS76" i="9"/>
  <c r="F76" i="9"/>
  <c r="N75" i="9"/>
  <c r="F75" i="9"/>
  <c r="O70" i="9"/>
  <c r="F70" i="9"/>
  <c r="AR69" i="9"/>
  <c r="F69" i="9"/>
  <c r="AR65" i="9"/>
  <c r="F65" i="9"/>
  <c r="AW64" i="9"/>
  <c r="F64" i="9"/>
  <c r="Z63" i="9"/>
  <c r="F63" i="9"/>
  <c r="AL58" i="9"/>
  <c r="F58" i="9"/>
  <c r="U57" i="9"/>
  <c r="F57" i="9"/>
  <c r="T55" i="9"/>
  <c r="F55" i="9"/>
  <c r="U54" i="9"/>
  <c r="F54" i="9"/>
  <c r="X53" i="9"/>
  <c r="F53" i="9"/>
  <c r="AO52" i="9"/>
  <c r="F52" i="9"/>
  <c r="J44" i="9"/>
  <c r="F44" i="9"/>
  <c r="AV41" i="9"/>
  <c r="F41" i="9"/>
  <c r="AX40" i="9"/>
  <c r="F40" i="9"/>
  <c r="AG34" i="9"/>
  <c r="F34" i="9"/>
  <c r="R29" i="9"/>
  <c r="F29" i="9"/>
  <c r="U28" i="9"/>
  <c r="F28" i="9"/>
  <c r="I22" i="9"/>
  <c r="F22" i="9"/>
  <c r="W21" i="9"/>
  <c r="F21" i="9"/>
  <c r="Y17" i="9"/>
  <c r="F17" i="9"/>
  <c r="AQ16" i="9"/>
  <c r="F16" i="9"/>
  <c r="Q15" i="9"/>
  <c r="F15" i="9"/>
  <c r="Z9" i="9"/>
  <c r="F9" i="9"/>
  <c r="P8" i="9"/>
  <c r="F8" i="9"/>
  <c r="O5" i="9"/>
  <c r="F5" i="9"/>
  <c r="Q76" i="9"/>
  <c r="I16" i="9"/>
  <c r="L16" i="9"/>
  <c r="AC28" i="9"/>
  <c r="AO28" i="9"/>
  <c r="AW70" i="9"/>
  <c r="M9" i="9"/>
  <c r="AW52" i="9"/>
  <c r="M8" i="9"/>
  <c r="AE92" i="9"/>
  <c r="O76" i="9"/>
  <c r="Y92" i="9"/>
  <c r="AG15" i="9"/>
  <c r="AT92" i="9"/>
  <c r="J89" i="9"/>
  <c r="R28" i="9"/>
  <c r="AW40" i="9"/>
  <c r="M77" i="9"/>
  <c r="Q64" i="9"/>
  <c r="W28" i="9"/>
  <c r="Z16" i="9"/>
  <c r="AH76" i="9"/>
  <c r="AL28" i="9"/>
  <c r="M75" i="9"/>
  <c r="Q52" i="9"/>
  <c r="R16" i="9"/>
  <c r="AH64" i="9"/>
  <c r="AX28" i="9"/>
  <c r="I88" i="9"/>
  <c r="K16" i="9"/>
  <c r="O28" i="9"/>
  <c r="U100" i="9"/>
  <c r="AE75" i="9"/>
  <c r="AM40" i="9"/>
  <c r="I81" i="9"/>
  <c r="L76" i="9"/>
  <c r="S64" i="9"/>
  <c r="U76" i="9"/>
  <c r="AA40" i="9"/>
  <c r="AH28" i="9"/>
  <c r="AU65" i="9"/>
  <c r="N100" i="9"/>
  <c r="O16" i="9"/>
  <c r="S57" i="9"/>
  <c r="X64" i="9"/>
  <c r="AF100" i="9"/>
  <c r="AN76" i="9"/>
  <c r="AR81" i="9"/>
  <c r="K87" i="9"/>
  <c r="L64" i="9"/>
  <c r="N52" i="9"/>
  <c r="V94" i="9"/>
  <c r="Y93" i="9"/>
  <c r="AA16" i="9"/>
  <c r="AF88" i="9"/>
  <c r="AN75" i="9"/>
  <c r="AU28" i="9"/>
  <c r="BA64" i="9"/>
  <c r="AQ100" i="9"/>
  <c r="AA52" i="9"/>
  <c r="I76" i="9"/>
  <c r="P40" i="9"/>
  <c r="S40" i="9"/>
  <c r="AF76" i="9"/>
  <c r="K76" i="9"/>
  <c r="L28" i="9"/>
  <c r="V81" i="9"/>
  <c r="AI16" i="9"/>
  <c r="BC100" i="9"/>
  <c r="I28" i="9"/>
  <c r="O87" i="9"/>
  <c r="R76" i="9"/>
  <c r="AB16" i="9"/>
  <c r="AG40" i="9"/>
  <c r="AK76" i="9"/>
  <c r="AW69" i="9"/>
  <c r="V93" i="9"/>
  <c r="AI28" i="9"/>
  <c r="N28" i="9"/>
  <c r="AG64" i="9"/>
  <c r="AR76" i="9"/>
  <c r="T87" i="9"/>
  <c r="Z76" i="9"/>
  <c r="AC40" i="9"/>
  <c r="BD16" i="9"/>
  <c r="Y81" i="9"/>
  <c r="AB9" i="9"/>
  <c r="Y8" i="9"/>
  <c r="L8" i="9"/>
  <c r="I8" i="9"/>
  <c r="AC8" i="9"/>
  <c r="O8" i="9"/>
  <c r="AX8" i="9"/>
  <c r="AK8" i="9"/>
  <c r="BE8" i="9"/>
  <c r="AD8" i="9"/>
  <c r="AQ8" i="9"/>
  <c r="U8" i="9"/>
  <c r="AF8" i="9"/>
  <c r="AY8" i="9"/>
  <c r="AA8" i="9"/>
  <c r="R8" i="9"/>
  <c r="K8" i="9"/>
  <c r="AB8" i="9"/>
  <c r="AI8" i="9"/>
  <c r="J22" i="9"/>
  <c r="O22" i="9"/>
  <c r="V9" i="9"/>
  <c r="AM82" i="9"/>
  <c r="AT22" i="9"/>
  <c r="M82" i="9"/>
  <c r="V8" i="9"/>
  <c r="AR8" i="9"/>
  <c r="AT82" i="9"/>
  <c r="BB93" i="9"/>
  <c r="AN93" i="9"/>
  <c r="BE93" i="9"/>
  <c r="AW93" i="9"/>
  <c r="Q93" i="9"/>
  <c r="AD93" i="9"/>
  <c r="N93" i="9"/>
  <c r="AO21" i="9"/>
  <c r="AF21" i="9"/>
  <c r="K21" i="9"/>
  <c r="AE21" i="9"/>
  <c r="AY21" i="9"/>
  <c r="AR21" i="9"/>
  <c r="T21" i="9"/>
  <c r="AL21" i="9"/>
  <c r="S21" i="9"/>
  <c r="N21" i="9"/>
  <c r="J21" i="9"/>
  <c r="T44" i="9"/>
  <c r="AR44" i="9"/>
  <c r="P44" i="9"/>
  <c r="O44" i="9"/>
  <c r="L44" i="9"/>
  <c r="AH44" i="9"/>
  <c r="AA44" i="9"/>
  <c r="AK44" i="9"/>
  <c r="AJ44" i="9"/>
  <c r="AV44" i="9"/>
  <c r="AC44" i="9"/>
  <c r="BC44" i="9"/>
  <c r="AP44" i="9"/>
  <c r="K44" i="9"/>
  <c r="I44" i="9"/>
  <c r="AV94" i="9"/>
  <c r="I94" i="9"/>
  <c r="AR94" i="9"/>
  <c r="R94" i="9"/>
  <c r="M94" i="9"/>
  <c r="L94" i="9"/>
  <c r="AW94" i="9"/>
  <c r="AU94" i="9"/>
  <c r="AH94" i="9"/>
  <c r="Q94" i="9"/>
  <c r="AA70" i="9"/>
  <c r="U70" i="9"/>
  <c r="N70" i="9"/>
  <c r="X70" i="9"/>
  <c r="J70" i="9"/>
  <c r="Y70" i="9"/>
  <c r="L58" i="9"/>
  <c r="BE58" i="9"/>
  <c r="AM58" i="9"/>
  <c r="M58" i="9"/>
  <c r="AG58" i="9"/>
  <c r="I58" i="9"/>
  <c r="AS58" i="9"/>
  <c r="X58" i="9"/>
  <c r="Q58" i="9"/>
  <c r="AA58" i="9"/>
  <c r="AJ58" i="9"/>
  <c r="W58" i="9"/>
  <c r="R58" i="9"/>
  <c r="O58" i="9"/>
  <c r="AP58" i="9"/>
  <c r="AK58" i="9"/>
  <c r="BF22" i="9"/>
  <c r="AF22" i="9"/>
  <c r="AE22" i="9"/>
  <c r="AW22" i="9"/>
  <c r="AH22" i="9"/>
  <c r="Y82" i="9"/>
  <c r="X81" i="9"/>
  <c r="Z81" i="9"/>
  <c r="N81" i="9"/>
  <c r="L81" i="9"/>
  <c r="BF81" i="9"/>
  <c r="AZ81" i="9"/>
  <c r="AU81" i="9"/>
  <c r="K81" i="9"/>
  <c r="AG81" i="9"/>
  <c r="Q81" i="9"/>
  <c r="AL81" i="9"/>
  <c r="AC81" i="9"/>
  <c r="AB81" i="9"/>
  <c r="U81" i="9"/>
  <c r="AV81" i="9"/>
  <c r="M81" i="9"/>
  <c r="AT69" i="9"/>
  <c r="AZ69" i="9"/>
  <c r="AI69" i="9"/>
  <c r="AC69" i="9"/>
  <c r="U69" i="9"/>
  <c r="BA69" i="9"/>
  <c r="AU69" i="9"/>
  <c r="X69" i="9"/>
  <c r="J69" i="9"/>
  <c r="M69" i="9"/>
  <c r="P69" i="9"/>
  <c r="AV69" i="9"/>
  <c r="Y69" i="9"/>
  <c r="T69" i="9"/>
  <c r="P57" i="9"/>
  <c r="M57" i="9"/>
  <c r="BB57" i="9"/>
  <c r="AT57" i="9"/>
  <c r="Y57" i="9"/>
  <c r="AS57" i="9"/>
  <c r="AB57" i="9"/>
  <c r="X57" i="9"/>
  <c r="Q57" i="9"/>
  <c r="AJ57" i="9"/>
  <c r="W57" i="9"/>
  <c r="Z57" i="9"/>
  <c r="AE57" i="9"/>
  <c r="I57" i="9"/>
  <c r="AC9" i="9"/>
  <c r="AO9" i="9"/>
  <c r="AN9" i="9"/>
  <c r="L9" i="9"/>
  <c r="I9" i="9"/>
  <c r="AG9" i="9"/>
  <c r="AV9" i="9"/>
  <c r="U9" i="9"/>
  <c r="AK9" i="9"/>
  <c r="X9" i="9"/>
  <c r="Q9" i="9"/>
  <c r="N9" i="9"/>
  <c r="AT9" i="9"/>
  <c r="W9" i="9"/>
  <c r="N69" i="9"/>
  <c r="U92" i="9"/>
  <c r="AN92" i="9"/>
  <c r="AB92" i="9"/>
  <c r="T92" i="9"/>
  <c r="K92" i="9"/>
  <c r="I92" i="9"/>
  <c r="V92" i="9"/>
  <c r="AR92" i="9"/>
  <c r="AA92" i="9"/>
  <c r="M92" i="9"/>
  <c r="L92" i="9"/>
  <c r="O92" i="9"/>
  <c r="AU92" i="9"/>
  <c r="S92" i="9"/>
  <c r="AV92" i="9"/>
  <c r="AC92" i="9"/>
  <c r="N58" i="9"/>
  <c r="R22" i="9"/>
  <c r="AJ9" i="9"/>
  <c r="BD100" i="9"/>
  <c r="AO100" i="9"/>
  <c r="AH100" i="9"/>
  <c r="AC100" i="9"/>
  <c r="S100" i="9"/>
  <c r="AB100" i="9"/>
  <c r="T100" i="9"/>
  <c r="K100" i="9"/>
  <c r="AX100" i="9"/>
  <c r="AS100" i="9"/>
  <c r="AN100" i="9"/>
  <c r="AE100" i="9"/>
  <c r="O100" i="9"/>
  <c r="R100" i="9"/>
  <c r="P100" i="9"/>
  <c r="AR100" i="9"/>
  <c r="AG100" i="9"/>
  <c r="Z100" i="9"/>
  <c r="I100" i="9"/>
  <c r="AI100" i="9"/>
  <c r="X100" i="9"/>
  <c r="L100" i="9"/>
  <c r="AA100" i="9"/>
  <c r="Q100" i="9"/>
  <c r="AM88" i="9"/>
  <c r="BD88" i="9"/>
  <c r="BC88" i="9"/>
  <c r="AX88" i="9"/>
  <c r="AW88" i="9"/>
  <c r="AS88" i="9"/>
  <c r="AJ88" i="9"/>
  <c r="AA88" i="9"/>
  <c r="R88" i="9"/>
  <c r="O88" i="9"/>
  <c r="BE88" i="9"/>
  <c r="AY88" i="9"/>
  <c r="X88" i="9"/>
  <c r="Q88" i="9"/>
  <c r="N88" i="9"/>
  <c r="L88" i="9"/>
  <c r="AE88" i="9"/>
  <c r="Z88" i="9"/>
  <c r="W88" i="9"/>
  <c r="AR88" i="9"/>
  <c r="AG88" i="9"/>
  <c r="S88" i="9"/>
  <c r="P88" i="9"/>
  <c r="AD88" i="9"/>
  <c r="AQ88" i="9"/>
  <c r="AP88" i="9"/>
  <c r="K88" i="9"/>
  <c r="AH88" i="9"/>
  <c r="BF88" i="9"/>
  <c r="AB88" i="9"/>
  <c r="AL88" i="9"/>
  <c r="AC88" i="9"/>
  <c r="U88" i="9"/>
  <c r="AY76" i="9"/>
  <c r="BE76" i="9"/>
  <c r="AU76" i="9"/>
  <c r="AE76" i="9"/>
  <c r="W76" i="9"/>
  <c r="AI76" i="9"/>
  <c r="AC76" i="9"/>
  <c r="BD76" i="9"/>
  <c r="AO76" i="9"/>
  <c r="T76" i="9"/>
  <c r="AL76" i="9"/>
  <c r="AB76" i="9"/>
  <c r="S76" i="9"/>
  <c r="X76" i="9"/>
  <c r="N76" i="9"/>
  <c r="AD76" i="9"/>
  <c r="P76" i="9"/>
  <c r="AA76" i="9"/>
  <c r="AN64" i="9"/>
  <c r="AQ64" i="9"/>
  <c r="T64" i="9"/>
  <c r="BF64" i="9"/>
  <c r="AM64" i="9"/>
  <c r="K64" i="9"/>
  <c r="U64" i="9"/>
  <c r="N64" i="9"/>
  <c r="AU64" i="9"/>
  <c r="AC64" i="9"/>
  <c r="AB64" i="9"/>
  <c r="I64" i="9"/>
  <c r="AS64" i="9"/>
  <c r="AO64" i="9"/>
  <c r="AI64" i="9"/>
  <c r="P64" i="9"/>
  <c r="AD64" i="9"/>
  <c r="AA64" i="9"/>
  <c r="AJ64" i="9"/>
  <c r="AF64" i="9"/>
  <c r="W64" i="9"/>
  <c r="O64" i="9"/>
  <c r="AR64" i="9"/>
  <c r="Z64" i="9"/>
  <c r="R64" i="9"/>
  <c r="AP52" i="9"/>
  <c r="X52" i="9"/>
  <c r="I52" i="9"/>
  <c r="S52" i="9"/>
  <c r="O52" i="9"/>
  <c r="AS52" i="9"/>
  <c r="AR52" i="9"/>
  <c r="AL52" i="9"/>
  <c r="AD52" i="9"/>
  <c r="AB52" i="9"/>
  <c r="AU52" i="9"/>
  <c r="AJ52" i="9"/>
  <c r="Z52" i="9"/>
  <c r="BA52" i="9"/>
  <c r="AI52" i="9"/>
  <c r="W52" i="9"/>
  <c r="AX52" i="9"/>
  <c r="AC52" i="9"/>
  <c r="R52" i="9"/>
  <c r="AM52" i="9"/>
  <c r="AE52" i="9"/>
  <c r="T52" i="9"/>
  <c r="AN52" i="9"/>
  <c r="L52" i="9"/>
  <c r="K52" i="9"/>
  <c r="BD40" i="9"/>
  <c r="AZ40" i="9"/>
  <c r="R40" i="9"/>
  <c r="W40" i="9"/>
  <c r="AL40" i="9"/>
  <c r="AB40" i="9"/>
  <c r="Z40" i="9"/>
  <c r="Q40" i="9"/>
  <c r="N40" i="9"/>
  <c r="AP40" i="9"/>
  <c r="BA40" i="9"/>
  <c r="AI40" i="9"/>
  <c r="AH40" i="9"/>
  <c r="K40" i="9"/>
  <c r="BF40" i="9"/>
  <c r="AE40" i="9"/>
  <c r="T40" i="9"/>
  <c r="O40" i="9"/>
  <c r="I40" i="9"/>
  <c r="X40" i="9"/>
  <c r="U40" i="9"/>
  <c r="L40" i="9"/>
  <c r="L69" i="9"/>
  <c r="N22" i="9"/>
  <c r="T82" i="9"/>
  <c r="U52" i="9"/>
  <c r="W100" i="9"/>
  <c r="AK81" i="9"/>
  <c r="AN88" i="9"/>
  <c r="AQ93" i="9"/>
  <c r="AS81" i="9"/>
  <c r="AU40" i="9"/>
  <c r="BD8" i="9"/>
  <c r="BC82" i="9"/>
  <c r="V82" i="9"/>
  <c r="Q82" i="9"/>
  <c r="Z82" i="9"/>
  <c r="AD82" i="9"/>
  <c r="AZ82" i="9"/>
  <c r="AL82" i="9"/>
  <c r="U82" i="9"/>
  <c r="W34" i="9"/>
  <c r="AS34" i="9"/>
  <c r="U34" i="9"/>
  <c r="K34" i="9"/>
  <c r="J34" i="9"/>
  <c r="Y34" i="9"/>
  <c r="O34" i="9"/>
  <c r="AR34" i="9"/>
  <c r="X34" i="9"/>
  <c r="L34" i="9"/>
  <c r="BE34" i="9"/>
  <c r="BB21" i="9"/>
  <c r="T81" i="9"/>
  <c r="W93" i="9"/>
  <c r="AF81" i="9"/>
  <c r="AU34" i="9"/>
  <c r="BE94" i="9"/>
  <c r="J92" i="9"/>
  <c r="K70" i="9"/>
  <c r="T70" i="9"/>
  <c r="W92" i="9"/>
  <c r="X44" i="9"/>
  <c r="AD94" i="9"/>
  <c r="AQ69" i="9"/>
  <c r="AY44" i="9"/>
  <c r="K69" i="9"/>
  <c r="L57" i="9"/>
  <c r="M44" i="9"/>
  <c r="P52" i="9"/>
  <c r="T34" i="9"/>
  <c r="W44" i="9"/>
  <c r="X21" i="9"/>
  <c r="Z21" i="9"/>
  <c r="AB69" i="9"/>
  <c r="AD40" i="9"/>
  <c r="AG76" i="9"/>
  <c r="AK64" i="9"/>
  <c r="AQ52" i="9"/>
  <c r="AS69" i="9"/>
  <c r="BE64" i="9"/>
  <c r="Q28" i="9"/>
  <c r="AG28" i="9"/>
  <c r="AY16" i="9"/>
  <c r="R63" i="9"/>
  <c r="V63" i="9"/>
  <c r="AQ28" i="9"/>
  <c r="BC55" i="9"/>
  <c r="J87" i="9"/>
  <c r="N16" i="9"/>
  <c r="Q16" i="9"/>
  <c r="AA75" i="9"/>
  <c r="AC87" i="9"/>
  <c r="AH16" i="9"/>
  <c r="AE28" i="9"/>
  <c r="AP28" i="9"/>
  <c r="AK28" i="9"/>
  <c r="AJ28" i="9"/>
  <c r="AB28" i="9"/>
  <c r="K28" i="9"/>
  <c r="BC28" i="9"/>
  <c r="S28" i="9"/>
  <c r="AY28" i="9"/>
  <c r="AR28" i="9"/>
  <c r="AM28" i="9"/>
  <c r="AA28" i="9"/>
  <c r="T28" i="9"/>
  <c r="P28" i="9"/>
  <c r="J55" i="9"/>
  <c r="X55" i="9"/>
  <c r="O55" i="9"/>
  <c r="AN28" i="9"/>
  <c r="AZ28" i="9"/>
  <c r="S16" i="9"/>
  <c r="BE16" i="9"/>
  <c r="BC16" i="9"/>
  <c r="X16" i="9"/>
  <c r="T16" i="9"/>
  <c r="AU16" i="9"/>
  <c r="AO16" i="9"/>
  <c r="AN16" i="9"/>
  <c r="AC16" i="9"/>
  <c r="BA16" i="9"/>
  <c r="AM16" i="9"/>
  <c r="AG16" i="9"/>
  <c r="W16" i="9"/>
  <c r="P16" i="9"/>
  <c r="AL16" i="9"/>
  <c r="AE16" i="9"/>
  <c r="U16" i="9"/>
  <c r="X28" i="9"/>
  <c r="Z28" i="9"/>
  <c r="AJ16" i="9"/>
  <c r="AR16" i="9"/>
  <c r="AS16" i="9"/>
  <c r="AA77" i="9"/>
  <c r="AC53" i="9"/>
  <c r="BD78" i="9"/>
  <c r="AZ78" i="9"/>
  <c r="AY78" i="9"/>
  <c r="BE78" i="9"/>
  <c r="AX78" i="9"/>
  <c r="AM78" i="9"/>
  <c r="BF78" i="9"/>
  <c r="BC78" i="9"/>
  <c r="AJ78" i="9"/>
  <c r="BB78" i="9"/>
  <c r="AH78" i="9"/>
  <c r="AE78" i="9"/>
  <c r="AS78" i="9"/>
  <c r="AA78" i="9"/>
  <c r="O78" i="9"/>
  <c r="BA78" i="9"/>
  <c r="X78" i="9"/>
  <c r="L78" i="9"/>
  <c r="AN78" i="9"/>
  <c r="AR78" i="9"/>
  <c r="AB78" i="9"/>
  <c r="M78" i="9"/>
  <c r="AU78" i="9"/>
  <c r="AO78" i="9"/>
  <c r="N78" i="9"/>
  <c r="AW78" i="9"/>
  <c r="S78" i="9"/>
  <c r="J78" i="9"/>
  <c r="U78" i="9"/>
  <c r="T78" i="9"/>
  <c r="AL78" i="9"/>
  <c r="AC78" i="9"/>
  <c r="Y78" i="9"/>
  <c r="K78" i="9"/>
  <c r="AK78" i="9"/>
  <c r="V78" i="9"/>
  <c r="P78" i="9"/>
  <c r="AT78" i="9"/>
  <c r="AF78" i="9"/>
  <c r="J54" i="9"/>
  <c r="BC89" i="9"/>
  <c r="BD89" i="9"/>
  <c r="BE89" i="9"/>
  <c r="AZ89" i="9"/>
  <c r="AW89" i="9"/>
  <c r="BF89" i="9"/>
  <c r="AX89" i="9"/>
  <c r="AY89" i="9"/>
  <c r="AJ89" i="9"/>
  <c r="AG89" i="9"/>
  <c r="BA89" i="9"/>
  <c r="AU89" i="9"/>
  <c r="AT89" i="9"/>
  <c r="Z89" i="9"/>
  <c r="N89" i="9"/>
  <c r="BB89" i="9"/>
  <c r="W89" i="9"/>
  <c r="K89" i="9"/>
  <c r="AB89" i="9"/>
  <c r="M89" i="9"/>
  <c r="AL89" i="9"/>
  <c r="AC89" i="9"/>
  <c r="Y89" i="9"/>
  <c r="U89" i="9"/>
  <c r="AV89" i="9"/>
  <c r="AP89" i="9"/>
  <c r="V89" i="9"/>
  <c r="AM89" i="9"/>
  <c r="AF89" i="9"/>
  <c r="P89" i="9"/>
  <c r="AQ89" i="9"/>
  <c r="AN89" i="9"/>
  <c r="AD89" i="9"/>
  <c r="L89" i="9"/>
  <c r="AI89" i="9"/>
  <c r="Q89" i="9"/>
  <c r="R89" i="9"/>
  <c r="BC77" i="9"/>
  <c r="BB77" i="9"/>
  <c r="AW77" i="9"/>
  <c r="AZ77" i="9"/>
  <c r="AG77" i="9"/>
  <c r="BE77" i="9"/>
  <c r="AL77" i="9"/>
  <c r="AN77" i="9"/>
  <c r="AH77" i="9"/>
  <c r="AE77" i="9"/>
  <c r="Z77" i="9"/>
  <c r="N77" i="9"/>
  <c r="AT77" i="9"/>
  <c r="AI77" i="9"/>
  <c r="W77" i="9"/>
  <c r="K77" i="9"/>
  <c r="AV77" i="9"/>
  <c r="T77" i="9"/>
  <c r="P77" i="9"/>
  <c r="AU77" i="9"/>
  <c r="AO77" i="9"/>
  <c r="U77" i="9"/>
  <c r="Q77" i="9"/>
  <c r="AB77" i="9"/>
  <c r="S77" i="9"/>
  <c r="J77" i="9"/>
  <c r="X77" i="9"/>
  <c r="AR77" i="9"/>
  <c r="AP77" i="9"/>
  <c r="AD77" i="9"/>
  <c r="BD77" i="9"/>
  <c r="AS77" i="9"/>
  <c r="AC77" i="9"/>
  <c r="Y77" i="9"/>
  <c r="O77" i="9"/>
  <c r="BF77" i="9"/>
  <c r="AX77" i="9"/>
  <c r="AK77" i="9"/>
  <c r="AJ77" i="9"/>
  <c r="V77" i="9"/>
  <c r="AF77" i="9"/>
  <c r="L77" i="9"/>
  <c r="BC53" i="9"/>
  <c r="AY53" i="9"/>
  <c r="BF53" i="9"/>
  <c r="AW53" i="9"/>
  <c r="BA53" i="9"/>
  <c r="BB53" i="9"/>
  <c r="AV53" i="9"/>
  <c r="AU53" i="9"/>
  <c r="AG53" i="9"/>
  <c r="AJ53" i="9"/>
  <c r="AO53" i="9"/>
  <c r="Z53" i="9"/>
  <c r="N53" i="9"/>
  <c r="AM53" i="9"/>
  <c r="W53" i="9"/>
  <c r="K53" i="9"/>
  <c r="AZ53" i="9"/>
  <c r="BD53" i="9"/>
  <c r="AA53" i="9"/>
  <c r="L53" i="9"/>
  <c r="AS53" i="9"/>
  <c r="AP53" i="9"/>
  <c r="AK53" i="9"/>
  <c r="AH53" i="9"/>
  <c r="AQ53" i="9"/>
  <c r="P53" i="9"/>
  <c r="AN53" i="9"/>
  <c r="AF53" i="9"/>
  <c r="V53" i="9"/>
  <c r="AD53" i="9"/>
  <c r="Q53" i="9"/>
  <c r="M53" i="9"/>
  <c r="AR53" i="9"/>
  <c r="R53" i="9"/>
  <c r="I53" i="9"/>
  <c r="AL53" i="9"/>
  <c r="AB53" i="9"/>
  <c r="AT53" i="9"/>
  <c r="AE53" i="9"/>
  <c r="BC41" i="9"/>
  <c r="AY41" i="9"/>
  <c r="AW41" i="9"/>
  <c r="AL41" i="9"/>
  <c r="AG41" i="9"/>
  <c r="AZ41" i="9"/>
  <c r="AU41" i="9"/>
  <c r="BA41" i="9"/>
  <c r="AX41" i="9"/>
  <c r="Z41" i="9"/>
  <c r="N41" i="9"/>
  <c r="AO41" i="9"/>
  <c r="AE41" i="9"/>
  <c r="W41" i="9"/>
  <c r="K41" i="9"/>
  <c r="AC41" i="9"/>
  <c r="V41" i="9"/>
  <c r="R41" i="9"/>
  <c r="BB41" i="9"/>
  <c r="AN41" i="9"/>
  <c r="AD41" i="9"/>
  <c r="S41" i="9"/>
  <c r="O41" i="9"/>
  <c r="AK41" i="9"/>
  <c r="T41" i="9"/>
  <c r="AT41" i="9"/>
  <c r="AI41" i="9"/>
  <c r="U41" i="9"/>
  <c r="AP41" i="9"/>
  <c r="Y41" i="9"/>
  <c r="P41" i="9"/>
  <c r="L41" i="9"/>
  <c r="AM41" i="9"/>
  <c r="AH41" i="9"/>
  <c r="Q41" i="9"/>
  <c r="BF41" i="9"/>
  <c r="BE41" i="9"/>
  <c r="BD41" i="9"/>
  <c r="AQ41" i="9"/>
  <c r="AF41" i="9"/>
  <c r="BC29" i="9"/>
  <c r="AY29" i="9"/>
  <c r="BA29" i="9"/>
  <c r="BB29" i="9"/>
  <c r="AL29" i="9"/>
  <c r="BD29" i="9"/>
  <c r="AX29" i="9"/>
  <c r="AQ29" i="9"/>
  <c r="AM29" i="9"/>
  <c r="AK29" i="9"/>
  <c r="AG29" i="9"/>
  <c r="BE29" i="9"/>
  <c r="AR29" i="9"/>
  <c r="AN29" i="9"/>
  <c r="AP29" i="9"/>
  <c r="Z29" i="9"/>
  <c r="N29" i="9"/>
  <c r="AU29" i="9"/>
  <c r="W29" i="9"/>
  <c r="K29" i="9"/>
  <c r="BF29" i="9"/>
  <c r="AH29" i="9"/>
  <c r="Y29" i="9"/>
  <c r="J29" i="9"/>
  <c r="AV29" i="9"/>
  <c r="AW29" i="9"/>
  <c r="AF29" i="9"/>
  <c r="I29" i="9"/>
  <c r="AE29" i="9"/>
  <c r="S29" i="9"/>
  <c r="AB29" i="9"/>
  <c r="U29" i="9"/>
  <c r="X29" i="9"/>
  <c r="O29" i="9"/>
  <c r="AS29" i="9"/>
  <c r="T29" i="9"/>
  <c r="AJ29" i="9"/>
  <c r="AI29" i="9"/>
  <c r="AC29" i="9"/>
  <c r="AO29" i="9"/>
  <c r="BC5" i="9"/>
  <c r="AY5" i="9"/>
  <c r="BE5" i="9"/>
  <c r="AW5" i="9"/>
  <c r="BA5" i="9"/>
  <c r="AL5" i="9"/>
  <c r="AI5" i="9"/>
  <c r="BB5" i="9"/>
  <c r="AU5" i="9"/>
  <c r="AG5" i="9"/>
  <c r="BD5" i="9"/>
  <c r="AV5" i="9"/>
  <c r="AK5" i="9"/>
  <c r="AH5" i="9"/>
  <c r="Z5" i="9"/>
  <c r="N5" i="9"/>
  <c r="AO5" i="9"/>
  <c r="W5" i="9"/>
  <c r="K5" i="9"/>
  <c r="T5" i="9"/>
  <c r="P5" i="9"/>
  <c r="U5" i="9"/>
  <c r="Q5" i="9"/>
  <c r="BF5" i="9"/>
  <c r="AT5" i="9"/>
  <c r="AC5" i="9"/>
  <c r="Y5" i="9"/>
  <c r="AQ5" i="9"/>
  <c r="L5" i="9"/>
  <c r="I5" i="9"/>
  <c r="AZ5" i="9"/>
  <c r="AR5" i="9"/>
  <c r="AN5" i="9"/>
  <c r="V5" i="9"/>
  <c r="AD5" i="9"/>
  <c r="R5" i="9"/>
  <c r="AX5" i="9"/>
  <c r="AS5" i="9"/>
  <c r="AJ5" i="9"/>
  <c r="AA5" i="9"/>
  <c r="M5" i="9"/>
  <c r="T54" i="9"/>
  <c r="U17" i="9"/>
  <c r="AI54" i="9"/>
  <c r="BE55" i="9"/>
  <c r="BA55" i="9"/>
  <c r="AY55" i="9"/>
  <c r="AV55" i="9"/>
  <c r="AN55" i="9"/>
  <c r="AK55" i="9"/>
  <c r="AI55" i="9"/>
  <c r="AF55" i="9"/>
  <c r="AW55" i="9"/>
  <c r="AT55" i="9"/>
  <c r="AL55" i="9"/>
  <c r="AC55" i="9"/>
  <c r="AB55" i="9"/>
  <c r="P55" i="9"/>
  <c r="BB55" i="9"/>
  <c r="AR55" i="9"/>
  <c r="AJ55" i="9"/>
  <c r="AE55" i="9"/>
  <c r="Y55" i="9"/>
  <c r="M55" i="9"/>
  <c r="V55" i="9"/>
  <c r="R55" i="9"/>
  <c r="AZ55" i="9"/>
  <c r="AD55" i="9"/>
  <c r="W55" i="9"/>
  <c r="S55" i="9"/>
  <c r="AU55" i="9"/>
  <c r="AH55" i="9"/>
  <c r="U55" i="9"/>
  <c r="L55" i="9"/>
  <c r="K55" i="9"/>
  <c r="AQ55" i="9"/>
  <c r="AS55" i="9"/>
  <c r="AA55" i="9"/>
  <c r="Z55" i="9"/>
  <c r="Q55" i="9"/>
  <c r="AO55" i="9"/>
  <c r="I55" i="9"/>
  <c r="I78" i="9"/>
  <c r="L29" i="9"/>
  <c r="O53" i="9"/>
  <c r="Q78" i="9"/>
  <c r="T53" i="9"/>
  <c r="V17" i="9"/>
  <c r="Y65" i="9"/>
  <c r="AR41" i="9"/>
  <c r="BA87" i="9"/>
  <c r="BC87" i="9"/>
  <c r="AU87" i="9"/>
  <c r="BD87" i="9"/>
  <c r="AS87" i="9"/>
  <c r="AX87" i="9"/>
  <c r="AQ87" i="9"/>
  <c r="AM87" i="9"/>
  <c r="AL87" i="9"/>
  <c r="BB87" i="9"/>
  <c r="AR87" i="9"/>
  <c r="AN87" i="9"/>
  <c r="X87" i="9"/>
  <c r="L87" i="9"/>
  <c r="BF87" i="9"/>
  <c r="AV87" i="9"/>
  <c r="U87" i="9"/>
  <c r="I87" i="9"/>
  <c r="AZ87" i="9"/>
  <c r="AP87" i="9"/>
  <c r="AY87" i="9"/>
  <c r="AJ87" i="9"/>
  <c r="V87" i="9"/>
  <c r="BE87" i="9"/>
  <c r="AH87" i="9"/>
  <c r="AF87" i="9"/>
  <c r="P87" i="9"/>
  <c r="AD87" i="9"/>
  <c r="Z87" i="9"/>
  <c r="Q87" i="9"/>
  <c r="AB87" i="9"/>
  <c r="AI87" i="9"/>
  <c r="AG87" i="9"/>
  <c r="R87" i="9"/>
  <c r="AW87" i="9"/>
  <c r="M87" i="9"/>
  <c r="AA87" i="9"/>
  <c r="W87" i="9"/>
  <c r="AE87" i="9"/>
  <c r="S87" i="9"/>
  <c r="BA75" i="9"/>
  <c r="BD75" i="9"/>
  <c r="BE75" i="9"/>
  <c r="AU75" i="9"/>
  <c r="BF75" i="9"/>
  <c r="AV75" i="9"/>
  <c r="AW75" i="9"/>
  <c r="AS75" i="9"/>
  <c r="AT75" i="9"/>
  <c r="AY75" i="9"/>
  <c r="BB75" i="9"/>
  <c r="AQ75" i="9"/>
  <c r="X75" i="9"/>
  <c r="L75" i="9"/>
  <c r="AO75" i="9"/>
  <c r="AL75" i="9"/>
  <c r="U75" i="9"/>
  <c r="I75" i="9"/>
  <c r="AR75" i="9"/>
  <c r="AI75" i="9"/>
  <c r="AB75" i="9"/>
  <c r="AG75" i="9"/>
  <c r="Y75" i="9"/>
  <c r="J75" i="9"/>
  <c r="AX75" i="9"/>
  <c r="BC75" i="9"/>
  <c r="AH75" i="9"/>
  <c r="AC75" i="9"/>
  <c r="T75" i="9"/>
  <c r="O75" i="9"/>
  <c r="K75" i="9"/>
  <c r="AK75" i="9"/>
  <c r="AJ75" i="9"/>
  <c r="AF75" i="9"/>
  <c r="V75" i="9"/>
  <c r="P75" i="9"/>
  <c r="AD75" i="9"/>
  <c r="Q75" i="9"/>
  <c r="AP75" i="9"/>
  <c r="Z75" i="9"/>
  <c r="R75" i="9"/>
  <c r="AZ75" i="9"/>
  <c r="AM75" i="9"/>
  <c r="BA63" i="9"/>
  <c r="BD63" i="9"/>
  <c r="AU63" i="9"/>
  <c r="BB63" i="9"/>
  <c r="AX63" i="9"/>
  <c r="AS63" i="9"/>
  <c r="AW63" i="9"/>
  <c r="AJ63" i="9"/>
  <c r="AH63" i="9"/>
  <c r="X63" i="9"/>
  <c r="L63" i="9"/>
  <c r="BC63" i="9"/>
  <c r="AQ63" i="9"/>
  <c r="AI63" i="9"/>
  <c r="U63" i="9"/>
  <c r="I63" i="9"/>
  <c r="BF63" i="9"/>
  <c r="T63" i="9"/>
  <c r="P63" i="9"/>
  <c r="AZ63" i="9"/>
  <c r="AN63" i="9"/>
  <c r="Q63" i="9"/>
  <c r="M63" i="9"/>
  <c r="AT63" i="9"/>
  <c r="AG63" i="9"/>
  <c r="AE63" i="9"/>
  <c r="AB63" i="9"/>
  <c r="W63" i="9"/>
  <c r="AP63" i="9"/>
  <c r="AM63" i="9"/>
  <c r="S63" i="9"/>
  <c r="N63" i="9"/>
  <c r="K63" i="9"/>
  <c r="AF63" i="9"/>
  <c r="J63" i="9"/>
  <c r="AV63" i="9"/>
  <c r="O63" i="9"/>
  <c r="AY63" i="9"/>
  <c r="AC63" i="9"/>
  <c r="Y63" i="9"/>
  <c r="AR63" i="9"/>
  <c r="BA15" i="9"/>
  <c r="AW15" i="9"/>
  <c r="AU15" i="9"/>
  <c r="BD15" i="9"/>
  <c r="AX15" i="9"/>
  <c r="BC15" i="9"/>
  <c r="AZ15" i="9"/>
  <c r="AS15" i="9"/>
  <c r="AQ15" i="9"/>
  <c r="AM15" i="9"/>
  <c r="AY15" i="9"/>
  <c r="AR15" i="9"/>
  <c r="AN15" i="9"/>
  <c r="AI15" i="9"/>
  <c r="X15" i="9"/>
  <c r="L15" i="9"/>
  <c r="AE15" i="9"/>
  <c r="U15" i="9"/>
  <c r="I15" i="9"/>
  <c r="AO15" i="9"/>
  <c r="V15" i="9"/>
  <c r="AL15" i="9"/>
  <c r="AK15" i="9"/>
  <c r="BE15" i="9"/>
  <c r="AD15" i="9"/>
  <c r="R15" i="9"/>
  <c r="AA15" i="9"/>
  <c r="BF15" i="9"/>
  <c r="AV15" i="9"/>
  <c r="AP15" i="9"/>
  <c r="W15" i="9"/>
  <c r="M15" i="9"/>
  <c r="AC15" i="9"/>
  <c r="S15" i="9"/>
  <c r="N15" i="9"/>
  <c r="AT15" i="9"/>
  <c r="AH15" i="9"/>
  <c r="AF15" i="9"/>
  <c r="AB15" i="9"/>
  <c r="T15" i="9"/>
  <c r="O15" i="9"/>
  <c r="J15" i="9"/>
  <c r="K15" i="9"/>
  <c r="I77" i="9"/>
  <c r="M65" i="9"/>
  <c r="M29" i="9"/>
  <c r="Y87" i="9"/>
  <c r="AD78" i="9"/>
  <c r="AM77" i="9"/>
  <c r="S5" i="9"/>
  <c r="J41" i="9"/>
  <c r="T17" i="9"/>
  <c r="W78" i="9"/>
  <c r="X89" i="9"/>
  <c r="X41" i="9"/>
  <c r="Y53" i="9"/>
  <c r="AG78" i="9"/>
  <c r="AH65" i="9"/>
  <c r="AI78" i="9"/>
  <c r="AP55" i="9"/>
  <c r="AP5" i="9"/>
  <c r="AV78" i="9"/>
  <c r="AZ29" i="9"/>
  <c r="BB17" i="9"/>
  <c r="I41" i="9"/>
  <c r="L17" i="9"/>
  <c r="P29" i="9"/>
  <c r="Q65" i="9"/>
  <c r="R78" i="9"/>
  <c r="S89" i="9"/>
  <c r="AA63" i="9"/>
  <c r="AA41" i="9"/>
  <c r="AD65" i="9"/>
  <c r="AJ15" i="9"/>
  <c r="AP54" i="9"/>
  <c r="BB15" i="9"/>
  <c r="BD55" i="9"/>
  <c r="N87" i="9"/>
  <c r="R77" i="9"/>
  <c r="W75" i="9"/>
  <c r="Y15" i="9"/>
  <c r="AL65" i="9"/>
  <c r="AM5" i="9"/>
  <c r="AS41" i="9"/>
  <c r="AT87" i="9"/>
  <c r="AX55" i="9"/>
  <c r="BE63" i="9"/>
  <c r="BD54" i="9"/>
  <c r="AZ54" i="9"/>
  <c r="BB54" i="9"/>
  <c r="BC54" i="9"/>
  <c r="BF54" i="9"/>
  <c r="AM54" i="9"/>
  <c r="AJ54" i="9"/>
  <c r="AR54" i="9"/>
  <c r="AN54" i="9"/>
  <c r="AH54" i="9"/>
  <c r="AX54" i="9"/>
  <c r="AS54" i="9"/>
  <c r="AO54" i="9"/>
  <c r="AE54" i="9"/>
  <c r="AA54" i="9"/>
  <c r="O54" i="9"/>
  <c r="AY54" i="9"/>
  <c r="X54" i="9"/>
  <c r="L54" i="9"/>
  <c r="AG54" i="9"/>
  <c r="Z54" i="9"/>
  <c r="K54" i="9"/>
  <c r="AV54" i="9"/>
  <c r="BA54" i="9"/>
  <c r="AW54" i="9"/>
  <c r="AU54" i="9"/>
  <c r="AL54" i="9"/>
  <c r="AC54" i="9"/>
  <c r="Y54" i="9"/>
  <c r="AQ54" i="9"/>
  <c r="P54" i="9"/>
  <c r="AF54" i="9"/>
  <c r="V54" i="9"/>
  <c r="AD54" i="9"/>
  <c r="Q54" i="9"/>
  <c r="M54" i="9"/>
  <c r="R54" i="9"/>
  <c r="I54" i="9"/>
  <c r="AK54" i="9"/>
  <c r="W54" i="9"/>
  <c r="AB54" i="9"/>
  <c r="BC65" i="9"/>
  <c r="AZ65" i="9"/>
  <c r="AY65" i="9"/>
  <c r="AW65" i="9"/>
  <c r="BA65" i="9"/>
  <c r="BE65" i="9"/>
  <c r="BB65" i="9"/>
  <c r="AV65" i="9"/>
  <c r="AS65" i="9"/>
  <c r="AO65" i="9"/>
  <c r="AG65" i="9"/>
  <c r="AT65" i="9"/>
  <c r="AP65" i="9"/>
  <c r="AJ65" i="9"/>
  <c r="Z65" i="9"/>
  <c r="N65" i="9"/>
  <c r="W65" i="9"/>
  <c r="K65" i="9"/>
  <c r="AX65" i="9"/>
  <c r="AK65" i="9"/>
  <c r="AQ65" i="9"/>
  <c r="X65" i="9"/>
  <c r="I65" i="9"/>
  <c r="AN65" i="9"/>
  <c r="R65" i="9"/>
  <c r="AA65" i="9"/>
  <c r="AI65" i="9"/>
  <c r="AE65" i="9"/>
  <c r="AC65" i="9"/>
  <c r="BF65" i="9"/>
  <c r="AB65" i="9"/>
  <c r="AM65" i="9"/>
  <c r="S65" i="9"/>
  <c r="J65" i="9"/>
  <c r="U65" i="9"/>
  <c r="T65" i="9"/>
  <c r="O65" i="9"/>
  <c r="BC17" i="9"/>
  <c r="AY17" i="9"/>
  <c r="BD17" i="9"/>
  <c r="BE17" i="9"/>
  <c r="AL17" i="9"/>
  <c r="BF17" i="9"/>
  <c r="AI17" i="9"/>
  <c r="AV17" i="9"/>
  <c r="AG17" i="9"/>
  <c r="AR17" i="9"/>
  <c r="Z17" i="9"/>
  <c r="N17" i="9"/>
  <c r="AF17" i="9"/>
  <c r="W17" i="9"/>
  <c r="K17" i="9"/>
  <c r="AT17" i="9"/>
  <c r="AQ17" i="9"/>
  <c r="AN17" i="9"/>
  <c r="AB17" i="9"/>
  <c r="M17" i="9"/>
  <c r="BA17" i="9"/>
  <c r="AX17" i="9"/>
  <c r="AH17" i="9"/>
  <c r="AU17" i="9"/>
  <c r="Q17" i="9"/>
  <c r="AO17" i="9"/>
  <c r="AD17" i="9"/>
  <c r="R17" i="9"/>
  <c r="AP17" i="9"/>
  <c r="AA17" i="9"/>
  <c r="AM17" i="9"/>
  <c r="I17" i="9"/>
  <c r="AE17" i="9"/>
  <c r="S17" i="9"/>
  <c r="AZ17" i="9"/>
  <c r="AW17" i="9"/>
  <c r="X17" i="9"/>
  <c r="J17" i="9"/>
  <c r="J53" i="9"/>
  <c r="AC17" i="9"/>
  <c r="AP78" i="9"/>
  <c r="M41" i="9"/>
  <c r="P65" i="9"/>
  <c r="AI53" i="9"/>
  <c r="AS17" i="9"/>
  <c r="AJ17" i="9"/>
  <c r="AK63" i="9"/>
  <c r="AK17" i="9"/>
  <c r="AO63" i="9"/>
  <c r="AS89" i="9"/>
  <c r="AT54" i="9"/>
  <c r="BD65" i="9"/>
  <c r="J5" i="9"/>
  <c r="L65" i="9"/>
  <c r="N55" i="9"/>
  <c r="O17" i="9"/>
  <c r="P17" i="9"/>
  <c r="Q29" i="9"/>
  <c r="S54" i="9"/>
  <c r="U53" i="9"/>
  <c r="AB41" i="9"/>
  <c r="AB5" i="9"/>
  <c r="AD63" i="9"/>
  <c r="AE89" i="9"/>
  <c r="AF65" i="9"/>
  <c r="AL63" i="9"/>
  <c r="AM55" i="9"/>
  <c r="AX53" i="9"/>
  <c r="AY77" i="9"/>
  <c r="I89" i="9"/>
  <c r="N54" i="9"/>
  <c r="S53" i="9"/>
  <c r="T89" i="9"/>
  <c r="AA89" i="9"/>
  <c r="AD29" i="9"/>
  <c r="AE5" i="9"/>
  <c r="AF5" i="9"/>
  <c r="AH89" i="9"/>
  <c r="AJ41" i="9"/>
  <c r="AK89" i="9"/>
  <c r="AT29" i="9"/>
  <c r="BA77" i="9"/>
  <c r="BE54" i="9"/>
  <c r="BF55" i="9"/>
  <c r="O89" i="9"/>
  <c r="P15" i="9"/>
  <c r="S75" i="9"/>
  <c r="V65" i="9"/>
  <c r="V29" i="9"/>
  <c r="X5" i="9"/>
  <c r="Z78" i="9"/>
  <c r="Z15" i="9"/>
  <c r="AA29" i="9"/>
  <c r="AG55" i="9"/>
  <c r="AK87" i="9"/>
  <c r="AO89" i="9"/>
  <c r="BE53" i="9"/>
  <c r="I70" i="9"/>
  <c r="J82" i="9"/>
  <c r="M22" i="9"/>
  <c r="N34" i="9"/>
  <c r="U94" i="9"/>
  <c r="W70" i="9"/>
  <c r="AD58" i="9"/>
  <c r="AE70" i="9"/>
  <c r="AE34" i="9"/>
  <c r="AF94" i="9"/>
  <c r="AG70" i="9"/>
  <c r="AM22" i="9"/>
  <c r="AO82" i="9"/>
  <c r="BF34" i="9"/>
  <c r="I69" i="9"/>
  <c r="I34" i="9"/>
  <c r="J81" i="9"/>
  <c r="K94" i="9"/>
  <c r="P93" i="9"/>
  <c r="Q22" i="9"/>
  <c r="U93" i="9"/>
  <c r="V57" i="9"/>
  <c r="V22" i="9"/>
  <c r="X82" i="9"/>
  <c r="Y9" i="9"/>
  <c r="AD57" i="9"/>
  <c r="AD21" i="9"/>
  <c r="AE69" i="9"/>
  <c r="AF93" i="9"/>
  <c r="AF58" i="9"/>
  <c r="AG69" i="9"/>
  <c r="AO81" i="9"/>
  <c r="AP70" i="9"/>
  <c r="AT70" i="9"/>
  <c r="AU57" i="9"/>
  <c r="AZ58" i="9"/>
  <c r="BE82" i="9"/>
  <c r="I82" i="9"/>
  <c r="K93" i="9"/>
  <c r="K9" i="9"/>
  <c r="M70" i="9"/>
  <c r="N82" i="9"/>
  <c r="Q21" i="9"/>
  <c r="S81" i="9"/>
  <c r="T93" i="9"/>
  <c r="V21" i="9"/>
  <c r="Y94" i="9"/>
  <c r="Z22" i="9"/>
  <c r="AC93" i="9"/>
  <c r="AU82" i="9"/>
  <c r="BD94" i="9"/>
  <c r="BC94" i="9"/>
  <c r="AX94" i="9"/>
  <c r="AZ94" i="9"/>
  <c r="BB94" i="9"/>
  <c r="AY94" i="9"/>
  <c r="BF94" i="9"/>
  <c r="AQ94" i="9"/>
  <c r="AN94" i="9"/>
  <c r="AO94" i="9"/>
  <c r="AP94" i="9"/>
  <c r="AI94" i="9"/>
  <c r="S94" i="9"/>
  <c r="AT94" i="9"/>
  <c r="AE94" i="9"/>
  <c r="AC94" i="9"/>
  <c r="AB94" i="9"/>
  <c r="P94" i="9"/>
  <c r="AA94" i="9"/>
  <c r="W94" i="9"/>
  <c r="AL94" i="9"/>
  <c r="X94" i="9"/>
  <c r="T94" i="9"/>
  <c r="BA94" i="9"/>
  <c r="AM94" i="9"/>
  <c r="AG94" i="9"/>
  <c r="BD82" i="9"/>
  <c r="BF82" i="9"/>
  <c r="AX82" i="9"/>
  <c r="AQ82" i="9"/>
  <c r="AN82" i="9"/>
  <c r="AR82" i="9"/>
  <c r="AK82" i="9"/>
  <c r="AS82" i="9"/>
  <c r="AI82" i="9"/>
  <c r="AP82" i="9"/>
  <c r="AJ82" i="9"/>
  <c r="AG82" i="9"/>
  <c r="S82" i="9"/>
  <c r="AW82" i="9"/>
  <c r="AH82" i="9"/>
  <c r="AC82" i="9"/>
  <c r="AB82" i="9"/>
  <c r="P82" i="9"/>
  <c r="AY82" i="9"/>
  <c r="O82" i="9"/>
  <c r="K82" i="9"/>
  <c r="BA82" i="9"/>
  <c r="AV82" i="9"/>
  <c r="L82" i="9"/>
  <c r="BB82" i="9"/>
  <c r="BD70" i="9"/>
  <c r="AX70" i="9"/>
  <c r="BA70" i="9"/>
  <c r="AQ70" i="9"/>
  <c r="AN70" i="9"/>
  <c r="BE70" i="9"/>
  <c r="AV70" i="9"/>
  <c r="AI70" i="9"/>
  <c r="AY70" i="9"/>
  <c r="AF70" i="9"/>
  <c r="S70" i="9"/>
  <c r="AZ70" i="9"/>
  <c r="AJ70" i="9"/>
  <c r="AC70" i="9"/>
  <c r="AB70" i="9"/>
  <c r="P70" i="9"/>
  <c r="BB70" i="9"/>
  <c r="AU70" i="9"/>
  <c r="R70" i="9"/>
  <c r="BF70" i="9"/>
  <c r="AM70" i="9"/>
  <c r="AH70" i="9"/>
  <c r="AD70" i="9"/>
  <c r="BC70" i="9"/>
  <c r="BD58" i="9"/>
  <c r="BA58" i="9"/>
  <c r="AX58" i="9"/>
  <c r="BB58" i="9"/>
  <c r="BC58" i="9"/>
  <c r="AW58" i="9"/>
  <c r="AU58" i="9"/>
  <c r="AQ58" i="9"/>
  <c r="AN58" i="9"/>
  <c r="AI58" i="9"/>
  <c r="S58" i="9"/>
  <c r="BF58" i="9"/>
  <c r="AT58" i="9"/>
  <c r="AO58" i="9"/>
  <c r="AC58" i="9"/>
  <c r="AB58" i="9"/>
  <c r="P58" i="9"/>
  <c r="AE58" i="9"/>
  <c r="Y58" i="9"/>
  <c r="U58" i="9"/>
  <c r="AY58" i="9"/>
  <c r="AV58" i="9"/>
  <c r="AR58" i="9"/>
  <c r="Z58" i="9"/>
  <c r="V58" i="9"/>
  <c r="BD34" i="9"/>
  <c r="AX34" i="9"/>
  <c r="AQ34" i="9"/>
  <c r="AN34" i="9"/>
  <c r="BA34" i="9"/>
  <c r="AZ34" i="9"/>
  <c r="AL34" i="9"/>
  <c r="AW34" i="9"/>
  <c r="AM34" i="9"/>
  <c r="AI34" i="9"/>
  <c r="AJ34" i="9"/>
  <c r="S34" i="9"/>
  <c r="BC34" i="9"/>
  <c r="AP34" i="9"/>
  <c r="AC34" i="9"/>
  <c r="AB34" i="9"/>
  <c r="P34" i="9"/>
  <c r="BB34" i="9"/>
  <c r="AO34" i="9"/>
  <c r="AK34" i="9"/>
  <c r="AH34" i="9"/>
  <c r="Q34" i="9"/>
  <c r="AY34" i="9"/>
  <c r="AV34" i="9"/>
  <c r="BD22" i="9"/>
  <c r="BC22" i="9"/>
  <c r="AX22" i="9"/>
  <c r="AZ22" i="9"/>
  <c r="BE22" i="9"/>
  <c r="AQ22" i="9"/>
  <c r="BB22" i="9"/>
  <c r="AV22" i="9"/>
  <c r="AU22" i="9"/>
  <c r="AN22" i="9"/>
  <c r="AO22" i="9"/>
  <c r="AP22" i="9"/>
  <c r="AI22" i="9"/>
  <c r="AY22" i="9"/>
  <c r="AL22" i="9"/>
  <c r="AK22" i="9"/>
  <c r="S22" i="9"/>
  <c r="AJ22" i="9"/>
  <c r="AD22" i="9"/>
  <c r="AC22" i="9"/>
  <c r="AB22" i="9"/>
  <c r="P22" i="9"/>
  <c r="AA22" i="9"/>
  <c r="W22" i="9"/>
  <c r="X22" i="9"/>
  <c r="T22" i="9"/>
  <c r="BA22" i="9"/>
  <c r="K58" i="9"/>
  <c r="L22" i="9"/>
  <c r="M34" i="9"/>
  <c r="O94" i="9"/>
  <c r="Q70" i="9"/>
  <c r="R34" i="9"/>
  <c r="T58" i="9"/>
  <c r="W82" i="9"/>
  <c r="Z70" i="9"/>
  <c r="AA34" i="9"/>
  <c r="AG22" i="9"/>
  <c r="AH58" i="9"/>
  <c r="AK70" i="9"/>
  <c r="AS22" i="9"/>
  <c r="BC93" i="9"/>
  <c r="BD93" i="9"/>
  <c r="AZ93" i="9"/>
  <c r="AX93" i="9"/>
  <c r="AP93" i="9"/>
  <c r="BA93" i="9"/>
  <c r="AV93" i="9"/>
  <c r="AM93" i="9"/>
  <c r="BF93" i="9"/>
  <c r="AS93" i="9"/>
  <c r="AY93" i="9"/>
  <c r="AT93" i="9"/>
  <c r="AJ93" i="9"/>
  <c r="AH93" i="9"/>
  <c r="R93" i="9"/>
  <c r="AA93" i="9"/>
  <c r="O93" i="9"/>
  <c r="AU93" i="9"/>
  <c r="AR93" i="9"/>
  <c r="AO93" i="9"/>
  <c r="AI93" i="9"/>
  <c r="L93" i="9"/>
  <c r="AG93" i="9"/>
  <c r="AE93" i="9"/>
  <c r="AB93" i="9"/>
  <c r="M93" i="9"/>
  <c r="I93" i="9"/>
  <c r="BC81" i="9"/>
  <c r="BD81" i="9"/>
  <c r="BB81" i="9"/>
  <c r="AY81" i="9"/>
  <c r="BE81" i="9"/>
  <c r="AP81" i="9"/>
  <c r="AX81" i="9"/>
  <c r="AM81" i="9"/>
  <c r="BA81" i="9"/>
  <c r="AW81" i="9"/>
  <c r="AH81" i="9"/>
  <c r="R81" i="9"/>
  <c r="AN81" i="9"/>
  <c r="AE81" i="9"/>
  <c r="AA81" i="9"/>
  <c r="O81" i="9"/>
  <c r="AT81" i="9"/>
  <c r="AD81" i="9"/>
  <c r="P81" i="9"/>
  <c r="AI81" i="9"/>
  <c r="BC69" i="9"/>
  <c r="BB69" i="9"/>
  <c r="AP69" i="9"/>
  <c r="AY69" i="9"/>
  <c r="AM69" i="9"/>
  <c r="BF69" i="9"/>
  <c r="AN69" i="9"/>
  <c r="AK69" i="9"/>
  <c r="AO69" i="9"/>
  <c r="AH69" i="9"/>
  <c r="BE69" i="9"/>
  <c r="R69" i="9"/>
  <c r="AX69" i="9"/>
  <c r="AA69" i="9"/>
  <c r="O69" i="9"/>
  <c r="AL69" i="9"/>
  <c r="Z69" i="9"/>
  <c r="V69" i="9"/>
  <c r="AJ69" i="9"/>
  <c r="W69" i="9"/>
  <c r="S69" i="9"/>
  <c r="BC57" i="9"/>
  <c r="BE57" i="9"/>
  <c r="BF57" i="9"/>
  <c r="AP57" i="9"/>
  <c r="AZ57" i="9"/>
  <c r="AM57" i="9"/>
  <c r="BA57" i="9"/>
  <c r="AQ57" i="9"/>
  <c r="AY57" i="9"/>
  <c r="AV57" i="9"/>
  <c r="AR57" i="9"/>
  <c r="AH57" i="9"/>
  <c r="AF57" i="9"/>
  <c r="R57" i="9"/>
  <c r="AK57" i="9"/>
  <c r="AG57" i="9"/>
  <c r="AA57" i="9"/>
  <c r="O57" i="9"/>
  <c r="AN57" i="9"/>
  <c r="AI57" i="9"/>
  <c r="N57" i="9"/>
  <c r="J57" i="9"/>
  <c r="BD57" i="9"/>
  <c r="AO57" i="9"/>
  <c r="K57" i="9"/>
  <c r="AW57" i="9"/>
  <c r="AL57" i="9"/>
  <c r="BC21" i="9"/>
  <c r="AW21" i="9"/>
  <c r="BD21" i="9"/>
  <c r="AZ21" i="9"/>
  <c r="AP21" i="9"/>
  <c r="AM21" i="9"/>
  <c r="BF21" i="9"/>
  <c r="BE21" i="9"/>
  <c r="AU21" i="9"/>
  <c r="AS21" i="9"/>
  <c r="AT21" i="9"/>
  <c r="AH21" i="9"/>
  <c r="AV21" i="9"/>
  <c r="R21" i="9"/>
  <c r="BA21" i="9"/>
  <c r="AA21" i="9"/>
  <c r="O21" i="9"/>
  <c r="L21" i="9"/>
  <c r="AQ21" i="9"/>
  <c r="AN21" i="9"/>
  <c r="AB21" i="9"/>
  <c r="M21" i="9"/>
  <c r="I21" i="9"/>
  <c r="AX21" i="9"/>
  <c r="BC9" i="9"/>
  <c r="AW9" i="9"/>
  <c r="AY9" i="9"/>
  <c r="BE9" i="9"/>
  <c r="AZ9" i="9"/>
  <c r="AP9" i="9"/>
  <c r="BD9" i="9"/>
  <c r="BA9" i="9"/>
  <c r="AU9" i="9"/>
  <c r="AM9" i="9"/>
  <c r="AL9" i="9"/>
  <c r="AI9" i="9"/>
  <c r="AH9" i="9"/>
  <c r="AS9" i="9"/>
  <c r="R9" i="9"/>
  <c r="AQ9" i="9"/>
  <c r="AD9" i="9"/>
  <c r="AA9" i="9"/>
  <c r="O9" i="9"/>
  <c r="AX9" i="9"/>
  <c r="AR9" i="9"/>
  <c r="AF9" i="9"/>
  <c r="P9" i="9"/>
  <c r="BB9" i="9"/>
  <c r="J94" i="9"/>
  <c r="J9" i="9"/>
  <c r="P21" i="9"/>
  <c r="Q69" i="9"/>
  <c r="T57" i="9"/>
  <c r="T9" i="9"/>
  <c r="U22" i="9"/>
  <c r="V70" i="9"/>
  <c r="W81" i="9"/>
  <c r="X93" i="9"/>
  <c r="Y22" i="9"/>
  <c r="AA82" i="9"/>
  <c r="AC57" i="9"/>
  <c r="AD69" i="9"/>
  <c r="AE82" i="9"/>
  <c r="AE9" i="9"/>
  <c r="AF34" i="9"/>
  <c r="AG21" i="9"/>
  <c r="AI21" i="9"/>
  <c r="AJ94" i="9"/>
  <c r="AJ21" i="9"/>
  <c r="AK94" i="9"/>
  <c r="AK21" i="9"/>
  <c r="AL93" i="9"/>
  <c r="AL70" i="9"/>
  <c r="AO70" i="9"/>
  <c r="BF92" i="9"/>
  <c r="BB92" i="9"/>
  <c r="BE92" i="9"/>
  <c r="AW92" i="9"/>
  <c r="AO92" i="9"/>
  <c r="BD92" i="9"/>
  <c r="AL92" i="9"/>
  <c r="AG92" i="9"/>
  <c r="AY92" i="9"/>
  <c r="AQ92" i="9"/>
  <c r="AH92" i="9"/>
  <c r="AD92" i="9"/>
  <c r="Q92" i="9"/>
  <c r="BC92" i="9"/>
  <c r="AX92" i="9"/>
  <c r="AI92" i="9"/>
  <c r="Z92" i="9"/>
  <c r="N92" i="9"/>
  <c r="AF92" i="9"/>
  <c r="P92" i="9"/>
  <c r="AZ92" i="9"/>
  <c r="BA92" i="9"/>
  <c r="AM92" i="9"/>
  <c r="AS92" i="9"/>
  <c r="AP92" i="9"/>
  <c r="AK92" i="9"/>
  <c r="BF44" i="9"/>
  <c r="BB44" i="9"/>
  <c r="BA44" i="9"/>
  <c r="BE44" i="9"/>
  <c r="AW44" i="9"/>
  <c r="BD44" i="9"/>
  <c r="AO44" i="9"/>
  <c r="AL44" i="9"/>
  <c r="AM44" i="9"/>
  <c r="AN44" i="9"/>
  <c r="AG44" i="9"/>
  <c r="AS44" i="9"/>
  <c r="AD44" i="9"/>
  <c r="Q44" i="9"/>
  <c r="AZ44" i="9"/>
  <c r="AX44" i="9"/>
  <c r="AQ44" i="9"/>
  <c r="Z44" i="9"/>
  <c r="N44" i="9"/>
  <c r="AF44" i="9"/>
  <c r="Y44" i="9"/>
  <c r="U44" i="9"/>
  <c r="AT44" i="9"/>
  <c r="AI44" i="9"/>
  <c r="V44" i="9"/>
  <c r="R44" i="9"/>
  <c r="BF8" i="9"/>
  <c r="BB8" i="9"/>
  <c r="AZ8" i="9"/>
  <c r="AO8" i="9"/>
  <c r="AV8" i="9"/>
  <c r="AL8" i="9"/>
  <c r="BA8" i="9"/>
  <c r="AW8" i="9"/>
  <c r="BC8" i="9"/>
  <c r="AG8" i="9"/>
  <c r="AN8" i="9"/>
  <c r="Q8" i="9"/>
  <c r="AT8" i="9"/>
  <c r="Z8" i="9"/>
  <c r="N8" i="9"/>
  <c r="AJ8" i="9"/>
  <c r="W8" i="9"/>
  <c r="S8" i="9"/>
  <c r="AU8" i="9"/>
  <c r="AS8" i="9"/>
  <c r="AP8" i="9"/>
  <c r="AM8" i="9"/>
  <c r="X8" i="9"/>
  <c r="T8" i="9"/>
  <c r="J93" i="9"/>
  <c r="J58" i="9"/>
  <c r="J8" i="9"/>
  <c r="K22" i="9"/>
  <c r="L70" i="9"/>
  <c r="N94" i="9"/>
  <c r="R82" i="9"/>
  <c r="S93" i="9"/>
  <c r="S44" i="9"/>
  <c r="S9" i="9"/>
  <c r="U21" i="9"/>
  <c r="V34" i="9"/>
  <c r="X92" i="9"/>
  <c r="Y21" i="9"/>
  <c r="Z34" i="9"/>
  <c r="AB44" i="9"/>
  <c r="AC21" i="9"/>
  <c r="AD34" i="9"/>
  <c r="AE44" i="9"/>
  <c r="AE8" i="9"/>
  <c r="AF69" i="9"/>
  <c r="AH8" i="9"/>
  <c r="AJ92" i="9"/>
  <c r="AK93" i="9"/>
  <c r="AQ81" i="9"/>
  <c r="AR70" i="9"/>
  <c r="AR22" i="9"/>
  <c r="AS94" i="9"/>
  <c r="AS70" i="9"/>
  <c r="AT34" i="9"/>
  <c r="AU44" i="9"/>
  <c r="AX57" i="9"/>
  <c r="BD69" i="9"/>
  <c r="BF9" i="9"/>
  <c r="J100" i="9"/>
  <c r="J88" i="9"/>
  <c r="J76" i="9"/>
  <c r="J64" i="9"/>
  <c r="J52" i="9"/>
  <c r="J40" i="9"/>
  <c r="J28" i="9"/>
  <c r="J16" i="9"/>
  <c r="V100" i="9"/>
  <c r="V88" i="9"/>
  <c r="V76" i="9"/>
  <c r="V64" i="9"/>
  <c r="V52" i="9"/>
  <c r="V40" i="9"/>
  <c r="V28" i="9"/>
  <c r="V16" i="9"/>
  <c r="AH52" i="9"/>
  <c r="AJ100" i="9"/>
  <c r="AK88" i="9"/>
  <c r="AK40" i="9"/>
  <c r="AP16" i="9"/>
  <c r="AZ100" i="9"/>
  <c r="BB100" i="9"/>
  <c r="BE100" i="9"/>
  <c r="BF100" i="9"/>
  <c r="BA100" i="9"/>
  <c r="AV100" i="9"/>
  <c r="AW100" i="9"/>
  <c r="AY100" i="9"/>
  <c r="AT100" i="9"/>
  <c r="AU100" i="9"/>
  <c r="AL100" i="9"/>
  <c r="AD100" i="9"/>
  <c r="BB88" i="9"/>
  <c r="AV88" i="9"/>
  <c r="BA88" i="9"/>
  <c r="AU88" i="9"/>
  <c r="AT88" i="9"/>
  <c r="AZ88" i="9"/>
  <c r="BB76" i="9"/>
  <c r="AZ76" i="9"/>
  <c r="BA76" i="9"/>
  <c r="AV76" i="9"/>
  <c r="AX76" i="9"/>
  <c r="AT76" i="9"/>
  <c r="BC76" i="9"/>
  <c r="AP76" i="9"/>
  <c r="AJ76" i="9"/>
  <c r="BF76" i="9"/>
  <c r="AQ76" i="9"/>
  <c r="AM76" i="9"/>
  <c r="BB64" i="9"/>
  <c r="BC64" i="9"/>
  <c r="BD64" i="9"/>
  <c r="AV64" i="9"/>
  <c r="AY64" i="9"/>
  <c r="AT64" i="9"/>
  <c r="AL64" i="9"/>
  <c r="BB52" i="9"/>
  <c r="BC52" i="9"/>
  <c r="AV52" i="9"/>
  <c r="BF52" i="9"/>
  <c r="AZ52" i="9"/>
  <c r="BD52" i="9"/>
  <c r="AY52" i="9"/>
  <c r="AT52" i="9"/>
  <c r="AF52" i="9"/>
  <c r="BE52" i="9"/>
  <c r="BB40" i="9"/>
  <c r="AV40" i="9"/>
  <c r="BC40" i="9"/>
  <c r="AY40" i="9"/>
  <c r="AT40" i="9"/>
  <c r="AR40" i="9"/>
  <c r="AN40" i="9"/>
  <c r="AF40" i="9"/>
  <c r="AS40" i="9"/>
  <c r="AO40" i="9"/>
  <c r="AJ40" i="9"/>
  <c r="BB28" i="9"/>
  <c r="BE28" i="9"/>
  <c r="BF28" i="9"/>
  <c r="BD28" i="9"/>
  <c r="AW28" i="9"/>
  <c r="AV28" i="9"/>
  <c r="BA28" i="9"/>
  <c r="AT28" i="9"/>
  <c r="AF28" i="9"/>
  <c r="AD28" i="9"/>
  <c r="BB16" i="9"/>
  <c r="BF16" i="9"/>
  <c r="AV16" i="9"/>
  <c r="AW16" i="9"/>
  <c r="AT16" i="9"/>
  <c r="AK16" i="9"/>
  <c r="AF16" i="9"/>
  <c r="AZ16" i="9"/>
  <c r="AX16" i="9"/>
  <c r="AD16" i="9"/>
  <c r="M100" i="9"/>
  <c r="M88" i="9"/>
  <c r="M76" i="9"/>
  <c r="M64" i="9"/>
  <c r="M52" i="9"/>
  <c r="M40" i="9"/>
  <c r="M28" i="9"/>
  <c r="M16" i="9"/>
  <c r="Y100" i="9"/>
  <c r="Y88" i="9"/>
  <c r="Y76" i="9"/>
  <c r="Y64" i="9"/>
  <c r="Y52" i="9"/>
  <c r="Y40" i="9"/>
  <c r="Y28" i="9"/>
  <c r="Y16" i="9"/>
  <c r="AE64" i="9"/>
  <c r="AG52" i="9"/>
  <c r="AI88" i="9"/>
  <c r="AK100" i="9"/>
  <c r="AK52" i="9"/>
  <c r="AM100" i="9"/>
  <c r="AO88" i="9"/>
  <c r="AP64" i="9"/>
  <c r="AQ40" i="9"/>
  <c r="AS28" i="9"/>
  <c r="AW76" i="9"/>
  <c r="AX64" i="9"/>
  <c r="AZ64" i="9"/>
  <c r="BE40" i="9"/>
  <c r="F51" i="9"/>
  <c r="F27" i="9"/>
  <c r="F98" i="9"/>
  <c r="F74" i="9"/>
  <c r="F62" i="9"/>
  <c r="F38" i="9"/>
  <c r="F26" i="9"/>
  <c r="F97" i="9"/>
  <c r="F85" i="9"/>
  <c r="F73" i="9"/>
  <c r="F61" i="9"/>
  <c r="F49" i="9"/>
  <c r="F37" i="9"/>
  <c r="F25" i="9"/>
  <c r="F13" i="9"/>
  <c r="F86" i="9"/>
  <c r="F50" i="9"/>
  <c r="F14" i="9"/>
  <c r="F96" i="9"/>
  <c r="F84" i="9"/>
  <c r="F72" i="9"/>
  <c r="F60" i="9"/>
  <c r="F48" i="9"/>
  <c r="F36" i="9"/>
  <c r="F24" i="9"/>
  <c r="F12" i="9"/>
  <c r="F39" i="9"/>
  <c r="F99" i="9"/>
  <c r="F95" i="9"/>
  <c r="F83" i="9"/>
  <c r="F71" i="9"/>
  <c r="F59" i="9"/>
  <c r="F47" i="9"/>
  <c r="F35" i="9"/>
  <c r="F23" i="9"/>
  <c r="F11" i="9"/>
  <c r="Q11" i="5"/>
  <c r="E11" i="5"/>
  <c r="F17" i="5" s="1"/>
  <c r="L11" i="5"/>
  <c r="M12" i="5" s="1"/>
  <c r="M15" i="5" l="1"/>
  <c r="F15" i="5"/>
  <c r="R15" i="5"/>
  <c r="M103" i="5"/>
  <c r="F38" i="5"/>
  <c r="R90" i="5"/>
  <c r="AQ91" i="9"/>
  <c r="R33" i="9"/>
  <c r="U91" i="9"/>
  <c r="V32" i="9"/>
  <c r="AW91" i="9"/>
  <c r="AG32" i="9"/>
  <c r="AE31" i="9"/>
  <c r="AA33" i="9"/>
  <c r="AK6" i="9"/>
  <c r="AI6" i="9"/>
  <c r="AS42" i="9"/>
  <c r="K42" i="9"/>
  <c r="AW42" i="9"/>
  <c r="N42" i="9"/>
  <c r="AU42" i="9"/>
  <c r="L42" i="9"/>
  <c r="AE42" i="9"/>
  <c r="AH42" i="9"/>
  <c r="H17" i="16"/>
  <c r="Q17" i="16"/>
  <c r="H89" i="16"/>
  <c r="Q89" i="16"/>
  <c r="H66" i="16"/>
  <c r="Q66" i="16"/>
  <c r="H6" i="16"/>
  <c r="Q6" i="16"/>
  <c r="K6" i="16" s="1"/>
  <c r="Q68" i="16"/>
  <c r="H68" i="16"/>
  <c r="Q48" i="16"/>
  <c r="H48" i="16"/>
  <c r="H31" i="16"/>
  <c r="Q31" i="16"/>
  <c r="Q45" i="16"/>
  <c r="H45" i="16"/>
  <c r="Q22" i="16"/>
  <c r="H22" i="16"/>
  <c r="Q94" i="16"/>
  <c r="H94" i="16"/>
  <c r="Q71" i="16"/>
  <c r="H71" i="16"/>
  <c r="Q25" i="16"/>
  <c r="H25" i="16"/>
  <c r="H97" i="16"/>
  <c r="Q97" i="16"/>
  <c r="AA45" i="9"/>
  <c r="AP6" i="9"/>
  <c r="H29" i="16"/>
  <c r="Q29" i="16"/>
  <c r="Q101" i="16"/>
  <c r="H101" i="16"/>
  <c r="Q43" i="16"/>
  <c r="H43" i="16"/>
  <c r="Q8" i="16"/>
  <c r="H8" i="16"/>
  <c r="H80" i="16"/>
  <c r="Q80" i="16"/>
  <c r="H34" i="16"/>
  <c r="Q34" i="16"/>
  <c r="H11" i="16"/>
  <c r="Q11" i="16"/>
  <c r="H60" i="16"/>
  <c r="Q60" i="16"/>
  <c r="R45" i="9"/>
  <c r="Q78" i="16"/>
  <c r="H78" i="16"/>
  <c r="Q57" i="16"/>
  <c r="H57" i="16"/>
  <c r="H83" i="16"/>
  <c r="Q83" i="16"/>
  <c r="H37" i="16"/>
  <c r="Q37" i="16"/>
  <c r="H90" i="16"/>
  <c r="Q90" i="16"/>
  <c r="H55" i="16"/>
  <c r="Q55" i="16"/>
  <c r="Q20" i="16"/>
  <c r="H20" i="16"/>
  <c r="Q92" i="16"/>
  <c r="H92" i="16"/>
  <c r="Q69" i="16"/>
  <c r="H69" i="16"/>
  <c r="H95" i="16"/>
  <c r="Q95" i="16"/>
  <c r="Q72" i="16"/>
  <c r="H72" i="16"/>
  <c r="Q41" i="16"/>
  <c r="H41" i="16"/>
  <c r="H18" i="16"/>
  <c r="Q18" i="16"/>
  <c r="Q46" i="16"/>
  <c r="H46" i="16"/>
  <c r="H23" i="16"/>
  <c r="Q23" i="16"/>
  <c r="H49" i="16"/>
  <c r="Q49" i="16"/>
  <c r="H53" i="16"/>
  <c r="Q53" i="16"/>
  <c r="H30" i="16"/>
  <c r="Q30" i="16"/>
  <c r="H102" i="16"/>
  <c r="Q102" i="16"/>
  <c r="Q67" i="16"/>
  <c r="H67" i="16"/>
  <c r="H32" i="16"/>
  <c r="Q32" i="16"/>
  <c r="Q9" i="16"/>
  <c r="H9" i="16"/>
  <c r="Q81" i="16"/>
  <c r="H81" i="16"/>
  <c r="Q35" i="16"/>
  <c r="H35" i="16"/>
  <c r="Q12" i="16"/>
  <c r="H12" i="16"/>
  <c r="AO45" i="9"/>
  <c r="AE45" i="9"/>
  <c r="S45" i="9"/>
  <c r="W6" i="9"/>
  <c r="P103" i="16"/>
  <c r="Q58" i="16"/>
  <c r="H58" i="16"/>
  <c r="Q84" i="16"/>
  <c r="H84" i="16"/>
  <c r="Q61" i="16"/>
  <c r="H61" i="16"/>
  <c r="H65" i="16"/>
  <c r="Q65" i="16"/>
  <c r="Q42" i="16"/>
  <c r="H42" i="16"/>
  <c r="H79" i="16"/>
  <c r="Q79" i="16"/>
  <c r="Q44" i="16"/>
  <c r="H44" i="16"/>
  <c r="H7" i="16"/>
  <c r="Q7" i="16"/>
  <c r="Q21" i="16"/>
  <c r="H21" i="16"/>
  <c r="Q93" i="16"/>
  <c r="H93" i="16"/>
  <c r="Q70" i="16"/>
  <c r="H70" i="16"/>
  <c r="H47" i="16"/>
  <c r="Q47" i="16"/>
  <c r="H24" i="16"/>
  <c r="Q24" i="16"/>
  <c r="H96" i="16"/>
  <c r="Q96" i="16"/>
  <c r="Q73" i="16"/>
  <c r="H73" i="16"/>
  <c r="AF90" i="9"/>
  <c r="AW6" i="9"/>
  <c r="Q56" i="16"/>
  <c r="H56" i="16"/>
  <c r="Q33" i="16"/>
  <c r="H33" i="16"/>
  <c r="H10" i="16"/>
  <c r="Q10" i="16"/>
  <c r="H82" i="16"/>
  <c r="Q82" i="16"/>
  <c r="Q59" i="16"/>
  <c r="H59" i="16"/>
  <c r="H36" i="16"/>
  <c r="Q36" i="16"/>
  <c r="AF6" i="9"/>
  <c r="X45" i="9"/>
  <c r="AV45" i="9"/>
  <c r="H77" i="16"/>
  <c r="Q77" i="16"/>
  <c r="H54" i="16"/>
  <c r="Q54" i="16"/>
  <c r="Q19" i="16"/>
  <c r="H19" i="16"/>
  <c r="Q91" i="16"/>
  <c r="H91" i="16"/>
  <c r="Q13" i="16"/>
  <c r="H13" i="16"/>
  <c r="Q85" i="16"/>
  <c r="H85" i="16"/>
  <c r="H86" i="16"/>
  <c r="Q86" i="16"/>
  <c r="H14" i="16"/>
  <c r="Q14" i="16"/>
  <c r="H63" i="16"/>
  <c r="Q63" i="16"/>
  <c r="Q40" i="16"/>
  <c r="H40" i="16"/>
  <c r="Q52" i="16"/>
  <c r="H52" i="16"/>
  <c r="H26" i="16"/>
  <c r="Q26" i="16"/>
  <c r="H98" i="16"/>
  <c r="Q98" i="16"/>
  <c r="Q75" i="16"/>
  <c r="H75" i="16"/>
  <c r="Q87" i="16"/>
  <c r="H87" i="16"/>
  <c r="H64" i="16"/>
  <c r="Q64" i="16"/>
  <c r="H38" i="16"/>
  <c r="Q38" i="16"/>
  <c r="Q15" i="16"/>
  <c r="H15" i="16"/>
  <c r="H50" i="16"/>
  <c r="Q50" i="16"/>
  <c r="H99" i="16"/>
  <c r="Q99" i="16"/>
  <c r="H27" i="16"/>
  <c r="Q27" i="16"/>
  <c r="H76" i="16"/>
  <c r="Q76" i="16"/>
  <c r="Q16" i="16"/>
  <c r="H16" i="16"/>
  <c r="Q88" i="16"/>
  <c r="H88" i="16"/>
  <c r="H62" i="16"/>
  <c r="Q62" i="16"/>
  <c r="Q39" i="16"/>
  <c r="H39" i="16"/>
  <c r="H51" i="16"/>
  <c r="Q51" i="16"/>
  <c r="H28" i="16"/>
  <c r="Q28" i="16"/>
  <c r="H74" i="16"/>
  <c r="Q74" i="16"/>
  <c r="Q100" i="16"/>
  <c r="H100" i="16"/>
  <c r="AN43" i="9"/>
  <c r="AW43" i="9"/>
  <c r="AI45" i="9"/>
  <c r="T45" i="9"/>
  <c r="I6" i="9"/>
  <c r="T6" i="9"/>
  <c r="M6" i="9"/>
  <c r="AM6" i="9"/>
  <c r="M43" i="9"/>
  <c r="BC6" i="9"/>
  <c r="R6" i="9"/>
  <c r="BE6" i="9"/>
  <c r="AZ6" i="9"/>
  <c r="X43" i="9"/>
  <c r="L45" i="9"/>
  <c r="AZ45" i="9"/>
  <c r="AU45" i="9"/>
  <c r="BF6" i="9"/>
  <c r="V6" i="9"/>
  <c r="BA6" i="9"/>
  <c r="BD6" i="9"/>
  <c r="BD43" i="9"/>
  <c r="BF43" i="9"/>
  <c r="AG45" i="9"/>
  <c r="AL6" i="9"/>
  <c r="AT45" i="9"/>
  <c r="AX45" i="9"/>
  <c r="J45" i="9"/>
  <c r="Z6" i="9"/>
  <c r="L6" i="9"/>
  <c r="AP43" i="9"/>
  <c r="AR45" i="9"/>
  <c r="I91" i="9"/>
  <c r="AJ6" i="9"/>
  <c r="AK45" i="9"/>
  <c r="BB43" i="9"/>
  <c r="AL45" i="9"/>
  <c r="AY45" i="9"/>
  <c r="AB6" i="9"/>
  <c r="V45" i="9"/>
  <c r="W45" i="9"/>
  <c r="BB45" i="9"/>
  <c r="AO6" i="9"/>
  <c r="AX6" i="9"/>
  <c r="AG6" i="9"/>
  <c r="AU6" i="9"/>
  <c r="AF45" i="9"/>
  <c r="I45" i="9"/>
  <c r="BE45" i="9"/>
  <c r="AC45" i="9"/>
  <c r="BA45" i="9"/>
  <c r="AN6" i="9"/>
  <c r="X6" i="9"/>
  <c r="AY43" i="9"/>
  <c r="AD45" i="9"/>
  <c r="AZ80" i="9"/>
  <c r="Q45" i="9"/>
  <c r="BD45" i="9"/>
  <c r="U6" i="9"/>
  <c r="P6" i="9"/>
  <c r="AV6" i="9"/>
  <c r="AM43" i="9"/>
  <c r="K43" i="9"/>
  <c r="J43" i="9"/>
  <c r="AW45" i="9"/>
  <c r="AS45" i="9"/>
  <c r="BC45" i="9"/>
  <c r="Q6" i="9"/>
  <c r="AQ6" i="9"/>
  <c r="O45" i="9"/>
  <c r="P90" i="9"/>
  <c r="J6" i="9"/>
  <c r="S6" i="9"/>
  <c r="Y6" i="9"/>
  <c r="AE6" i="9"/>
  <c r="AD43" i="9"/>
  <c r="E61" i="16"/>
  <c r="E36" i="16"/>
  <c r="E98" i="16"/>
  <c r="AX32" i="9"/>
  <c r="E85" i="16"/>
  <c r="E16" i="16"/>
  <c r="E40" i="16"/>
  <c r="X33" i="9"/>
  <c r="AO90" i="9"/>
  <c r="V90" i="9"/>
  <c r="AT91" i="9"/>
  <c r="E19" i="16"/>
  <c r="E42" i="16"/>
  <c r="E57" i="16"/>
  <c r="E71" i="16"/>
  <c r="E83" i="16"/>
  <c r="E95" i="16"/>
  <c r="E97" i="16"/>
  <c r="E52" i="16"/>
  <c r="E64" i="16"/>
  <c r="AI91" i="9"/>
  <c r="AK68" i="9"/>
  <c r="O33" i="9"/>
  <c r="K90" i="9"/>
  <c r="BA42" i="9"/>
  <c r="T43" i="9"/>
  <c r="U43" i="9"/>
  <c r="BB91" i="9"/>
  <c r="E86" i="16"/>
  <c r="E56" i="16"/>
  <c r="E94" i="16"/>
  <c r="E73" i="16"/>
  <c r="E28" i="16"/>
  <c r="E101" i="16"/>
  <c r="E76" i="16"/>
  <c r="E7" i="16"/>
  <c r="E23" i="16"/>
  <c r="E43" i="16"/>
  <c r="E59" i="16"/>
  <c r="E84" i="16"/>
  <c r="E96" i="16"/>
  <c r="E41" i="16"/>
  <c r="E15" i="16"/>
  <c r="E100" i="16"/>
  <c r="E27" i="16"/>
  <c r="E10" i="16"/>
  <c r="E24" i="16"/>
  <c r="E46" i="16"/>
  <c r="E60" i="16"/>
  <c r="E77" i="16"/>
  <c r="E89" i="16"/>
  <c r="E102" i="16"/>
  <c r="E26" i="16"/>
  <c r="E53" i="16"/>
  <c r="BB42" i="9"/>
  <c r="E38" i="16"/>
  <c r="P43" i="9"/>
  <c r="AK33" i="9"/>
  <c r="Q42" i="9"/>
  <c r="AT43" i="9"/>
  <c r="E11" i="16"/>
  <c r="E30" i="16"/>
  <c r="E54" i="16"/>
  <c r="E65" i="16"/>
  <c r="E78" i="16"/>
  <c r="E90" i="16"/>
  <c r="E8" i="16"/>
  <c r="E47" i="16"/>
  <c r="E25" i="16"/>
  <c r="E50" i="16"/>
  <c r="E63" i="16"/>
  <c r="AF43" i="9"/>
  <c r="AY32" i="9"/>
  <c r="AM33" i="9"/>
  <c r="AH45" i="9"/>
  <c r="N6" i="9"/>
  <c r="M42" i="9"/>
  <c r="AL42" i="9"/>
  <c r="AC6" i="9"/>
  <c r="O6" i="9"/>
  <c r="Z42" i="9"/>
  <c r="S43" i="9"/>
  <c r="U45" i="9"/>
  <c r="O32" i="9"/>
  <c r="K45" i="9"/>
  <c r="I43" i="9"/>
  <c r="E9" i="16"/>
  <c r="E48" i="16"/>
  <c r="E99" i="16"/>
  <c r="E67" i="16"/>
  <c r="E88" i="16"/>
  <c r="E14" i="16"/>
  <c r="AR33" i="9"/>
  <c r="J32" i="9"/>
  <c r="AH33" i="9"/>
  <c r="W33" i="9"/>
  <c r="E13" i="16"/>
  <c r="AV32" i="9"/>
  <c r="L91" i="9"/>
  <c r="E37" i="16"/>
  <c r="I32" i="9"/>
  <c r="AN45" i="9"/>
  <c r="BF45" i="9"/>
  <c r="AT6" i="9"/>
  <c r="AY6" i="9"/>
  <c r="AA6" i="9"/>
  <c r="Y42" i="9"/>
  <c r="AG43" i="9"/>
  <c r="Y32" i="9"/>
  <c r="Y45" i="9"/>
  <c r="V80" i="9"/>
  <c r="Z91" i="9"/>
  <c r="W43" i="9"/>
  <c r="E17" i="16"/>
  <c r="E31" i="16"/>
  <c r="E55" i="16"/>
  <c r="E66" i="16"/>
  <c r="E79" i="16"/>
  <c r="E91" i="16"/>
  <c r="E18" i="16"/>
  <c r="E80" i="16"/>
  <c r="E72" i="16"/>
  <c r="E29" i="16"/>
  <c r="AB33" i="9"/>
  <c r="E39" i="16"/>
  <c r="E51" i="16"/>
  <c r="E62" i="16"/>
  <c r="E75" i="16"/>
  <c r="AE91" i="9"/>
  <c r="AQ43" i="9"/>
  <c r="E49" i="16"/>
  <c r="E74" i="16"/>
  <c r="E87" i="16"/>
  <c r="AC43" i="9"/>
  <c r="AK43" i="9"/>
  <c r="Q33" i="9"/>
  <c r="M32" i="9"/>
  <c r="AB45" i="9"/>
  <c r="N45" i="9"/>
  <c r="AQ45" i="9"/>
  <c r="AM45" i="9"/>
  <c r="AR42" i="9"/>
  <c r="AS6" i="9"/>
  <c r="K6" i="9"/>
  <c r="AD6" i="9"/>
  <c r="AP42" i="9"/>
  <c r="W79" i="9"/>
  <c r="M45" i="9"/>
  <c r="W32" i="9"/>
  <c r="Z45" i="9"/>
  <c r="T91" i="9"/>
  <c r="BC80" i="9"/>
  <c r="G103" i="16"/>
  <c r="AE79" i="9"/>
  <c r="AU79" i="9"/>
  <c r="W90" i="9"/>
  <c r="AY79" i="9"/>
  <c r="AK91" i="9"/>
  <c r="AD90" i="9"/>
  <c r="K91" i="9"/>
  <c r="BD91" i="9"/>
  <c r="J33" i="9"/>
  <c r="AN91" i="9"/>
  <c r="Q68" i="9"/>
  <c r="AN90" i="9"/>
  <c r="AX42" i="9"/>
  <c r="AJ31" i="9"/>
  <c r="BF91" i="9"/>
  <c r="BE33" i="9"/>
  <c r="AD68" i="9"/>
  <c r="P42" i="9"/>
  <c r="L31" i="9"/>
  <c r="N31" i="9"/>
  <c r="O91" i="9"/>
  <c r="AS33" i="9"/>
  <c r="AA7" i="9"/>
  <c r="Y30" i="9"/>
  <c r="AH90" i="9"/>
  <c r="J30" i="9"/>
  <c r="P91" i="9"/>
  <c r="AZ91" i="9"/>
  <c r="BC32" i="9"/>
  <c r="AY33" i="9"/>
  <c r="AP90" i="9"/>
  <c r="N91" i="9"/>
  <c r="X91" i="9"/>
  <c r="AT7" i="9"/>
  <c r="BA91" i="9"/>
  <c r="AT90" i="9"/>
  <c r="AS90" i="9"/>
  <c r="S30" i="9"/>
  <c r="X42" i="9"/>
  <c r="AH68" i="9"/>
  <c r="Q31" i="9"/>
  <c r="AQ32" i="9"/>
  <c r="AC31" i="9"/>
  <c r="N30" i="9"/>
  <c r="AB91" i="9"/>
  <c r="BA31" i="9"/>
  <c r="AT46" i="9"/>
  <c r="W42" i="9"/>
  <c r="AJ90" i="9"/>
  <c r="W30" i="9"/>
  <c r="AF42" i="9"/>
  <c r="X56" i="9"/>
  <c r="L32" i="9"/>
  <c r="M7" i="9"/>
  <c r="AS7" i="9"/>
  <c r="AN46" i="9"/>
  <c r="R7" i="9"/>
  <c r="K46" i="9"/>
  <c r="P7" i="9"/>
  <c r="AK7" i="9"/>
  <c r="AQ46" i="9"/>
  <c r="Y46" i="9"/>
  <c r="Y7" i="9"/>
  <c r="AN7" i="9"/>
  <c r="BD46" i="9"/>
  <c r="BC46" i="9"/>
  <c r="P67" i="9"/>
  <c r="BD7" i="9"/>
  <c r="AL46" i="9"/>
  <c r="BA46" i="9"/>
  <c r="I46" i="9"/>
  <c r="I79" i="9"/>
  <c r="AH79" i="9"/>
  <c r="BE7" i="9"/>
  <c r="O46" i="9"/>
  <c r="AO30" i="9"/>
  <c r="S79" i="9"/>
  <c r="N79" i="9"/>
  <c r="AI19" i="9"/>
  <c r="AP32" i="9"/>
  <c r="AD30" i="9"/>
  <c r="X18" i="9"/>
  <c r="T90" i="9"/>
  <c r="AH56" i="9"/>
  <c r="AM7" i="9"/>
  <c r="AL19" i="9"/>
  <c r="AV80" i="9"/>
  <c r="AZ33" i="9"/>
  <c r="AV46" i="9"/>
  <c r="N90" i="9"/>
  <c r="X90" i="9"/>
  <c r="I7" i="9"/>
  <c r="AN19" i="9"/>
  <c r="AV91" i="9"/>
  <c r="BC20" i="9"/>
  <c r="AL32" i="9"/>
  <c r="AY80" i="9"/>
  <c r="BC33" i="9"/>
  <c r="AJ46" i="9"/>
  <c r="AP46" i="9"/>
  <c r="AE33" i="9"/>
  <c r="AR90" i="9"/>
  <c r="AB42" i="9"/>
  <c r="V42" i="9"/>
  <c r="AN42" i="9"/>
  <c r="AZ7" i="9"/>
  <c r="AE7" i="9"/>
  <c r="AQ33" i="9"/>
  <c r="AX80" i="9"/>
  <c r="AF68" i="9"/>
  <c r="P33" i="9"/>
  <c r="AI32" i="9"/>
  <c r="K20" i="9"/>
  <c r="AJ7" i="9"/>
  <c r="AO7" i="9"/>
  <c r="AW46" i="9"/>
  <c r="AI7" i="9"/>
  <c r="J7" i="9"/>
  <c r="AC7" i="9"/>
  <c r="T46" i="9"/>
  <c r="K7" i="9"/>
  <c r="J46" i="9"/>
  <c r="U46" i="9"/>
  <c r="AE46" i="9"/>
  <c r="AB7" i="9"/>
  <c r="AG68" i="9"/>
  <c r="AM46" i="9"/>
  <c r="P79" i="9"/>
  <c r="BC7" i="9"/>
  <c r="BF68" i="9"/>
  <c r="BF30" i="9"/>
  <c r="AH7" i="9"/>
  <c r="L46" i="9"/>
  <c r="AP79" i="9"/>
  <c r="AJ68" i="9"/>
  <c r="W80" i="9"/>
  <c r="M46" i="9"/>
  <c r="AG46" i="9"/>
  <c r="V7" i="9"/>
  <c r="AO79" i="9"/>
  <c r="BD80" i="9"/>
  <c r="AO46" i="9"/>
  <c r="P46" i="9"/>
  <c r="AM91" i="9"/>
  <c r="AT32" i="9"/>
  <c r="M33" i="9"/>
  <c r="V33" i="9"/>
  <c r="AP80" i="9"/>
  <c r="AR7" i="9"/>
  <c r="AF7" i="9"/>
  <c r="AY31" i="9"/>
  <c r="AS46" i="9"/>
  <c r="AY20" i="9"/>
  <c r="AW32" i="9"/>
  <c r="AW80" i="9"/>
  <c r="AK46" i="9"/>
  <c r="I33" i="9"/>
  <c r="N33" i="9"/>
  <c r="AQ90" i="9"/>
  <c r="AD42" i="9"/>
  <c r="AL7" i="9"/>
  <c r="AX79" i="9"/>
  <c r="J31" i="9"/>
  <c r="AP7" i="9"/>
  <c r="BA7" i="9"/>
  <c r="AR43" i="9"/>
  <c r="AS79" i="9"/>
  <c r="AJ20" i="9"/>
  <c r="AL80" i="9"/>
  <c r="N46" i="9"/>
  <c r="AI46" i="9"/>
  <c r="AB30" i="9"/>
  <c r="AX43" i="9"/>
  <c r="X7" i="9"/>
  <c r="AP31" i="9"/>
  <c r="AH43" i="9"/>
  <c r="V46" i="9"/>
  <c r="O79" i="9"/>
  <c r="X67" i="9"/>
  <c r="Z7" i="9"/>
  <c r="AT80" i="9"/>
  <c r="O18" i="9"/>
  <c r="T66" i="9"/>
  <c r="T68" i="9"/>
  <c r="O20" i="9"/>
  <c r="AT66" i="9"/>
  <c r="AS20" i="9"/>
  <c r="R46" i="9"/>
  <c r="X68" i="9"/>
  <c r="AB20" i="9"/>
  <c r="AV7" i="9"/>
  <c r="AZ31" i="9"/>
  <c r="BA43" i="9"/>
  <c r="N20" i="9"/>
  <c r="T80" i="9"/>
  <c r="W46" i="9"/>
  <c r="AB46" i="9"/>
  <c r="BE46" i="9"/>
  <c r="X46" i="9"/>
  <c r="X30" i="9"/>
  <c r="AE43" i="9"/>
  <c r="J79" i="9"/>
  <c r="AG7" i="9"/>
  <c r="R43" i="9"/>
  <c r="U20" i="9"/>
  <c r="K80" i="9"/>
  <c r="Z46" i="9"/>
  <c r="AR80" i="9"/>
  <c r="O31" i="9"/>
  <c r="AX7" i="9"/>
  <c r="AV31" i="9"/>
  <c r="BE43" i="9"/>
  <c r="AR46" i="9"/>
  <c r="Z20" i="9"/>
  <c r="AI80" i="9"/>
  <c r="AZ46" i="9"/>
  <c r="AC46" i="9"/>
  <c r="AX46" i="9"/>
  <c r="AN30" i="9"/>
  <c r="Z31" i="9"/>
  <c r="O7" i="9"/>
  <c r="AS43" i="9"/>
  <c r="Q46" i="9"/>
  <c r="AP20" i="9"/>
  <c r="J80" i="9"/>
  <c r="AA46" i="9"/>
  <c r="L7" i="9"/>
  <c r="T31" i="9"/>
  <c r="BB7" i="9"/>
  <c r="AW31" i="9"/>
  <c r="AF79" i="9"/>
  <c r="AI20" i="9"/>
  <c r="S80" i="9"/>
  <c r="AU46" i="9"/>
  <c r="AF46" i="9"/>
  <c r="AY46" i="9"/>
  <c r="Z30" i="9"/>
  <c r="S7" i="9"/>
  <c r="X31" i="9"/>
  <c r="AW7" i="9"/>
  <c r="AU7" i="9"/>
  <c r="Z43" i="9"/>
  <c r="AN20" i="9"/>
  <c r="AH46" i="9"/>
  <c r="Q7" i="9"/>
  <c r="AT31" i="9"/>
  <c r="W7" i="9"/>
  <c r="N7" i="9"/>
  <c r="BF7" i="9"/>
  <c r="AD46" i="9"/>
  <c r="T7" i="9"/>
  <c r="AL43" i="9"/>
  <c r="AY7" i="9"/>
  <c r="BE31" i="9"/>
  <c r="AI79" i="9"/>
  <c r="AA80" i="9"/>
  <c r="BB46" i="9"/>
  <c r="S46" i="9"/>
  <c r="L79" i="9"/>
  <c r="AD7" i="9"/>
  <c r="AA43" i="9"/>
  <c r="BF46" i="9"/>
  <c r="AQ7" i="9"/>
  <c r="U7" i="9"/>
  <c r="AJ56" i="9"/>
  <c r="AT10" i="9"/>
  <c r="X10" i="9"/>
  <c r="AN18" i="9"/>
  <c r="AU19" i="9"/>
  <c r="AQ18" i="9"/>
  <c r="AX66" i="9"/>
  <c r="O56" i="9"/>
  <c r="O10" i="9"/>
  <c r="BA18" i="9"/>
  <c r="AR66" i="9"/>
  <c r="BA66" i="9"/>
  <c r="Q19" i="9"/>
  <c r="AC56" i="9"/>
  <c r="AE10" i="9"/>
  <c r="BF66" i="9"/>
  <c r="N19" i="9"/>
  <c r="AD67" i="9"/>
  <c r="F10" i="9"/>
  <c r="U10" i="9"/>
  <c r="Y10" i="9"/>
  <c r="AY10" i="9"/>
  <c r="P10" i="9"/>
  <c r="J10" i="9"/>
  <c r="R10" i="9"/>
  <c r="Z10" i="9"/>
  <c r="AX10" i="9"/>
  <c r="AH10" i="9"/>
  <c r="AP10" i="9"/>
  <c r="AD10" i="9"/>
  <c r="AQ10" i="9"/>
  <c r="AC10" i="9"/>
  <c r="AM10" i="9"/>
  <c r="AN10" i="9"/>
  <c r="AB10" i="9"/>
  <c r="AZ10" i="9"/>
  <c r="K10" i="9"/>
  <c r="AR10" i="9"/>
  <c r="BA10" i="9"/>
  <c r="M10" i="9"/>
  <c r="AJ10" i="9"/>
  <c r="BB10" i="9"/>
  <c r="BE10" i="9"/>
  <c r="T10" i="9"/>
  <c r="I10" i="9"/>
  <c r="AU10" i="9"/>
  <c r="AV10" i="9"/>
  <c r="BC10" i="9"/>
  <c r="W10" i="9"/>
  <c r="AS10" i="9"/>
  <c r="AI10" i="9"/>
  <c r="V10" i="9"/>
  <c r="AW10" i="9"/>
  <c r="AG10" i="9"/>
  <c r="L10" i="9"/>
  <c r="N10" i="9"/>
  <c r="S10" i="9"/>
  <c r="AF10" i="9"/>
  <c r="Q10" i="9"/>
  <c r="AL10" i="9"/>
  <c r="AA10" i="9"/>
  <c r="F56" i="9"/>
  <c r="R56" i="9"/>
  <c r="V56" i="9"/>
  <c r="AZ56" i="9"/>
  <c r="Z56" i="9"/>
  <c r="AA56" i="9"/>
  <c r="W56" i="9"/>
  <c r="BC56" i="9"/>
  <c r="AX56" i="9"/>
  <c r="P56" i="9"/>
  <c r="AQ56" i="9"/>
  <c r="AV56" i="9"/>
  <c r="AP56" i="9"/>
  <c r="AK56" i="9"/>
  <c r="S56" i="9"/>
  <c r="AM56" i="9"/>
  <c r="BD56" i="9"/>
  <c r="AE56" i="9"/>
  <c r="AU56" i="9"/>
  <c r="AS56" i="9"/>
  <c r="AG56" i="9"/>
  <c r="T56" i="9"/>
  <c r="AF56" i="9"/>
  <c r="AR56" i="9"/>
  <c r="AD56" i="9"/>
  <c r="AT56" i="9"/>
  <c r="AN56" i="9"/>
  <c r="Q56" i="9"/>
  <c r="AI56" i="9"/>
  <c r="Y56" i="9"/>
  <c r="BF56" i="9"/>
  <c r="N56" i="9"/>
  <c r="AB56" i="9"/>
  <c r="K56" i="9"/>
  <c r="U56" i="9"/>
  <c r="BB56" i="9"/>
  <c r="AY56" i="9"/>
  <c r="L56" i="9"/>
  <c r="F18" i="9"/>
  <c r="AZ18" i="9"/>
  <c r="AP18" i="9"/>
  <c r="J18" i="9"/>
  <c r="M18" i="9"/>
  <c r="AW18" i="9"/>
  <c r="BF18" i="9"/>
  <c r="V18" i="9"/>
  <c r="AC18" i="9"/>
  <c r="BE18" i="9"/>
  <c r="AO18" i="9"/>
  <c r="P18" i="9"/>
  <c r="U18" i="9"/>
  <c r="BB18" i="9"/>
  <c r="AA18" i="9"/>
  <c r="AU18" i="9"/>
  <c r="BC18" i="9"/>
  <c r="L18" i="9"/>
  <c r="AF18" i="9"/>
  <c r="AS18" i="9"/>
  <c r="AV18" i="9"/>
  <c r="I18" i="9"/>
  <c r="N18" i="9"/>
  <c r="AG18" i="9"/>
  <c r="AM18" i="9"/>
  <c r="Y18" i="9"/>
  <c r="AB18" i="9"/>
  <c r="AY18" i="9"/>
  <c r="AR18" i="9"/>
  <c r="S18" i="9"/>
  <c r="K18" i="9"/>
  <c r="AX18" i="9"/>
  <c r="AK18" i="9"/>
  <c r="AJ18" i="9"/>
  <c r="AI18" i="9"/>
  <c r="AT18" i="9"/>
  <c r="Z18" i="9"/>
  <c r="AH18" i="9"/>
  <c r="AL18" i="9"/>
  <c r="T18" i="9"/>
  <c r="F66" i="9"/>
  <c r="AM66" i="9"/>
  <c r="AD66" i="9"/>
  <c r="I66" i="9"/>
  <c r="BB66" i="9"/>
  <c r="U66" i="9"/>
  <c r="AU66" i="9"/>
  <c r="M66" i="9"/>
  <c r="AS66" i="9"/>
  <c r="BE66" i="9"/>
  <c r="K66" i="9"/>
  <c r="BD66" i="9"/>
  <c r="X66" i="9"/>
  <c r="AK66" i="9"/>
  <c r="AJ66" i="9"/>
  <c r="AQ66" i="9"/>
  <c r="AC66" i="9"/>
  <c r="AH66" i="9"/>
  <c r="Z66" i="9"/>
  <c r="AE66" i="9"/>
  <c r="R66" i="9"/>
  <c r="Q66" i="9"/>
  <c r="AA66" i="9"/>
  <c r="AI66" i="9"/>
  <c r="O66" i="9"/>
  <c r="AG66" i="9"/>
  <c r="L66" i="9"/>
  <c r="AB66" i="9"/>
  <c r="AW66" i="9"/>
  <c r="AL66" i="9"/>
  <c r="AP66" i="9"/>
  <c r="N66" i="9"/>
  <c r="BC66" i="9"/>
  <c r="AF66" i="9"/>
  <c r="W66" i="9"/>
  <c r="AV66" i="9"/>
  <c r="AE18" i="9"/>
  <c r="S66" i="9"/>
  <c r="I56" i="9"/>
  <c r="F19" i="9"/>
  <c r="AY19" i="9"/>
  <c r="V19" i="9"/>
  <c r="AK19" i="9"/>
  <c r="Y19" i="9"/>
  <c r="O19" i="9"/>
  <c r="AH19" i="9"/>
  <c r="BF19" i="9"/>
  <c r="M19" i="9"/>
  <c r="K19" i="9"/>
  <c r="AT19" i="9"/>
  <c r="AV19" i="9"/>
  <c r="AB19" i="9"/>
  <c r="AQ19" i="9"/>
  <c r="L19" i="9"/>
  <c r="BD19" i="9"/>
  <c r="BC19" i="9"/>
  <c r="AM19" i="9"/>
  <c r="AP19" i="9"/>
  <c r="X19" i="9"/>
  <c r="AR19" i="9"/>
  <c r="AF19" i="9"/>
  <c r="P19" i="9"/>
  <c r="AA19" i="9"/>
  <c r="T19" i="9"/>
  <c r="AS19" i="9"/>
  <c r="AX19" i="9"/>
  <c r="Z19" i="9"/>
  <c r="AO19" i="9"/>
  <c r="AJ19" i="9"/>
  <c r="W19" i="9"/>
  <c r="BB19" i="9"/>
  <c r="AG19" i="9"/>
  <c r="BE19" i="9"/>
  <c r="AW19" i="9"/>
  <c r="I19" i="9"/>
  <c r="BA19" i="9"/>
  <c r="J19" i="9"/>
  <c r="AZ19" i="9"/>
  <c r="R19" i="9"/>
  <c r="F67" i="9"/>
  <c r="J67" i="9"/>
  <c r="W67" i="9"/>
  <c r="I67" i="9"/>
  <c r="AA67" i="9"/>
  <c r="AW67" i="9"/>
  <c r="AR67" i="9"/>
  <c r="BB67" i="9"/>
  <c r="AS67" i="9"/>
  <c r="AX67" i="9"/>
  <c r="BF67" i="9"/>
  <c r="Y67" i="9"/>
  <c r="AT67" i="9"/>
  <c r="O67" i="9"/>
  <c r="AV67" i="9"/>
  <c r="AG67" i="9"/>
  <c r="S67" i="9"/>
  <c r="AP67" i="9"/>
  <c r="AO67" i="9"/>
  <c r="AY67" i="9"/>
  <c r="BE67" i="9"/>
  <c r="K67" i="9"/>
  <c r="BA67" i="9"/>
  <c r="AB67" i="9"/>
  <c r="AL67" i="9"/>
  <c r="AQ67" i="9"/>
  <c r="AE67" i="9"/>
  <c r="BD67" i="9"/>
  <c r="AU67" i="9"/>
  <c r="T67" i="9"/>
  <c r="AN67" i="9"/>
  <c r="M67" i="9"/>
  <c r="Z67" i="9"/>
  <c r="U67" i="9"/>
  <c r="AK67" i="9"/>
  <c r="Q67" i="9"/>
  <c r="N67" i="9"/>
  <c r="AI67" i="9"/>
  <c r="AC67" i="9"/>
  <c r="L67" i="9"/>
  <c r="AZ67" i="9"/>
  <c r="BC67" i="9"/>
  <c r="AJ67" i="9"/>
  <c r="AH67" i="9"/>
  <c r="AM67" i="9"/>
  <c r="R67" i="9"/>
  <c r="BA56" i="9"/>
  <c r="M56" i="9"/>
  <c r="J56" i="9"/>
  <c r="AO56" i="9"/>
  <c r="AK10" i="9"/>
  <c r="V66" i="9"/>
  <c r="S19" i="9"/>
  <c r="AW56" i="9"/>
  <c r="BF10" i="9"/>
  <c r="W18" i="9"/>
  <c r="AY66" i="9"/>
  <c r="AD19" i="9"/>
  <c r="BE56" i="9"/>
  <c r="BD10" i="9"/>
  <c r="R18" i="9"/>
  <c r="J66" i="9"/>
  <c r="AD18" i="9"/>
  <c r="AO66" i="9"/>
  <c r="AN66" i="9"/>
  <c r="U19" i="9"/>
  <c r="AC19" i="9"/>
  <c r="Q18" i="9"/>
  <c r="Y66" i="9"/>
  <c r="P66" i="9"/>
  <c r="V67" i="9"/>
  <c r="F20" i="9"/>
  <c r="T20" i="9"/>
  <c r="AV20" i="9"/>
  <c r="BE20" i="9"/>
  <c r="Q20" i="9"/>
  <c r="AE20" i="9"/>
  <c r="AW20" i="9"/>
  <c r="AR20" i="9"/>
  <c r="AU20" i="9"/>
  <c r="J20" i="9"/>
  <c r="BF20" i="9"/>
  <c r="AM20" i="9"/>
  <c r="AA20" i="9"/>
  <c r="F68" i="9"/>
  <c r="R68" i="9"/>
  <c r="P68" i="9"/>
  <c r="AY68" i="9"/>
  <c r="AV68" i="9"/>
  <c r="V68" i="9"/>
  <c r="AB68" i="9"/>
  <c r="AR68" i="9"/>
  <c r="L68" i="9"/>
  <c r="S68" i="9"/>
  <c r="AS68" i="9"/>
  <c r="AZ68" i="9"/>
  <c r="BA68" i="9"/>
  <c r="M68" i="9"/>
  <c r="AH20" i="9"/>
  <c r="AU68" i="9"/>
  <c r="M20" i="9"/>
  <c r="AT68" i="9"/>
  <c r="F30" i="9"/>
  <c r="BB30" i="9"/>
  <c r="L30" i="9"/>
  <c r="AW30" i="9"/>
  <c r="AU30" i="9"/>
  <c r="P30" i="9"/>
  <c r="AX30" i="9"/>
  <c r="AL30" i="9"/>
  <c r="M30" i="9"/>
  <c r="AV30" i="9"/>
  <c r="AM30" i="9"/>
  <c r="U30" i="9"/>
  <c r="AQ30" i="9"/>
  <c r="AK30" i="9"/>
  <c r="BA30" i="9"/>
  <c r="AJ30" i="9"/>
  <c r="Q30" i="9"/>
  <c r="I30" i="9"/>
  <c r="F79" i="9"/>
  <c r="X79" i="9"/>
  <c r="BE79" i="9"/>
  <c r="AT79" i="9"/>
  <c r="AQ79" i="9"/>
  <c r="V79" i="9"/>
  <c r="AW79" i="9"/>
  <c r="K79" i="9"/>
  <c r="AG79" i="9"/>
  <c r="AV79" i="9"/>
  <c r="R79" i="9"/>
  <c r="AM79" i="9"/>
  <c r="AL79" i="9"/>
  <c r="BB79" i="9"/>
  <c r="BF79" i="9"/>
  <c r="AK79" i="9"/>
  <c r="AT20" i="9"/>
  <c r="AX68" i="9"/>
  <c r="AP30" i="9"/>
  <c r="AA30" i="9"/>
  <c r="AN68" i="9"/>
  <c r="Y20" i="9"/>
  <c r="W68" i="9"/>
  <c r="F31" i="9"/>
  <c r="AR31" i="9"/>
  <c r="AK31" i="9"/>
  <c r="AB31" i="9"/>
  <c r="AL31" i="9"/>
  <c r="S31" i="9"/>
  <c r="BF31" i="9"/>
  <c r="AH31" i="9"/>
  <c r="AM31" i="9"/>
  <c r="BC31" i="9"/>
  <c r="AD31" i="9"/>
  <c r="AA31" i="9"/>
  <c r="I31" i="9"/>
  <c r="F80" i="9"/>
  <c r="R80" i="9"/>
  <c r="L80" i="9"/>
  <c r="AK80" i="9"/>
  <c r="AO80" i="9"/>
  <c r="BA80" i="9"/>
  <c r="U80" i="9"/>
  <c r="O80" i="9"/>
  <c r="AJ80" i="9"/>
  <c r="AF80" i="9"/>
  <c r="P80" i="9"/>
  <c r="AG80" i="9"/>
  <c r="X80" i="9"/>
  <c r="I80" i="9"/>
  <c r="M80" i="9"/>
  <c r="Y31" i="9"/>
  <c r="M31" i="9"/>
  <c r="AZ79" i="9"/>
  <c r="AG20" i="9"/>
  <c r="AA68" i="9"/>
  <c r="AL68" i="9"/>
  <c r="N80" i="9"/>
  <c r="BB80" i="9"/>
  <c r="R30" i="9"/>
  <c r="AI30" i="9"/>
  <c r="AQ31" i="9"/>
  <c r="U31" i="9"/>
  <c r="BE68" i="9"/>
  <c r="I20" i="9"/>
  <c r="X20" i="9"/>
  <c r="Y68" i="9"/>
  <c r="K31" i="9"/>
  <c r="W20" i="9"/>
  <c r="AU31" i="9"/>
  <c r="F32" i="9"/>
  <c r="T32" i="9"/>
  <c r="AK32" i="9"/>
  <c r="AA32" i="9"/>
  <c r="BA32" i="9"/>
  <c r="AD32" i="9"/>
  <c r="AJ32" i="9"/>
  <c r="U32" i="9"/>
  <c r="AE32" i="9"/>
  <c r="BB32" i="9"/>
  <c r="AZ32" i="9"/>
  <c r="AS32" i="9"/>
  <c r="AH32" i="9"/>
  <c r="BD32" i="9"/>
  <c r="AM32" i="9"/>
  <c r="R32" i="9"/>
  <c r="F90" i="9"/>
  <c r="BF90" i="9"/>
  <c r="BD90" i="9"/>
  <c r="AE90" i="9"/>
  <c r="BB90" i="9"/>
  <c r="AG90" i="9"/>
  <c r="AL90" i="9"/>
  <c r="AC90" i="9"/>
  <c r="M90" i="9"/>
  <c r="AA90" i="9"/>
  <c r="U90" i="9"/>
  <c r="BE90" i="9"/>
  <c r="AZ90" i="9"/>
  <c r="O90" i="9"/>
  <c r="AY90" i="9"/>
  <c r="BC90" i="9"/>
  <c r="AC79" i="9"/>
  <c r="AS31" i="9"/>
  <c r="Y79" i="9"/>
  <c r="AF31" i="9"/>
  <c r="AN79" i="9"/>
  <c r="AK20" i="9"/>
  <c r="AB32" i="9"/>
  <c r="AO32" i="9"/>
  <c r="K68" i="9"/>
  <c r="AO68" i="9"/>
  <c r="Z80" i="9"/>
  <c r="BF80" i="9"/>
  <c r="R90" i="9"/>
  <c r="J90" i="9"/>
  <c r="AW90" i="9"/>
  <c r="S90" i="9"/>
  <c r="K30" i="9"/>
  <c r="V30" i="9"/>
  <c r="AE30" i="9"/>
  <c r="AJ79" i="9"/>
  <c r="W31" i="9"/>
  <c r="AS80" i="9"/>
  <c r="R20" i="9"/>
  <c r="V20" i="9"/>
  <c r="AM68" i="9"/>
  <c r="P32" i="9"/>
  <c r="AR79" i="9"/>
  <c r="AX31" i="9"/>
  <c r="F33" i="9"/>
  <c r="L33" i="9"/>
  <c r="AX33" i="9"/>
  <c r="T33" i="9"/>
  <c r="AL33" i="9"/>
  <c r="AV33" i="9"/>
  <c r="AU33" i="9"/>
  <c r="AO33" i="9"/>
  <c r="Z33" i="9"/>
  <c r="AN33" i="9"/>
  <c r="AP33" i="9"/>
  <c r="AF33" i="9"/>
  <c r="AJ33" i="9"/>
  <c r="F91" i="9"/>
  <c r="AS91" i="9"/>
  <c r="AP91" i="9"/>
  <c r="BE91" i="9"/>
  <c r="AG91" i="9"/>
  <c r="J91" i="9"/>
  <c r="AY91" i="9"/>
  <c r="AO91" i="9"/>
  <c r="S91" i="9"/>
  <c r="Q91" i="9"/>
  <c r="BC91" i="9"/>
  <c r="AR91" i="9"/>
  <c r="AD91" i="9"/>
  <c r="AC91" i="9"/>
  <c r="Y91" i="9"/>
  <c r="BD31" i="9"/>
  <c r="BD79" i="9"/>
  <c r="AE80" i="9"/>
  <c r="AL20" i="9"/>
  <c r="N32" i="9"/>
  <c r="AU32" i="9"/>
  <c r="N68" i="9"/>
  <c r="AW68" i="9"/>
  <c r="BE80" i="9"/>
  <c r="BD33" i="9"/>
  <c r="Q90" i="9"/>
  <c r="Y90" i="9"/>
  <c r="AM90" i="9"/>
  <c r="T30" i="9"/>
  <c r="AC30" i="9"/>
  <c r="AH30" i="9"/>
  <c r="U79" i="9"/>
  <c r="AU91" i="9"/>
  <c r="AD79" i="9"/>
  <c r="R91" i="9"/>
  <c r="K33" i="9"/>
  <c r="S32" i="9"/>
  <c r="AM80" i="9"/>
  <c r="Y80" i="9"/>
  <c r="AQ68" i="9"/>
  <c r="AO31" i="9"/>
  <c r="F42" i="9"/>
  <c r="BF42" i="9"/>
  <c r="AT42" i="9"/>
  <c r="AI42" i="9"/>
  <c r="BD42" i="9"/>
  <c r="AA42" i="9"/>
  <c r="BC42" i="9"/>
  <c r="AY42" i="9"/>
  <c r="I42" i="9"/>
  <c r="AZ42" i="9"/>
  <c r="O42" i="9"/>
  <c r="AC42" i="9"/>
  <c r="BE42" i="9"/>
  <c r="AG42" i="9"/>
  <c r="U42" i="9"/>
  <c r="S42" i="9"/>
  <c r="M79" i="9"/>
  <c r="AI31" i="9"/>
  <c r="BC79" i="9"/>
  <c r="BD20" i="9"/>
  <c r="AO20" i="9"/>
  <c r="Z32" i="9"/>
  <c r="BE32" i="9"/>
  <c r="Z68" i="9"/>
  <c r="BD68" i="9"/>
  <c r="Q80" i="9"/>
  <c r="BF33" i="9"/>
  <c r="AI90" i="9"/>
  <c r="AK90" i="9"/>
  <c r="AV90" i="9"/>
  <c r="AG30" i="9"/>
  <c r="AF30" i="9"/>
  <c r="AY30" i="9"/>
  <c r="T42" i="9"/>
  <c r="AK42" i="9"/>
  <c r="V91" i="9"/>
  <c r="AC20" i="9"/>
  <c r="AI33" i="9"/>
  <c r="S20" i="9"/>
  <c r="AN32" i="9"/>
  <c r="AB80" i="9"/>
  <c r="S33" i="9"/>
  <c r="U68" i="9"/>
  <c r="L20" i="9"/>
  <c r="K32" i="9"/>
  <c r="AL91" i="9"/>
  <c r="M91" i="9"/>
  <c r="BB31" i="9"/>
  <c r="BA79" i="9"/>
  <c r="AN80" i="9"/>
  <c r="P20" i="9"/>
  <c r="BA20" i="9"/>
  <c r="AF32" i="9"/>
  <c r="BF32" i="9"/>
  <c r="AE68" i="9"/>
  <c r="BC68" i="9"/>
  <c r="AD80" i="9"/>
  <c r="U33" i="9"/>
  <c r="BA33" i="9"/>
  <c r="AD20" i="9"/>
  <c r="AT30" i="9"/>
  <c r="AU90" i="9"/>
  <c r="I90" i="9"/>
  <c r="BA90" i="9"/>
  <c r="AR30" i="9"/>
  <c r="AS30" i="9"/>
  <c r="AZ30" i="9"/>
  <c r="J42" i="9"/>
  <c r="AJ42" i="9"/>
  <c r="AX90" i="9"/>
  <c r="R31" i="9"/>
  <c r="T79" i="9"/>
  <c r="AA91" i="9"/>
  <c r="AT33" i="9"/>
  <c r="AF20" i="9"/>
  <c r="X32" i="9"/>
  <c r="AH80" i="9"/>
  <c r="AC68" i="9"/>
  <c r="AD33" i="9"/>
  <c r="J68" i="9"/>
  <c r="AB79" i="9"/>
  <c r="P31" i="9"/>
  <c r="AN31" i="9"/>
  <c r="AF91" i="9"/>
  <c r="AZ20" i="9"/>
  <c r="AX20" i="9"/>
  <c r="Q32" i="9"/>
  <c r="AP68" i="9"/>
  <c r="BB68" i="9"/>
  <c r="AU80" i="9"/>
  <c r="Y33" i="9"/>
  <c r="AW33" i="9"/>
  <c r="AO42" i="9"/>
  <c r="R42" i="9"/>
  <c r="Z90" i="9"/>
  <c r="L90" i="9"/>
  <c r="BE30" i="9"/>
  <c r="BC30" i="9"/>
  <c r="BD30" i="9"/>
  <c r="AQ42" i="9"/>
  <c r="AM42" i="9"/>
  <c r="Q79" i="9"/>
  <c r="AH91" i="9"/>
  <c r="W91" i="9"/>
  <c r="AA79" i="9"/>
  <c r="AJ91" i="9"/>
  <c r="BB33" i="9"/>
  <c r="AQ20" i="9"/>
  <c r="AR32" i="9"/>
  <c r="AC80" i="9"/>
  <c r="AI68" i="9"/>
  <c r="AG31" i="9"/>
  <c r="AC33" i="9"/>
  <c r="O68" i="9"/>
  <c r="F43" i="9"/>
  <c r="L43" i="9"/>
  <c r="BC43" i="9"/>
  <c r="AI43" i="9"/>
  <c r="AU43" i="9"/>
  <c r="Y43" i="9"/>
  <c r="AV43" i="9"/>
  <c r="O43" i="9"/>
  <c r="AO43" i="9"/>
  <c r="AB43" i="9"/>
  <c r="AZ43" i="9"/>
  <c r="AJ43" i="9"/>
  <c r="V43" i="9"/>
  <c r="N43" i="9"/>
  <c r="AJ45" i="9"/>
  <c r="AP45" i="9"/>
  <c r="AR6" i="9"/>
  <c r="BB6" i="9"/>
  <c r="AH6" i="9"/>
  <c r="P45" i="9"/>
  <c r="E101" i="9"/>
  <c r="F4" i="9"/>
  <c r="M39" i="5"/>
  <c r="M26" i="5"/>
  <c r="M89" i="5"/>
  <c r="M75" i="5"/>
  <c r="M62" i="5"/>
  <c r="M27" i="5"/>
  <c r="M41" i="5"/>
  <c r="M53" i="5"/>
  <c r="M66" i="5"/>
  <c r="M76" i="5"/>
  <c r="M19" i="5"/>
  <c r="M31" i="5"/>
  <c r="M74" i="5"/>
  <c r="M86" i="5"/>
  <c r="M88" i="5"/>
  <c r="M78" i="5"/>
  <c r="M51" i="5"/>
  <c r="M98" i="5"/>
  <c r="M100" i="5"/>
  <c r="M90" i="5"/>
  <c r="M28" i="5"/>
  <c r="M29" i="5"/>
  <c r="M102" i="5"/>
  <c r="M101" i="5"/>
  <c r="M14" i="5"/>
  <c r="M16" i="5"/>
  <c r="M18" i="5"/>
  <c r="M91" i="5"/>
  <c r="M65" i="5"/>
  <c r="M99" i="5"/>
  <c r="M38" i="5"/>
  <c r="M40" i="5"/>
  <c r="M42" i="5"/>
  <c r="M44" i="5"/>
  <c r="M80" i="5"/>
  <c r="M92" i="5"/>
  <c r="M45" i="5"/>
  <c r="M81" i="5"/>
  <c r="M83" i="5"/>
  <c r="M24" i="5"/>
  <c r="M60" i="5"/>
  <c r="M96" i="5"/>
  <c r="M37" i="5"/>
  <c r="M20" i="5"/>
  <c r="M56" i="5"/>
  <c r="M104" i="5"/>
  <c r="M33" i="5"/>
  <c r="M57" i="5"/>
  <c r="M105" i="5"/>
  <c r="M82" i="5"/>
  <c r="M25" i="5"/>
  <c r="M32" i="5"/>
  <c r="M68" i="5"/>
  <c r="M21" i="5"/>
  <c r="M69" i="5"/>
  <c r="M106" i="5"/>
  <c r="M47" i="5"/>
  <c r="M36" i="5"/>
  <c r="M48" i="5"/>
  <c r="M72" i="5"/>
  <c r="M108" i="5"/>
  <c r="M61" i="5"/>
  <c r="M93" i="5"/>
  <c r="M22" i="5"/>
  <c r="M34" i="5"/>
  <c r="M46" i="5"/>
  <c r="M58" i="5"/>
  <c r="M70" i="5"/>
  <c r="M94" i="5"/>
  <c r="M23" i="5"/>
  <c r="M35" i="5"/>
  <c r="M59" i="5"/>
  <c r="M71" i="5"/>
  <c r="M95" i="5"/>
  <c r="M107" i="5"/>
  <c r="M84" i="5"/>
  <c r="M13" i="5"/>
  <c r="M49" i="5"/>
  <c r="M73" i="5"/>
  <c r="M85" i="5"/>
  <c r="M97" i="5"/>
  <c r="M64" i="5"/>
  <c r="M63" i="5"/>
  <c r="M43" i="5"/>
  <c r="M30" i="5"/>
  <c r="M87" i="5"/>
  <c r="M77" i="5"/>
  <c r="M55" i="5"/>
  <c r="M79" i="5"/>
  <c r="M67" i="5"/>
  <c r="M50" i="5"/>
  <c r="M52" i="5"/>
  <c r="M54" i="5"/>
  <c r="M17" i="5"/>
  <c r="R14" i="5"/>
  <c r="R26" i="5"/>
  <c r="R62" i="5"/>
  <c r="R74" i="5"/>
  <c r="R16" i="5"/>
  <c r="R28" i="5"/>
  <c r="R40" i="5"/>
  <c r="R52" i="5"/>
  <c r="R89" i="5"/>
  <c r="R101" i="5"/>
  <c r="R18" i="5"/>
  <c r="R30" i="5"/>
  <c r="R25" i="5"/>
  <c r="R86" i="5"/>
  <c r="R64" i="5"/>
  <c r="R42" i="5"/>
  <c r="R37" i="5"/>
  <c r="R98" i="5"/>
  <c r="R76" i="5"/>
  <c r="R54" i="5"/>
  <c r="R49" i="5"/>
  <c r="R88" i="5"/>
  <c r="R66" i="5"/>
  <c r="R73" i="5"/>
  <c r="R39" i="5"/>
  <c r="R17" i="5"/>
  <c r="R85" i="5"/>
  <c r="R51" i="5"/>
  <c r="R29" i="5"/>
  <c r="R97" i="5"/>
  <c r="R63" i="5"/>
  <c r="R65" i="5"/>
  <c r="R12" i="5"/>
  <c r="R75" i="5"/>
  <c r="R77" i="5"/>
  <c r="R61" i="5"/>
  <c r="R27" i="5"/>
  <c r="R100" i="5"/>
  <c r="R78" i="5"/>
  <c r="R38" i="5"/>
  <c r="R87" i="5"/>
  <c r="R41" i="5"/>
  <c r="R31" i="5"/>
  <c r="R79" i="5"/>
  <c r="R20" i="5"/>
  <c r="R68" i="5"/>
  <c r="R92" i="5"/>
  <c r="R33" i="5"/>
  <c r="R22" i="5"/>
  <c r="R46" i="5"/>
  <c r="R82" i="5"/>
  <c r="R35" i="5"/>
  <c r="R83" i="5"/>
  <c r="R36" i="5"/>
  <c r="R48" i="5"/>
  <c r="R72" i="5"/>
  <c r="R84" i="5"/>
  <c r="R108" i="5"/>
  <c r="R19" i="5"/>
  <c r="R43" i="5"/>
  <c r="R55" i="5"/>
  <c r="R67" i="5"/>
  <c r="R91" i="5"/>
  <c r="R103" i="5"/>
  <c r="R32" i="5"/>
  <c r="R44" i="5"/>
  <c r="R56" i="5"/>
  <c r="R80" i="5"/>
  <c r="R104" i="5"/>
  <c r="R21" i="5"/>
  <c r="R45" i="5"/>
  <c r="R57" i="5"/>
  <c r="R69" i="5"/>
  <c r="R81" i="5"/>
  <c r="R93" i="5"/>
  <c r="R105" i="5"/>
  <c r="R34" i="5"/>
  <c r="R58" i="5"/>
  <c r="R70" i="5"/>
  <c r="R94" i="5"/>
  <c r="R106" i="5"/>
  <c r="R23" i="5"/>
  <c r="R47" i="5"/>
  <c r="R59" i="5"/>
  <c r="R71" i="5"/>
  <c r="R95" i="5"/>
  <c r="R107" i="5"/>
  <c r="R24" i="5"/>
  <c r="R60" i="5"/>
  <c r="R96" i="5"/>
  <c r="R13" i="5"/>
  <c r="R50" i="5"/>
  <c r="R99" i="5"/>
  <c r="R53" i="5"/>
  <c r="R102" i="5"/>
  <c r="BE59" i="9"/>
  <c r="AY59" i="9"/>
  <c r="AZ59" i="9"/>
  <c r="BB59" i="9"/>
  <c r="AR59" i="9"/>
  <c r="BF59" i="9"/>
  <c r="BC59" i="9"/>
  <c r="AO59" i="9"/>
  <c r="AM59" i="9"/>
  <c r="AN59" i="9"/>
  <c r="AK59" i="9"/>
  <c r="T59" i="9"/>
  <c r="AL59" i="9"/>
  <c r="AD59" i="9"/>
  <c r="Q59" i="9"/>
  <c r="AT59" i="9"/>
  <c r="AQ59" i="9"/>
  <c r="AG59" i="9"/>
  <c r="R59" i="9"/>
  <c r="BD59" i="9"/>
  <c r="AV59" i="9"/>
  <c r="AP59" i="9"/>
  <c r="X59" i="9"/>
  <c r="O59" i="9"/>
  <c r="AX59" i="9"/>
  <c r="J59" i="9"/>
  <c r="AC59" i="9"/>
  <c r="AS59" i="9"/>
  <c r="AH59" i="9"/>
  <c r="Y59" i="9"/>
  <c r="U59" i="9"/>
  <c r="K59" i="9"/>
  <c r="BA59" i="9"/>
  <c r="P59" i="9"/>
  <c r="L59" i="9"/>
  <c r="AU59" i="9"/>
  <c r="AF59" i="9"/>
  <c r="V59" i="9"/>
  <c r="AW59" i="9"/>
  <c r="Z59" i="9"/>
  <c r="AA59" i="9"/>
  <c r="I59" i="9"/>
  <c r="W59" i="9"/>
  <c r="N59" i="9"/>
  <c r="M59" i="9"/>
  <c r="S59" i="9"/>
  <c r="AE59" i="9"/>
  <c r="AB59" i="9"/>
  <c r="AJ59" i="9"/>
  <c r="AI59" i="9"/>
  <c r="BF84" i="9"/>
  <c r="AU84" i="9"/>
  <c r="AS84" i="9"/>
  <c r="AP84" i="9"/>
  <c r="AZ84" i="9"/>
  <c r="AN84" i="9"/>
  <c r="BC84" i="9"/>
  <c r="AW84" i="9"/>
  <c r="AO84" i="9"/>
  <c r="AM84" i="9"/>
  <c r="AK84" i="9"/>
  <c r="U84" i="9"/>
  <c r="I84" i="9"/>
  <c r="R84" i="9"/>
  <c r="BD84" i="9"/>
  <c r="AY84" i="9"/>
  <c r="BE84" i="9"/>
  <c r="AT84" i="9"/>
  <c r="AQ84" i="9"/>
  <c r="S84" i="9"/>
  <c r="AV84" i="9"/>
  <c r="BB84" i="9"/>
  <c r="AI84" i="9"/>
  <c r="Z84" i="9"/>
  <c r="AG84" i="9"/>
  <c r="M84" i="9"/>
  <c r="AA84" i="9"/>
  <c r="AE84" i="9"/>
  <c r="W84" i="9"/>
  <c r="AB84" i="9"/>
  <c r="AH84" i="9"/>
  <c r="N84" i="9"/>
  <c r="AR84" i="9"/>
  <c r="X84" i="9"/>
  <c r="Q84" i="9"/>
  <c r="BA84" i="9"/>
  <c r="AJ84" i="9"/>
  <c r="P84" i="9"/>
  <c r="AX84" i="9"/>
  <c r="L84" i="9"/>
  <c r="Y84" i="9"/>
  <c r="V84" i="9"/>
  <c r="K84" i="9"/>
  <c r="AF84" i="9"/>
  <c r="AC84" i="9"/>
  <c r="O84" i="9"/>
  <c r="J84" i="9"/>
  <c r="T84" i="9"/>
  <c r="AD84" i="9"/>
  <c r="AL84" i="9"/>
  <c r="F29" i="5"/>
  <c r="F41" i="5"/>
  <c r="F53" i="5"/>
  <c r="F65" i="5"/>
  <c r="F77" i="5"/>
  <c r="F89" i="5"/>
  <c r="F101" i="5"/>
  <c r="F21" i="5"/>
  <c r="F33" i="5"/>
  <c r="F45" i="5"/>
  <c r="F57" i="5"/>
  <c r="F69" i="5"/>
  <c r="F81" i="5"/>
  <c r="F93" i="5"/>
  <c r="F105" i="5"/>
  <c r="F28" i="5"/>
  <c r="F43" i="5"/>
  <c r="F58" i="5"/>
  <c r="F72" i="5"/>
  <c r="F100" i="5"/>
  <c r="F18" i="5"/>
  <c r="F47" i="5"/>
  <c r="F61" i="5"/>
  <c r="F75" i="5"/>
  <c r="F90" i="5"/>
  <c r="F104" i="5"/>
  <c r="F16" i="5"/>
  <c r="F35" i="5"/>
  <c r="F51" i="5"/>
  <c r="F85" i="5"/>
  <c r="F103" i="5"/>
  <c r="F22" i="5"/>
  <c r="F55" i="5"/>
  <c r="F73" i="5"/>
  <c r="F91" i="5"/>
  <c r="F108" i="5"/>
  <c r="F34" i="5"/>
  <c r="F54" i="5"/>
  <c r="F76" i="5"/>
  <c r="F96" i="5"/>
  <c r="F19" i="5"/>
  <c r="F39" i="5"/>
  <c r="F60" i="5"/>
  <c r="F99" i="5"/>
  <c r="F25" i="5"/>
  <c r="F49" i="5"/>
  <c r="F98" i="5"/>
  <c r="F30" i="5"/>
  <c r="F82" i="5"/>
  <c r="F107" i="5"/>
  <c r="F36" i="5"/>
  <c r="F64" i="5"/>
  <c r="F94" i="5"/>
  <c r="F42" i="5"/>
  <c r="F70" i="5"/>
  <c r="F102" i="5"/>
  <c r="F24" i="5"/>
  <c r="F95" i="5"/>
  <c r="F63" i="5"/>
  <c r="F97" i="5"/>
  <c r="F31" i="5"/>
  <c r="F67" i="5"/>
  <c r="F12" i="5"/>
  <c r="F37" i="5"/>
  <c r="F71" i="5"/>
  <c r="F59" i="5"/>
  <c r="F13" i="5"/>
  <c r="F66" i="5"/>
  <c r="F78" i="5"/>
  <c r="F20" i="5"/>
  <c r="F79" i="5"/>
  <c r="F23" i="5"/>
  <c r="F83" i="5"/>
  <c r="F27" i="5"/>
  <c r="F84" i="5"/>
  <c r="F40" i="5"/>
  <c r="F87" i="5"/>
  <c r="F44" i="5"/>
  <c r="F88" i="5"/>
  <c r="F46" i="5"/>
  <c r="F48" i="5"/>
  <c r="F106" i="5"/>
  <c r="F52" i="5"/>
  <c r="F92" i="5"/>
  <c r="BE71" i="9"/>
  <c r="AY71" i="9"/>
  <c r="BF71" i="9"/>
  <c r="BC71" i="9"/>
  <c r="AZ71" i="9"/>
  <c r="AU71" i="9"/>
  <c r="AR71" i="9"/>
  <c r="BA71" i="9"/>
  <c r="AO71" i="9"/>
  <c r="AT71" i="9"/>
  <c r="AL71" i="9"/>
  <c r="T71" i="9"/>
  <c r="BD71" i="9"/>
  <c r="AM71" i="9"/>
  <c r="AG71" i="9"/>
  <c r="AD71" i="9"/>
  <c r="Q71" i="9"/>
  <c r="AC71" i="9"/>
  <c r="N71" i="9"/>
  <c r="J71" i="9"/>
  <c r="BB71" i="9"/>
  <c r="AS71" i="9"/>
  <c r="AP71" i="9"/>
  <c r="AK71" i="9"/>
  <c r="O71" i="9"/>
  <c r="K71" i="9"/>
  <c r="AJ71" i="9"/>
  <c r="AH71" i="9"/>
  <c r="AW71" i="9"/>
  <c r="Y71" i="9"/>
  <c r="U71" i="9"/>
  <c r="P71" i="9"/>
  <c r="AF71" i="9"/>
  <c r="L71" i="9"/>
  <c r="V71" i="9"/>
  <c r="I71" i="9"/>
  <c r="Z71" i="9"/>
  <c r="AX71" i="9"/>
  <c r="AA71" i="9"/>
  <c r="R71" i="9"/>
  <c r="M71" i="9"/>
  <c r="AI71" i="9"/>
  <c r="AE71" i="9"/>
  <c r="W71" i="9"/>
  <c r="AV71" i="9"/>
  <c r="AN71" i="9"/>
  <c r="AB71" i="9"/>
  <c r="AQ71" i="9"/>
  <c r="X71" i="9"/>
  <c r="S71" i="9"/>
  <c r="BF96" i="9"/>
  <c r="BE96" i="9"/>
  <c r="AS96" i="9"/>
  <c r="AP96" i="9"/>
  <c r="AZ96" i="9"/>
  <c r="AW96" i="9"/>
  <c r="AG96" i="9"/>
  <c r="AF96" i="9"/>
  <c r="U96" i="9"/>
  <c r="I96" i="9"/>
  <c r="AQ96" i="9"/>
  <c r="AH96" i="9"/>
  <c r="R96" i="9"/>
  <c r="BC96" i="9"/>
  <c r="AD96" i="9"/>
  <c r="O96" i="9"/>
  <c r="K96" i="9"/>
  <c r="AX96" i="9"/>
  <c r="AU96" i="9"/>
  <c r="P96" i="9"/>
  <c r="L96" i="9"/>
  <c r="BD96" i="9"/>
  <c r="AR96" i="9"/>
  <c r="AB96" i="9"/>
  <c r="W96" i="9"/>
  <c r="BA96" i="9"/>
  <c r="S96" i="9"/>
  <c r="AL96" i="9"/>
  <c r="AK96" i="9"/>
  <c r="N96" i="9"/>
  <c r="AY96" i="9"/>
  <c r="AT96" i="9"/>
  <c r="AJ96" i="9"/>
  <c r="X96" i="9"/>
  <c r="J96" i="9"/>
  <c r="AM96" i="9"/>
  <c r="T96" i="9"/>
  <c r="BB96" i="9"/>
  <c r="AV96" i="9"/>
  <c r="AC96" i="9"/>
  <c r="Y96" i="9"/>
  <c r="AN96" i="9"/>
  <c r="AI96" i="9"/>
  <c r="V96" i="9"/>
  <c r="AO96" i="9"/>
  <c r="AE96" i="9"/>
  <c r="AA96" i="9"/>
  <c r="Q96" i="9"/>
  <c r="M96" i="9"/>
  <c r="Z96" i="9"/>
  <c r="F14" i="5"/>
  <c r="BE83" i="9"/>
  <c r="BB83" i="9"/>
  <c r="AY83" i="9"/>
  <c r="BC83" i="9"/>
  <c r="BA83" i="9"/>
  <c r="AR83" i="9"/>
  <c r="AO83" i="9"/>
  <c r="AU83" i="9"/>
  <c r="AV83" i="9"/>
  <c r="AF83" i="9"/>
  <c r="T83" i="9"/>
  <c r="AS83" i="9"/>
  <c r="AD83" i="9"/>
  <c r="Q83" i="9"/>
  <c r="AJ83" i="9"/>
  <c r="AH83" i="9"/>
  <c r="Z83" i="9"/>
  <c r="V83" i="9"/>
  <c r="AA83" i="9"/>
  <c r="W83" i="9"/>
  <c r="AW83" i="9"/>
  <c r="AM83" i="9"/>
  <c r="AG83" i="9"/>
  <c r="M83" i="9"/>
  <c r="AQ83" i="9"/>
  <c r="AN83" i="9"/>
  <c r="R83" i="9"/>
  <c r="AE83" i="9"/>
  <c r="AB83" i="9"/>
  <c r="BD83" i="9"/>
  <c r="S83" i="9"/>
  <c r="N83" i="9"/>
  <c r="I83" i="9"/>
  <c r="X83" i="9"/>
  <c r="BF83" i="9"/>
  <c r="O83" i="9"/>
  <c r="J83" i="9"/>
  <c r="AC83" i="9"/>
  <c r="P83" i="9"/>
  <c r="AT83" i="9"/>
  <c r="AI83" i="9"/>
  <c r="AZ83" i="9"/>
  <c r="Y83" i="9"/>
  <c r="U83" i="9"/>
  <c r="K83" i="9"/>
  <c r="AX83" i="9"/>
  <c r="L83" i="9"/>
  <c r="AL83" i="9"/>
  <c r="AP83" i="9"/>
  <c r="AK83" i="9"/>
  <c r="AZ14" i="9"/>
  <c r="BE14" i="9"/>
  <c r="BA14" i="9"/>
  <c r="BF14" i="9"/>
  <c r="BB14" i="9"/>
  <c r="AY14" i="9"/>
  <c r="AR14" i="9"/>
  <c r="AJ14" i="9"/>
  <c r="AM14" i="9"/>
  <c r="W14" i="9"/>
  <c r="K14" i="9"/>
  <c r="AS14" i="9"/>
  <c r="T14" i="9"/>
  <c r="BD14" i="9"/>
  <c r="Y14" i="9"/>
  <c r="J14" i="9"/>
  <c r="AL14" i="9"/>
  <c r="AK14" i="9"/>
  <c r="AE14" i="9"/>
  <c r="Z14" i="9"/>
  <c r="AF14" i="9"/>
  <c r="AA14" i="9"/>
  <c r="AV14" i="9"/>
  <c r="AP14" i="9"/>
  <c r="M14" i="9"/>
  <c r="S14" i="9"/>
  <c r="N14" i="9"/>
  <c r="I14" i="9"/>
  <c r="AT14" i="9"/>
  <c r="AH14" i="9"/>
  <c r="AB14" i="9"/>
  <c r="X14" i="9"/>
  <c r="O14" i="9"/>
  <c r="AW14" i="9"/>
  <c r="AC14" i="9"/>
  <c r="U14" i="9"/>
  <c r="AQ14" i="9"/>
  <c r="AN14" i="9"/>
  <c r="AD14" i="9"/>
  <c r="BC14" i="9"/>
  <c r="R14" i="9"/>
  <c r="L14" i="9"/>
  <c r="AX14" i="9"/>
  <c r="AU14" i="9"/>
  <c r="AO14" i="9"/>
  <c r="V14" i="9"/>
  <c r="Q14" i="9"/>
  <c r="AG14" i="9"/>
  <c r="AI14" i="9"/>
  <c r="P14" i="9"/>
  <c r="F86" i="5"/>
  <c r="F26" i="5"/>
  <c r="BA99" i="9"/>
  <c r="AX99" i="9"/>
  <c r="AU99" i="9"/>
  <c r="BF99" i="9"/>
  <c r="BC99" i="9"/>
  <c r="AS99" i="9"/>
  <c r="BD99" i="9"/>
  <c r="BE99" i="9"/>
  <c r="AP99" i="9"/>
  <c r="X99" i="9"/>
  <c r="L99" i="9"/>
  <c r="AY99" i="9"/>
  <c r="AN99" i="9"/>
  <c r="AG99" i="9"/>
  <c r="AF99" i="9"/>
  <c r="U99" i="9"/>
  <c r="I99" i="9"/>
  <c r="AH99" i="9"/>
  <c r="AC99" i="9"/>
  <c r="R99" i="9"/>
  <c r="N99" i="9"/>
  <c r="AW99" i="9"/>
  <c r="AZ99" i="9"/>
  <c r="AR99" i="9"/>
  <c r="AO99" i="9"/>
  <c r="AD99" i="9"/>
  <c r="S99" i="9"/>
  <c r="O99" i="9"/>
  <c r="Q99" i="9"/>
  <c r="M99" i="9"/>
  <c r="AA99" i="9"/>
  <c r="W99" i="9"/>
  <c r="AE99" i="9"/>
  <c r="AB99" i="9"/>
  <c r="AK99" i="9"/>
  <c r="AT99" i="9"/>
  <c r="AL99" i="9"/>
  <c r="AJ99" i="9"/>
  <c r="J99" i="9"/>
  <c r="BB99" i="9"/>
  <c r="T99" i="9"/>
  <c r="AV99" i="9"/>
  <c r="AM99" i="9"/>
  <c r="K99" i="9"/>
  <c r="V99" i="9"/>
  <c r="AQ99" i="9"/>
  <c r="AI99" i="9"/>
  <c r="P99" i="9"/>
  <c r="Z99" i="9"/>
  <c r="Y99" i="9"/>
  <c r="AZ86" i="9"/>
  <c r="BE86" i="9"/>
  <c r="BA86" i="9"/>
  <c r="BF86" i="9"/>
  <c r="BB86" i="9"/>
  <c r="AX86" i="9"/>
  <c r="AW86" i="9"/>
  <c r="AR86" i="9"/>
  <c r="AV86" i="9"/>
  <c r="BC86" i="9"/>
  <c r="AL86" i="9"/>
  <c r="W86" i="9"/>
  <c r="K86" i="9"/>
  <c r="AP86" i="9"/>
  <c r="AF86" i="9"/>
  <c r="T86" i="9"/>
  <c r="AK86" i="9"/>
  <c r="Y86" i="9"/>
  <c r="J86" i="9"/>
  <c r="BD86" i="9"/>
  <c r="AH86" i="9"/>
  <c r="Z86" i="9"/>
  <c r="AT86" i="9"/>
  <c r="AQ86" i="9"/>
  <c r="AN86" i="9"/>
  <c r="AY86" i="9"/>
  <c r="AD86" i="9"/>
  <c r="V86" i="9"/>
  <c r="AM86" i="9"/>
  <c r="Q86" i="9"/>
  <c r="L86" i="9"/>
  <c r="AI86" i="9"/>
  <c r="AG86" i="9"/>
  <c r="R86" i="9"/>
  <c r="M86" i="9"/>
  <c r="AU86" i="9"/>
  <c r="AA86" i="9"/>
  <c r="AE86" i="9"/>
  <c r="S86" i="9"/>
  <c r="AB86" i="9"/>
  <c r="N86" i="9"/>
  <c r="I86" i="9"/>
  <c r="AS86" i="9"/>
  <c r="AO86" i="9"/>
  <c r="AJ86" i="9"/>
  <c r="X86" i="9"/>
  <c r="P86" i="9"/>
  <c r="U86" i="9"/>
  <c r="AC86" i="9"/>
  <c r="O86" i="9"/>
  <c r="AZ74" i="9"/>
  <c r="BE74" i="9"/>
  <c r="BC74" i="9"/>
  <c r="AU74" i="9"/>
  <c r="AR74" i="9"/>
  <c r="BD74" i="9"/>
  <c r="AL74" i="9"/>
  <c r="AI74" i="9"/>
  <c r="W74" i="9"/>
  <c r="K74" i="9"/>
  <c r="T74" i="9"/>
  <c r="Q74" i="9"/>
  <c r="M74" i="9"/>
  <c r="AW74" i="9"/>
  <c r="BB74" i="9"/>
  <c r="AX74" i="9"/>
  <c r="AC74" i="9"/>
  <c r="R74" i="9"/>
  <c r="N74" i="9"/>
  <c r="BF74" i="9"/>
  <c r="AK74" i="9"/>
  <c r="AH74" i="9"/>
  <c r="O74" i="9"/>
  <c r="AS74" i="9"/>
  <c r="U74" i="9"/>
  <c r="AO74" i="9"/>
  <c r="Y74" i="9"/>
  <c r="AJ74" i="9"/>
  <c r="AF74" i="9"/>
  <c r="V74" i="9"/>
  <c r="P74" i="9"/>
  <c r="AD74" i="9"/>
  <c r="L74" i="9"/>
  <c r="AP74" i="9"/>
  <c r="Z74" i="9"/>
  <c r="AT74" i="9"/>
  <c r="AM74" i="9"/>
  <c r="AG74" i="9"/>
  <c r="BA74" i="9"/>
  <c r="AY74" i="9"/>
  <c r="AQ74" i="9"/>
  <c r="AB74" i="9"/>
  <c r="AV74" i="9"/>
  <c r="I74" i="9"/>
  <c r="J74" i="9"/>
  <c r="AN74" i="9"/>
  <c r="AA74" i="9"/>
  <c r="AE74" i="9"/>
  <c r="X74" i="9"/>
  <c r="S74" i="9"/>
  <c r="BA13" i="9"/>
  <c r="AT13" i="9"/>
  <c r="AQ13" i="9"/>
  <c r="AW13" i="9"/>
  <c r="AP13" i="9"/>
  <c r="AF13" i="9"/>
  <c r="V13" i="9"/>
  <c r="J13" i="9"/>
  <c r="BD13" i="9"/>
  <c r="AN13" i="9"/>
  <c r="AG13" i="9"/>
  <c r="S13" i="9"/>
  <c r="AH13" i="9"/>
  <c r="AC13" i="9"/>
  <c r="R13" i="9"/>
  <c r="N13" i="9"/>
  <c r="AX13" i="9"/>
  <c r="O13" i="9"/>
  <c r="K13" i="9"/>
  <c r="BE13" i="9"/>
  <c r="AJ13" i="9"/>
  <c r="AV13" i="9"/>
  <c r="M13" i="9"/>
  <c r="BF13" i="9"/>
  <c r="W13" i="9"/>
  <c r="I13" i="9"/>
  <c r="AM13" i="9"/>
  <c r="AB13" i="9"/>
  <c r="AE13" i="9"/>
  <c r="X13" i="9"/>
  <c r="AY13" i="9"/>
  <c r="T13" i="9"/>
  <c r="AZ13" i="9"/>
  <c r="U13" i="9"/>
  <c r="BC13" i="9"/>
  <c r="AR13" i="9"/>
  <c r="L13" i="9"/>
  <c r="AL13" i="9"/>
  <c r="Y13" i="9"/>
  <c r="AS13" i="9"/>
  <c r="AO13" i="9"/>
  <c r="AU13" i="9"/>
  <c r="BB13" i="9"/>
  <c r="AA13" i="9"/>
  <c r="AK13" i="9"/>
  <c r="Q13" i="9"/>
  <c r="AI13" i="9"/>
  <c r="P13" i="9"/>
  <c r="AD13" i="9"/>
  <c r="Z13" i="9"/>
  <c r="BD98" i="9"/>
  <c r="BB98" i="9"/>
  <c r="AZ98" i="9"/>
  <c r="AR98" i="9"/>
  <c r="AN98" i="9"/>
  <c r="AO98" i="9"/>
  <c r="AK98" i="9"/>
  <c r="BA98" i="9"/>
  <c r="AU98" i="9"/>
  <c r="W98" i="9"/>
  <c r="K98" i="9"/>
  <c r="T98" i="9"/>
  <c r="BF98" i="9"/>
  <c r="AW98" i="9"/>
  <c r="AV98" i="9"/>
  <c r="V98" i="9"/>
  <c r="BC98" i="9"/>
  <c r="AI98" i="9"/>
  <c r="AX98" i="9"/>
  <c r="AA98" i="9"/>
  <c r="R98" i="9"/>
  <c r="AS98" i="9"/>
  <c r="AH98" i="9"/>
  <c r="AE98" i="9"/>
  <c r="AB98" i="9"/>
  <c r="S98" i="9"/>
  <c r="I98" i="9"/>
  <c r="AQ98" i="9"/>
  <c r="AF98" i="9"/>
  <c r="AC98" i="9"/>
  <c r="AY98" i="9"/>
  <c r="AT98" i="9"/>
  <c r="AL98" i="9"/>
  <c r="AJ98" i="9"/>
  <c r="N98" i="9"/>
  <c r="J98" i="9"/>
  <c r="AP98" i="9"/>
  <c r="X98" i="9"/>
  <c r="O98" i="9"/>
  <c r="AM98" i="9"/>
  <c r="U98" i="9"/>
  <c r="AD98" i="9"/>
  <c r="L98" i="9"/>
  <c r="P98" i="9"/>
  <c r="Q98" i="9"/>
  <c r="M98" i="9"/>
  <c r="BE98" i="9"/>
  <c r="Z98" i="9"/>
  <c r="Y98" i="9"/>
  <c r="AG98" i="9"/>
  <c r="BF12" i="9"/>
  <c r="BD12" i="9"/>
  <c r="BB12" i="9"/>
  <c r="AY12" i="9"/>
  <c r="BC12" i="9"/>
  <c r="AW12" i="9"/>
  <c r="AS12" i="9"/>
  <c r="AP12" i="9"/>
  <c r="AX12" i="9"/>
  <c r="AN12" i="9"/>
  <c r="BA12" i="9"/>
  <c r="AO12" i="9"/>
  <c r="BE12" i="9"/>
  <c r="AE12" i="9"/>
  <c r="U12" i="9"/>
  <c r="I12" i="9"/>
  <c r="AZ12" i="9"/>
  <c r="R12" i="9"/>
  <c r="AJ12" i="9"/>
  <c r="AF12" i="9"/>
  <c r="S12" i="9"/>
  <c r="AU12" i="9"/>
  <c r="W12" i="9"/>
  <c r="AM12" i="9"/>
  <c r="AB12" i="9"/>
  <c r="N12" i="9"/>
  <c r="AT12" i="9"/>
  <c r="AH12" i="9"/>
  <c r="X12" i="9"/>
  <c r="AG12" i="9"/>
  <c r="T12" i="9"/>
  <c r="O12" i="9"/>
  <c r="J12" i="9"/>
  <c r="AC12" i="9"/>
  <c r="K12" i="9"/>
  <c r="AQ12" i="9"/>
  <c r="P12" i="9"/>
  <c r="AR12" i="9"/>
  <c r="L12" i="9"/>
  <c r="AL12" i="9"/>
  <c r="Y12" i="9"/>
  <c r="M12" i="9"/>
  <c r="AA12" i="9"/>
  <c r="AK12" i="9"/>
  <c r="Q12" i="9"/>
  <c r="V12" i="9"/>
  <c r="AV12" i="9"/>
  <c r="AI12" i="9"/>
  <c r="AD12" i="9"/>
  <c r="Z12" i="9"/>
  <c r="BF25" i="9"/>
  <c r="BB25" i="9"/>
  <c r="BC25" i="9"/>
  <c r="AZ25" i="9"/>
  <c r="BD25" i="9"/>
  <c r="AT25" i="9"/>
  <c r="AQ25" i="9"/>
  <c r="AR25" i="9"/>
  <c r="AU25" i="9"/>
  <c r="AS25" i="9"/>
  <c r="AN25" i="9"/>
  <c r="AE25" i="9"/>
  <c r="V25" i="9"/>
  <c r="J25" i="9"/>
  <c r="AX25" i="9"/>
  <c r="AK25" i="9"/>
  <c r="S25" i="9"/>
  <c r="AP25" i="9"/>
  <c r="AF25" i="9"/>
  <c r="Z25" i="9"/>
  <c r="AY25" i="9"/>
  <c r="AA25" i="9"/>
  <c r="W25" i="9"/>
  <c r="AG25" i="9"/>
  <c r="X25" i="9"/>
  <c r="O25" i="9"/>
  <c r="T25" i="9"/>
  <c r="BE25" i="9"/>
  <c r="K25" i="9"/>
  <c r="AJ25" i="9"/>
  <c r="AI25" i="9"/>
  <c r="AC25" i="9"/>
  <c r="U25" i="9"/>
  <c r="P25" i="9"/>
  <c r="AO25" i="9"/>
  <c r="AL25" i="9"/>
  <c r="Y25" i="9"/>
  <c r="L25" i="9"/>
  <c r="AV25" i="9"/>
  <c r="AD25" i="9"/>
  <c r="Q25" i="9"/>
  <c r="AM25" i="9"/>
  <c r="AH25" i="9"/>
  <c r="N25" i="9"/>
  <c r="BA25" i="9"/>
  <c r="AW25" i="9"/>
  <c r="M25" i="9"/>
  <c r="R25" i="9"/>
  <c r="AB25" i="9"/>
  <c r="I25" i="9"/>
  <c r="BA27" i="9"/>
  <c r="AU27" i="9"/>
  <c r="AW27" i="9"/>
  <c r="AS27" i="9"/>
  <c r="BC27" i="9"/>
  <c r="AJ27" i="9"/>
  <c r="AF27" i="9"/>
  <c r="X27" i="9"/>
  <c r="L27" i="9"/>
  <c r="BF27" i="9"/>
  <c r="AY27" i="9"/>
  <c r="AQ27" i="9"/>
  <c r="AG27" i="9"/>
  <c r="U27" i="9"/>
  <c r="I27" i="9"/>
  <c r="AV27" i="9"/>
  <c r="AC27" i="9"/>
  <c r="R27" i="9"/>
  <c r="N27" i="9"/>
  <c r="AZ27" i="9"/>
  <c r="AM27" i="9"/>
  <c r="AI27" i="9"/>
  <c r="S27" i="9"/>
  <c r="O27" i="9"/>
  <c r="AX27" i="9"/>
  <c r="AN27" i="9"/>
  <c r="AE27" i="9"/>
  <c r="AB27" i="9"/>
  <c r="BB27" i="9"/>
  <c r="AR27" i="9"/>
  <c r="T27" i="9"/>
  <c r="J27" i="9"/>
  <c r="AD27" i="9"/>
  <c r="BE27" i="9"/>
  <c r="BD27" i="9"/>
  <c r="K27" i="9"/>
  <c r="AO27" i="9"/>
  <c r="AL27" i="9"/>
  <c r="AK27" i="9"/>
  <c r="P27" i="9"/>
  <c r="Y27" i="9"/>
  <c r="AT27" i="9"/>
  <c r="Q27" i="9"/>
  <c r="AP27" i="9"/>
  <c r="AA27" i="9"/>
  <c r="Z27" i="9"/>
  <c r="AH27" i="9"/>
  <c r="M27" i="9"/>
  <c r="W27" i="9"/>
  <c r="V27" i="9"/>
  <c r="F80" i="5"/>
  <c r="BC4" i="9"/>
  <c r="BA4" i="9"/>
  <c r="BB4" i="9"/>
  <c r="AW4" i="9"/>
  <c r="BD4" i="9"/>
  <c r="BE4" i="9"/>
  <c r="AU4" i="9"/>
  <c r="AQ4" i="9"/>
  <c r="AM4" i="9"/>
  <c r="AG4" i="9"/>
  <c r="BF4" i="9"/>
  <c r="AR4" i="9"/>
  <c r="AN4" i="9"/>
  <c r="AV4" i="9"/>
  <c r="Z4" i="9"/>
  <c r="N4" i="9"/>
  <c r="AS4" i="9"/>
  <c r="W4" i="9"/>
  <c r="K4" i="9"/>
  <c r="AT4" i="9"/>
  <c r="AJ4" i="9"/>
  <c r="Y4" i="9"/>
  <c r="J4" i="9"/>
  <c r="AZ4" i="9"/>
  <c r="AX4" i="9"/>
  <c r="M4" i="9"/>
  <c r="AO4" i="9"/>
  <c r="R4" i="9"/>
  <c r="Q4" i="9"/>
  <c r="AH4" i="9"/>
  <c r="AA4" i="9"/>
  <c r="AE4" i="9"/>
  <c r="S4" i="9"/>
  <c r="I4" i="9"/>
  <c r="AY4" i="9"/>
  <c r="AK4" i="9"/>
  <c r="AB4" i="9"/>
  <c r="AL4" i="9"/>
  <c r="AP4" i="9"/>
  <c r="AF4" i="9"/>
  <c r="AC4" i="9"/>
  <c r="U4" i="9"/>
  <c r="V4" i="9"/>
  <c r="O4" i="9"/>
  <c r="AD4" i="9"/>
  <c r="T4" i="9"/>
  <c r="L4" i="9"/>
  <c r="X4" i="9"/>
  <c r="AI4" i="9"/>
  <c r="P4" i="9"/>
  <c r="BF24" i="9"/>
  <c r="BB24" i="9"/>
  <c r="AX24" i="9"/>
  <c r="BA24" i="9"/>
  <c r="AS24" i="9"/>
  <c r="BE24" i="9"/>
  <c r="AP24" i="9"/>
  <c r="BD24" i="9"/>
  <c r="AJ24" i="9"/>
  <c r="AU24" i="9"/>
  <c r="AG24" i="9"/>
  <c r="U24" i="9"/>
  <c r="I24" i="9"/>
  <c r="AT24" i="9"/>
  <c r="AO24" i="9"/>
  <c r="AH24" i="9"/>
  <c r="R24" i="9"/>
  <c r="AY24" i="9"/>
  <c r="AM24" i="9"/>
  <c r="AI24" i="9"/>
  <c r="O24" i="9"/>
  <c r="K24" i="9"/>
  <c r="BC24" i="9"/>
  <c r="AW24" i="9"/>
  <c r="P24" i="9"/>
  <c r="L24" i="9"/>
  <c r="AQ24" i="9"/>
  <c r="T24" i="9"/>
  <c r="J24" i="9"/>
  <c r="AR24" i="9"/>
  <c r="AC24" i="9"/>
  <c r="AL24" i="9"/>
  <c r="AK24" i="9"/>
  <c r="Y24" i="9"/>
  <c r="AV24" i="9"/>
  <c r="AD24" i="9"/>
  <c r="Z24" i="9"/>
  <c r="Q24" i="9"/>
  <c r="V24" i="9"/>
  <c r="AZ24" i="9"/>
  <c r="S24" i="9"/>
  <c r="N24" i="9"/>
  <c r="W24" i="9"/>
  <c r="AN24" i="9"/>
  <c r="AB24" i="9"/>
  <c r="M24" i="9"/>
  <c r="AF24" i="9"/>
  <c r="AA24" i="9"/>
  <c r="X24" i="9"/>
  <c r="AE24" i="9"/>
  <c r="AY37" i="9"/>
  <c r="BF37" i="9"/>
  <c r="AX37" i="9"/>
  <c r="BB37" i="9"/>
  <c r="AT37" i="9"/>
  <c r="BC37" i="9"/>
  <c r="AQ37" i="9"/>
  <c r="AU37" i="9"/>
  <c r="AO37" i="9"/>
  <c r="AJ37" i="9"/>
  <c r="AP37" i="9"/>
  <c r="AL37" i="9"/>
  <c r="BD37" i="9"/>
  <c r="AK37" i="9"/>
  <c r="V37" i="9"/>
  <c r="J37" i="9"/>
  <c r="AR37" i="9"/>
  <c r="AM37" i="9"/>
  <c r="S37" i="9"/>
  <c r="AN37" i="9"/>
  <c r="BE37" i="9"/>
  <c r="T37" i="9"/>
  <c r="Y37" i="9"/>
  <c r="P37" i="9"/>
  <c r="K37" i="9"/>
  <c r="BA37" i="9"/>
  <c r="L37" i="9"/>
  <c r="AD37" i="9"/>
  <c r="Q37" i="9"/>
  <c r="AH37" i="9"/>
  <c r="Z37" i="9"/>
  <c r="AF37" i="9"/>
  <c r="AA37" i="9"/>
  <c r="R37" i="9"/>
  <c r="M37" i="9"/>
  <c r="I37" i="9"/>
  <c r="AB37" i="9"/>
  <c r="W37" i="9"/>
  <c r="AV37" i="9"/>
  <c r="AS37" i="9"/>
  <c r="O37" i="9"/>
  <c r="X37" i="9"/>
  <c r="AZ37" i="9"/>
  <c r="AW37" i="9"/>
  <c r="AG37" i="9"/>
  <c r="AI37" i="9"/>
  <c r="AC37" i="9"/>
  <c r="U37" i="9"/>
  <c r="N37" i="9"/>
  <c r="AE37" i="9"/>
  <c r="BA51" i="9"/>
  <c r="AZ51" i="9"/>
  <c r="AY51" i="9"/>
  <c r="AU51" i="9"/>
  <c r="BD51" i="9"/>
  <c r="BC51" i="9"/>
  <c r="AX51" i="9"/>
  <c r="AS51" i="9"/>
  <c r="AO51" i="9"/>
  <c r="AP51" i="9"/>
  <c r="AL51" i="9"/>
  <c r="AR51" i="9"/>
  <c r="AE51" i="9"/>
  <c r="X51" i="9"/>
  <c r="L51" i="9"/>
  <c r="U51" i="9"/>
  <c r="I51" i="9"/>
  <c r="AV51" i="9"/>
  <c r="W51" i="9"/>
  <c r="AW51" i="9"/>
  <c r="AK51" i="9"/>
  <c r="AH51" i="9"/>
  <c r="BE51" i="9"/>
  <c r="AM51" i="9"/>
  <c r="AJ51" i="9"/>
  <c r="AF51" i="9"/>
  <c r="AD51" i="9"/>
  <c r="V51" i="9"/>
  <c r="Q51" i="9"/>
  <c r="AA51" i="9"/>
  <c r="Z51" i="9"/>
  <c r="R51" i="9"/>
  <c r="M51" i="9"/>
  <c r="AB51" i="9"/>
  <c r="S51" i="9"/>
  <c r="BB51" i="9"/>
  <c r="AT51" i="9"/>
  <c r="AI51" i="9"/>
  <c r="N51" i="9"/>
  <c r="BF51" i="9"/>
  <c r="AQ51" i="9"/>
  <c r="AN51" i="9"/>
  <c r="O51" i="9"/>
  <c r="P51" i="9"/>
  <c r="Y51" i="9"/>
  <c r="T51" i="9"/>
  <c r="K51" i="9"/>
  <c r="J51" i="9"/>
  <c r="AC51" i="9"/>
  <c r="AG51" i="9"/>
  <c r="F68" i="5"/>
  <c r="BE11" i="9"/>
  <c r="BB11" i="9"/>
  <c r="BC11" i="9"/>
  <c r="AX11" i="9"/>
  <c r="BF11" i="9"/>
  <c r="AZ11" i="9"/>
  <c r="AR11" i="9"/>
  <c r="AO11" i="9"/>
  <c r="AJ11" i="9"/>
  <c r="BA11" i="9"/>
  <c r="AW11" i="9"/>
  <c r="T11" i="9"/>
  <c r="AU11" i="9"/>
  <c r="Q11" i="9"/>
  <c r="AL11" i="9"/>
  <c r="AK11" i="9"/>
  <c r="Z11" i="9"/>
  <c r="V11" i="9"/>
  <c r="AD11" i="9"/>
  <c r="AA11" i="9"/>
  <c r="W11" i="9"/>
  <c r="AV11" i="9"/>
  <c r="AS11" i="9"/>
  <c r="AI11" i="9"/>
  <c r="AP11" i="9"/>
  <c r="AM11" i="9"/>
  <c r="AB11" i="9"/>
  <c r="N11" i="9"/>
  <c r="I11" i="9"/>
  <c r="AT11" i="9"/>
  <c r="AH11" i="9"/>
  <c r="X11" i="9"/>
  <c r="S11" i="9"/>
  <c r="AE11" i="9"/>
  <c r="O11" i="9"/>
  <c r="AY11" i="9"/>
  <c r="AF11" i="9"/>
  <c r="J11" i="9"/>
  <c r="AC11" i="9"/>
  <c r="U11" i="9"/>
  <c r="K11" i="9"/>
  <c r="AQ11" i="9"/>
  <c r="P11" i="9"/>
  <c r="AN11" i="9"/>
  <c r="AG11" i="9"/>
  <c r="Y11" i="9"/>
  <c r="L11" i="9"/>
  <c r="BD11" i="9"/>
  <c r="R11" i="9"/>
  <c r="M11" i="9"/>
  <c r="BF36" i="9"/>
  <c r="BC36" i="9"/>
  <c r="BD36" i="9"/>
  <c r="AZ36" i="9"/>
  <c r="BA36" i="9"/>
  <c r="AS36" i="9"/>
  <c r="AV36" i="9"/>
  <c r="AP36" i="9"/>
  <c r="AY36" i="9"/>
  <c r="AX36" i="9"/>
  <c r="AW36" i="9"/>
  <c r="AO36" i="9"/>
  <c r="U36" i="9"/>
  <c r="I36" i="9"/>
  <c r="R36" i="9"/>
  <c r="BE36" i="9"/>
  <c r="AG36" i="9"/>
  <c r="AA36" i="9"/>
  <c r="W36" i="9"/>
  <c r="BB36" i="9"/>
  <c r="AR36" i="9"/>
  <c r="AB36" i="9"/>
  <c r="X36" i="9"/>
  <c r="AL36" i="9"/>
  <c r="AH36" i="9"/>
  <c r="AM36" i="9"/>
  <c r="L36" i="9"/>
  <c r="AT36" i="9"/>
  <c r="AD36" i="9"/>
  <c r="Q36" i="9"/>
  <c r="Z36" i="9"/>
  <c r="V36" i="9"/>
  <c r="AE36" i="9"/>
  <c r="AF36" i="9"/>
  <c r="M36" i="9"/>
  <c r="AQ36" i="9"/>
  <c r="AN36" i="9"/>
  <c r="O36" i="9"/>
  <c r="T36" i="9"/>
  <c r="J36" i="9"/>
  <c r="Y36" i="9"/>
  <c r="AI36" i="9"/>
  <c r="AU36" i="9"/>
  <c r="AC36" i="9"/>
  <c r="N36" i="9"/>
  <c r="S36" i="9"/>
  <c r="P36" i="9"/>
  <c r="AK36" i="9"/>
  <c r="K36" i="9"/>
  <c r="AJ36" i="9"/>
  <c r="BA49" i="9"/>
  <c r="AT49" i="9"/>
  <c r="AQ49" i="9"/>
  <c r="BE49" i="9"/>
  <c r="BD49" i="9"/>
  <c r="BC49" i="9"/>
  <c r="AX49" i="9"/>
  <c r="BF49" i="9"/>
  <c r="BB49" i="9"/>
  <c r="AJ49" i="9"/>
  <c r="AH49" i="9"/>
  <c r="V49" i="9"/>
  <c r="J49" i="9"/>
  <c r="AI49" i="9"/>
  <c r="S49" i="9"/>
  <c r="AW49" i="9"/>
  <c r="AU49" i="9"/>
  <c r="P49" i="9"/>
  <c r="L49" i="9"/>
  <c r="AM49" i="9"/>
  <c r="Q49" i="9"/>
  <c r="M49" i="9"/>
  <c r="Z49" i="9"/>
  <c r="R49" i="9"/>
  <c r="AV49" i="9"/>
  <c r="AS49" i="9"/>
  <c r="AA49" i="9"/>
  <c r="AR49" i="9"/>
  <c r="I49" i="9"/>
  <c r="AC49" i="9"/>
  <c r="AZ49" i="9"/>
  <c r="AY49" i="9"/>
  <c r="AL49" i="9"/>
  <c r="AB49" i="9"/>
  <c r="AO49" i="9"/>
  <c r="AK49" i="9"/>
  <c r="AE49" i="9"/>
  <c r="W49" i="9"/>
  <c r="N49" i="9"/>
  <c r="X49" i="9"/>
  <c r="O49" i="9"/>
  <c r="AG49" i="9"/>
  <c r="T49" i="9"/>
  <c r="AP49" i="9"/>
  <c r="AN49" i="9"/>
  <c r="Y49" i="9"/>
  <c r="AF49" i="9"/>
  <c r="K49" i="9"/>
  <c r="AD49" i="9"/>
  <c r="U49" i="9"/>
  <c r="F56" i="5"/>
  <c r="BF97" i="9"/>
  <c r="BB97" i="9"/>
  <c r="BC97" i="9"/>
  <c r="AY97" i="9"/>
  <c r="AU97" i="9"/>
  <c r="AT97" i="9"/>
  <c r="AX97" i="9"/>
  <c r="AQ97" i="9"/>
  <c r="BE97" i="9"/>
  <c r="AW97" i="9"/>
  <c r="AR97" i="9"/>
  <c r="AS97" i="9"/>
  <c r="AJ97" i="9"/>
  <c r="V97" i="9"/>
  <c r="J97" i="9"/>
  <c r="S97" i="9"/>
  <c r="Z97" i="9"/>
  <c r="AI97" i="9"/>
  <c r="AA97" i="9"/>
  <c r="W97" i="9"/>
  <c r="AZ97" i="9"/>
  <c r="AO97" i="9"/>
  <c r="AH97" i="9"/>
  <c r="AE97" i="9"/>
  <c r="AB97" i="9"/>
  <c r="I97" i="9"/>
  <c r="BA97" i="9"/>
  <c r="AL97" i="9"/>
  <c r="AK97" i="9"/>
  <c r="N97" i="9"/>
  <c r="AP97" i="9"/>
  <c r="X97" i="9"/>
  <c r="O97" i="9"/>
  <c r="AM97" i="9"/>
  <c r="T97" i="9"/>
  <c r="AV97" i="9"/>
  <c r="AF97" i="9"/>
  <c r="AC97" i="9"/>
  <c r="Y97" i="9"/>
  <c r="P97" i="9"/>
  <c r="K97" i="9"/>
  <c r="BD97" i="9"/>
  <c r="R97" i="9"/>
  <c r="AN97" i="9"/>
  <c r="U97" i="9"/>
  <c r="AD97" i="9"/>
  <c r="L97" i="9"/>
  <c r="Q97" i="9"/>
  <c r="M97" i="9"/>
  <c r="AG97" i="9"/>
  <c r="AZ26" i="9"/>
  <c r="BE26" i="9"/>
  <c r="AY26" i="9"/>
  <c r="AR26" i="9"/>
  <c r="AW26" i="9"/>
  <c r="AN26" i="9"/>
  <c r="BF26" i="9"/>
  <c r="AO26" i="9"/>
  <c r="BC26" i="9"/>
  <c r="W26" i="9"/>
  <c r="K26" i="9"/>
  <c r="BB26" i="9"/>
  <c r="AV26" i="9"/>
  <c r="AL26" i="9"/>
  <c r="T26" i="9"/>
  <c r="AU26" i="9"/>
  <c r="AJ26" i="9"/>
  <c r="AE26" i="9"/>
  <c r="V26" i="9"/>
  <c r="AD26" i="9"/>
  <c r="AT26" i="9"/>
  <c r="N26" i="9"/>
  <c r="X26" i="9"/>
  <c r="O26" i="9"/>
  <c r="J26" i="9"/>
  <c r="BD26" i="9"/>
  <c r="AS26" i="9"/>
  <c r="AG26" i="9"/>
  <c r="AK26" i="9"/>
  <c r="AI26" i="9"/>
  <c r="AC26" i="9"/>
  <c r="U26" i="9"/>
  <c r="P26" i="9"/>
  <c r="Y26" i="9"/>
  <c r="L26" i="9"/>
  <c r="Z26" i="9"/>
  <c r="AP26" i="9"/>
  <c r="I26" i="9"/>
  <c r="S26" i="9"/>
  <c r="AM26" i="9"/>
  <c r="AX26" i="9"/>
  <c r="R26" i="9"/>
  <c r="AQ26" i="9"/>
  <c r="AH26" i="9"/>
  <c r="BA26" i="9"/>
  <c r="M26" i="9"/>
  <c r="AF26" i="9"/>
  <c r="AA26" i="9"/>
  <c r="AB26" i="9"/>
  <c r="Q26" i="9"/>
  <c r="AZ38" i="9"/>
  <c r="BE38" i="9"/>
  <c r="BF38" i="9"/>
  <c r="AR38" i="9"/>
  <c r="BA38" i="9"/>
  <c r="AT38" i="9"/>
  <c r="AG38" i="9"/>
  <c r="AE38" i="9"/>
  <c r="W38" i="9"/>
  <c r="K38" i="9"/>
  <c r="AJ38" i="9"/>
  <c r="AH38" i="9"/>
  <c r="T38" i="9"/>
  <c r="AQ38" i="9"/>
  <c r="AD38" i="9"/>
  <c r="S38" i="9"/>
  <c r="O38" i="9"/>
  <c r="P38" i="9"/>
  <c r="L38" i="9"/>
  <c r="BC38" i="9"/>
  <c r="AO38" i="9"/>
  <c r="AW38" i="9"/>
  <c r="AP38" i="9"/>
  <c r="AC38" i="9"/>
  <c r="U38" i="9"/>
  <c r="AM38" i="9"/>
  <c r="Y38" i="9"/>
  <c r="AB38" i="9"/>
  <c r="BB38" i="9"/>
  <c r="V38" i="9"/>
  <c r="Q38" i="9"/>
  <c r="AX38" i="9"/>
  <c r="Z38" i="9"/>
  <c r="BD38" i="9"/>
  <c r="AF38" i="9"/>
  <c r="AA38" i="9"/>
  <c r="R38" i="9"/>
  <c r="M38" i="9"/>
  <c r="AN38" i="9"/>
  <c r="I38" i="9"/>
  <c r="AS38" i="9"/>
  <c r="AY38" i="9"/>
  <c r="AV38" i="9"/>
  <c r="AK38" i="9"/>
  <c r="X38" i="9"/>
  <c r="J38" i="9"/>
  <c r="AU38" i="9"/>
  <c r="AI38" i="9"/>
  <c r="AL38" i="9"/>
  <c r="N38" i="9"/>
  <c r="BE95" i="9"/>
  <c r="AY95" i="9"/>
  <c r="AZ95" i="9"/>
  <c r="BC95" i="9"/>
  <c r="AR95" i="9"/>
  <c r="AO95" i="9"/>
  <c r="AK95" i="9"/>
  <c r="BD95" i="9"/>
  <c r="AS95" i="9"/>
  <c r="AN95" i="9"/>
  <c r="T95" i="9"/>
  <c r="AD95" i="9"/>
  <c r="Q95" i="9"/>
  <c r="AX95" i="9"/>
  <c r="S95" i="9"/>
  <c r="AF95" i="9"/>
  <c r="AL95" i="9"/>
  <c r="BA95" i="9"/>
  <c r="I95" i="9"/>
  <c r="N95" i="9"/>
  <c r="AT95" i="9"/>
  <c r="AJ95" i="9"/>
  <c r="X95" i="9"/>
  <c r="J95" i="9"/>
  <c r="AG95" i="9"/>
  <c r="AP95" i="9"/>
  <c r="AM95" i="9"/>
  <c r="O95" i="9"/>
  <c r="BB95" i="9"/>
  <c r="AV95" i="9"/>
  <c r="AC95" i="9"/>
  <c r="Y95" i="9"/>
  <c r="P95" i="9"/>
  <c r="K95" i="9"/>
  <c r="AQ95" i="9"/>
  <c r="AI95" i="9"/>
  <c r="U95" i="9"/>
  <c r="W95" i="9"/>
  <c r="V95" i="9"/>
  <c r="AW95" i="9"/>
  <c r="BF95" i="9"/>
  <c r="Z95" i="9"/>
  <c r="R95" i="9"/>
  <c r="L95" i="9"/>
  <c r="AH95" i="9"/>
  <c r="AE95" i="9"/>
  <c r="AA95" i="9"/>
  <c r="M95" i="9"/>
  <c r="AU95" i="9"/>
  <c r="AB95" i="9"/>
  <c r="AZ50" i="9"/>
  <c r="BC50" i="9"/>
  <c r="BD50" i="9"/>
  <c r="BF50" i="9"/>
  <c r="AX50" i="9"/>
  <c r="BA50" i="9"/>
  <c r="AV50" i="9"/>
  <c r="AR50" i="9"/>
  <c r="AY50" i="9"/>
  <c r="AS50" i="9"/>
  <c r="AJ50" i="9"/>
  <c r="AW50" i="9"/>
  <c r="AT50" i="9"/>
  <c r="AM50" i="9"/>
  <c r="W50" i="9"/>
  <c r="K50" i="9"/>
  <c r="BE50" i="9"/>
  <c r="T50" i="9"/>
  <c r="AO50" i="9"/>
  <c r="AL50" i="9"/>
  <c r="AA50" i="9"/>
  <c r="AP50" i="9"/>
  <c r="AB50" i="9"/>
  <c r="X50" i="9"/>
  <c r="I50" i="9"/>
  <c r="Z50" i="9"/>
  <c r="R50" i="9"/>
  <c r="M50" i="9"/>
  <c r="AU50" i="9"/>
  <c r="S50" i="9"/>
  <c r="BB50" i="9"/>
  <c r="AK50" i="9"/>
  <c r="AI50" i="9"/>
  <c r="AE50" i="9"/>
  <c r="N50" i="9"/>
  <c r="O50" i="9"/>
  <c r="J50" i="9"/>
  <c r="AG50" i="9"/>
  <c r="AF50" i="9"/>
  <c r="U50" i="9"/>
  <c r="AQ50" i="9"/>
  <c r="AN50" i="9"/>
  <c r="AH50" i="9"/>
  <c r="P50" i="9"/>
  <c r="AD50" i="9"/>
  <c r="Y50" i="9"/>
  <c r="AC50" i="9"/>
  <c r="L50" i="9"/>
  <c r="V50" i="9"/>
  <c r="Q50" i="9"/>
  <c r="AZ62" i="9"/>
  <c r="BE62" i="9"/>
  <c r="AX62" i="9"/>
  <c r="AR62" i="9"/>
  <c r="AP62" i="9"/>
  <c r="BA62" i="9"/>
  <c r="AQ62" i="9"/>
  <c r="AM62" i="9"/>
  <c r="BD62" i="9"/>
  <c r="AV62" i="9"/>
  <c r="AU62" i="9"/>
  <c r="W62" i="9"/>
  <c r="K62" i="9"/>
  <c r="T62" i="9"/>
  <c r="AJ62" i="9"/>
  <c r="BC62" i="9"/>
  <c r="AI62" i="9"/>
  <c r="U62" i="9"/>
  <c r="AY62" i="9"/>
  <c r="AG62" i="9"/>
  <c r="AE62" i="9"/>
  <c r="AB62" i="9"/>
  <c r="BF62" i="9"/>
  <c r="S62" i="9"/>
  <c r="N62" i="9"/>
  <c r="X62" i="9"/>
  <c r="J62" i="9"/>
  <c r="O62" i="9"/>
  <c r="AN62" i="9"/>
  <c r="AC62" i="9"/>
  <c r="Y62" i="9"/>
  <c r="AH62" i="9"/>
  <c r="AF62" i="9"/>
  <c r="AW62" i="9"/>
  <c r="L62" i="9"/>
  <c r="AL62" i="9"/>
  <c r="AD62" i="9"/>
  <c r="I62" i="9"/>
  <c r="Q62" i="9"/>
  <c r="BB62" i="9"/>
  <c r="AT62" i="9"/>
  <c r="R62" i="9"/>
  <c r="AA62" i="9"/>
  <c r="AO62" i="9"/>
  <c r="AK62" i="9"/>
  <c r="P62" i="9"/>
  <c r="M62" i="9"/>
  <c r="Z62" i="9"/>
  <c r="AS62" i="9"/>
  <c r="V62" i="9"/>
  <c r="BA39" i="9"/>
  <c r="BF39" i="9"/>
  <c r="BB39" i="9"/>
  <c r="BC39" i="9"/>
  <c r="BE39" i="9"/>
  <c r="AZ39" i="9"/>
  <c r="AU39" i="9"/>
  <c r="AS39" i="9"/>
  <c r="AV39" i="9"/>
  <c r="AL39" i="9"/>
  <c r="X39" i="9"/>
  <c r="L39" i="9"/>
  <c r="AW39" i="9"/>
  <c r="U39" i="9"/>
  <c r="I39" i="9"/>
  <c r="AX39" i="9"/>
  <c r="AT39" i="9"/>
  <c r="Z39" i="9"/>
  <c r="K39" i="9"/>
  <c r="AA39" i="9"/>
  <c r="AR39" i="9"/>
  <c r="AI39" i="9"/>
  <c r="AP39" i="9"/>
  <c r="AC39" i="9"/>
  <c r="P39" i="9"/>
  <c r="AM39" i="9"/>
  <c r="Y39" i="9"/>
  <c r="AN39" i="9"/>
  <c r="AD39" i="9"/>
  <c r="AH39" i="9"/>
  <c r="V39" i="9"/>
  <c r="Q39" i="9"/>
  <c r="BD39" i="9"/>
  <c r="AQ39" i="9"/>
  <c r="AF39" i="9"/>
  <c r="R39" i="9"/>
  <c r="M39" i="9"/>
  <c r="AJ39" i="9"/>
  <c r="AE39" i="9"/>
  <c r="AB39" i="9"/>
  <c r="AO39" i="9"/>
  <c r="O39" i="9"/>
  <c r="S39" i="9"/>
  <c r="AK39" i="9"/>
  <c r="W39" i="9"/>
  <c r="T39" i="9"/>
  <c r="J39" i="9"/>
  <c r="AY39" i="9"/>
  <c r="AG39" i="9"/>
  <c r="N39" i="9"/>
  <c r="BE23" i="9"/>
  <c r="AY23" i="9"/>
  <c r="BC23" i="9"/>
  <c r="AR23" i="9"/>
  <c r="AO23" i="9"/>
  <c r="AV23" i="9"/>
  <c r="AL23" i="9"/>
  <c r="AQ23" i="9"/>
  <c r="T23" i="9"/>
  <c r="Q23" i="9"/>
  <c r="AW23" i="9"/>
  <c r="AS23" i="9"/>
  <c r="AD23" i="9"/>
  <c r="S23" i="9"/>
  <c r="AZ23" i="9"/>
  <c r="AT23" i="9"/>
  <c r="AG23" i="9"/>
  <c r="BD23" i="9"/>
  <c r="AN23" i="9"/>
  <c r="BB23" i="9"/>
  <c r="AC23" i="9"/>
  <c r="K23" i="9"/>
  <c r="AK23" i="9"/>
  <c r="AJ23" i="9"/>
  <c r="AI23" i="9"/>
  <c r="Y23" i="9"/>
  <c r="U23" i="9"/>
  <c r="P23" i="9"/>
  <c r="AU23" i="9"/>
  <c r="L23" i="9"/>
  <c r="BF23" i="9"/>
  <c r="Z23" i="9"/>
  <c r="V23" i="9"/>
  <c r="AP23" i="9"/>
  <c r="AM23" i="9"/>
  <c r="AA23" i="9"/>
  <c r="M23" i="9"/>
  <c r="N23" i="9"/>
  <c r="AH23" i="9"/>
  <c r="AE23" i="9"/>
  <c r="BA23" i="9"/>
  <c r="W23" i="9"/>
  <c r="AF23" i="9"/>
  <c r="R23" i="9"/>
  <c r="O23" i="9"/>
  <c r="AX23" i="9"/>
  <c r="AB23" i="9"/>
  <c r="X23" i="9"/>
  <c r="J23" i="9"/>
  <c r="I23" i="9"/>
  <c r="BF48" i="9"/>
  <c r="AY48" i="9"/>
  <c r="AS48" i="9"/>
  <c r="AU48" i="9"/>
  <c r="AP48" i="9"/>
  <c r="AL48" i="9"/>
  <c r="AM48" i="9"/>
  <c r="U48" i="9"/>
  <c r="I48" i="9"/>
  <c r="BA48" i="9"/>
  <c r="AN48" i="9"/>
  <c r="R48" i="9"/>
  <c r="BD48" i="9"/>
  <c r="AK48" i="9"/>
  <c r="T48" i="9"/>
  <c r="BE48" i="9"/>
  <c r="AJ48" i="9"/>
  <c r="AF48" i="9"/>
  <c r="AX48" i="9"/>
  <c r="AV48" i="9"/>
  <c r="AA48" i="9"/>
  <c r="M48" i="9"/>
  <c r="AR48" i="9"/>
  <c r="AZ48" i="9"/>
  <c r="AB48" i="9"/>
  <c r="AO48" i="9"/>
  <c r="AE48" i="9"/>
  <c r="W48" i="9"/>
  <c r="S48" i="9"/>
  <c r="N48" i="9"/>
  <c r="BB48" i="9"/>
  <c r="AW48" i="9"/>
  <c r="AI48" i="9"/>
  <c r="X48" i="9"/>
  <c r="O48" i="9"/>
  <c r="AT48" i="9"/>
  <c r="AG48" i="9"/>
  <c r="J48" i="9"/>
  <c r="AC48" i="9"/>
  <c r="AQ48" i="9"/>
  <c r="AH48" i="9"/>
  <c r="Y48" i="9"/>
  <c r="P48" i="9"/>
  <c r="Z48" i="9"/>
  <c r="BC48" i="9"/>
  <c r="V48" i="9"/>
  <c r="K48" i="9"/>
  <c r="L48" i="9"/>
  <c r="Q48" i="9"/>
  <c r="AD48" i="9"/>
  <c r="BD61" i="9"/>
  <c r="AZ61" i="9"/>
  <c r="BE61" i="9"/>
  <c r="BA61" i="9"/>
  <c r="AV61" i="9"/>
  <c r="AT61" i="9"/>
  <c r="AW61" i="9"/>
  <c r="AU61" i="9"/>
  <c r="AQ61" i="9"/>
  <c r="AL61" i="9"/>
  <c r="BB61" i="9"/>
  <c r="AS61" i="9"/>
  <c r="AN61" i="9"/>
  <c r="V61" i="9"/>
  <c r="J61" i="9"/>
  <c r="S61" i="9"/>
  <c r="BC61" i="9"/>
  <c r="AF61" i="9"/>
  <c r="AB61" i="9"/>
  <c r="X61" i="9"/>
  <c r="I61" i="9"/>
  <c r="AY61" i="9"/>
  <c r="AE61" i="9"/>
  <c r="Y61" i="9"/>
  <c r="BF61" i="9"/>
  <c r="AI61" i="9"/>
  <c r="W61" i="9"/>
  <c r="N61" i="9"/>
  <c r="AP61" i="9"/>
  <c r="AM61" i="9"/>
  <c r="AX61" i="9"/>
  <c r="O61" i="9"/>
  <c r="AO61" i="9"/>
  <c r="AC61" i="9"/>
  <c r="U61" i="9"/>
  <c r="T61" i="9"/>
  <c r="AH61" i="9"/>
  <c r="K61" i="9"/>
  <c r="AR61" i="9"/>
  <c r="P61" i="9"/>
  <c r="L61" i="9"/>
  <c r="AD61" i="9"/>
  <c r="Q61" i="9"/>
  <c r="AG61" i="9"/>
  <c r="AA61" i="9"/>
  <c r="Z61" i="9"/>
  <c r="AK61" i="9"/>
  <c r="M61" i="9"/>
  <c r="R61" i="9"/>
  <c r="AJ61" i="9"/>
  <c r="F32" i="5"/>
  <c r="BE35" i="9"/>
  <c r="BC35" i="9"/>
  <c r="AR35" i="9"/>
  <c r="AZ35" i="9"/>
  <c r="AY35" i="9"/>
  <c r="AX35" i="9"/>
  <c r="AU35" i="9"/>
  <c r="AO35" i="9"/>
  <c r="AV35" i="9"/>
  <c r="AS35" i="9"/>
  <c r="BB35" i="9"/>
  <c r="AT35" i="9"/>
  <c r="AH35" i="9"/>
  <c r="T35" i="9"/>
  <c r="AI35" i="9"/>
  <c r="AD35" i="9"/>
  <c r="Q35" i="9"/>
  <c r="P35" i="9"/>
  <c r="L35" i="9"/>
  <c r="BF35" i="9"/>
  <c r="AL35" i="9"/>
  <c r="M35" i="9"/>
  <c r="I35" i="9"/>
  <c r="AK35" i="9"/>
  <c r="BA35" i="9"/>
  <c r="Z35" i="9"/>
  <c r="V35" i="9"/>
  <c r="AF35" i="9"/>
  <c r="AA35" i="9"/>
  <c r="R35" i="9"/>
  <c r="BD35" i="9"/>
  <c r="AQ35" i="9"/>
  <c r="AN35" i="9"/>
  <c r="AB35" i="9"/>
  <c r="W35" i="9"/>
  <c r="AE35" i="9"/>
  <c r="S35" i="9"/>
  <c r="N35" i="9"/>
  <c r="AP35" i="9"/>
  <c r="X35" i="9"/>
  <c r="J35" i="9"/>
  <c r="AM35" i="9"/>
  <c r="O35" i="9"/>
  <c r="AC35" i="9"/>
  <c r="AW35" i="9"/>
  <c r="AG35" i="9"/>
  <c r="U35" i="9"/>
  <c r="K35" i="9"/>
  <c r="Y35" i="9"/>
  <c r="AJ35" i="9"/>
  <c r="BF60" i="9"/>
  <c r="BB60" i="9"/>
  <c r="AX60" i="9"/>
  <c r="BE60" i="9"/>
  <c r="AS60" i="9"/>
  <c r="AP60" i="9"/>
  <c r="AZ60" i="9"/>
  <c r="AT60" i="9"/>
  <c r="BC60" i="9"/>
  <c r="AI60" i="9"/>
  <c r="U60" i="9"/>
  <c r="I60" i="9"/>
  <c r="AW60" i="9"/>
  <c r="AF60" i="9"/>
  <c r="R60" i="9"/>
  <c r="Q60" i="9"/>
  <c r="M60" i="9"/>
  <c r="AC60" i="9"/>
  <c r="N60" i="9"/>
  <c r="J60" i="9"/>
  <c r="AR60" i="9"/>
  <c r="AO60" i="9"/>
  <c r="AG60" i="9"/>
  <c r="AM60" i="9"/>
  <c r="S60" i="9"/>
  <c r="X60" i="9"/>
  <c r="O60" i="9"/>
  <c r="AV60" i="9"/>
  <c r="AQ60" i="9"/>
  <c r="AN60" i="9"/>
  <c r="T60" i="9"/>
  <c r="AY60" i="9"/>
  <c r="AH60" i="9"/>
  <c r="Y60" i="9"/>
  <c r="K60" i="9"/>
  <c r="BA60" i="9"/>
  <c r="P60" i="9"/>
  <c r="L60" i="9"/>
  <c r="AU60" i="9"/>
  <c r="AD60" i="9"/>
  <c r="V60" i="9"/>
  <c r="AL60" i="9"/>
  <c r="AA60" i="9"/>
  <c r="AK60" i="9"/>
  <c r="BD60" i="9"/>
  <c r="Z60" i="9"/>
  <c r="AE60" i="9"/>
  <c r="AB60" i="9"/>
  <c r="AJ60" i="9"/>
  <c r="W60" i="9"/>
  <c r="AX73" i="9"/>
  <c r="BF73" i="9"/>
  <c r="BC73" i="9"/>
  <c r="AT73" i="9"/>
  <c r="AQ73" i="9"/>
  <c r="AM73" i="9"/>
  <c r="AV73" i="9"/>
  <c r="AN73" i="9"/>
  <c r="BA73" i="9"/>
  <c r="V73" i="9"/>
  <c r="J73" i="9"/>
  <c r="AR73" i="9"/>
  <c r="AK73" i="9"/>
  <c r="AF73" i="9"/>
  <c r="S73" i="9"/>
  <c r="BE73" i="9"/>
  <c r="AW73" i="9"/>
  <c r="AO73" i="9"/>
  <c r="AE73" i="9"/>
  <c r="U73" i="9"/>
  <c r="AL73" i="9"/>
  <c r="AS73" i="9"/>
  <c r="AP73" i="9"/>
  <c r="AC73" i="9"/>
  <c r="T73" i="9"/>
  <c r="BD73" i="9"/>
  <c r="Y73" i="9"/>
  <c r="K73" i="9"/>
  <c r="AJ73" i="9"/>
  <c r="P73" i="9"/>
  <c r="AD73" i="9"/>
  <c r="L73" i="9"/>
  <c r="Z73" i="9"/>
  <c r="Q73" i="9"/>
  <c r="R73" i="9"/>
  <c r="AZ73" i="9"/>
  <c r="AG73" i="9"/>
  <c r="AA73" i="9"/>
  <c r="M73" i="9"/>
  <c r="BB73" i="9"/>
  <c r="AY73" i="9"/>
  <c r="AU73" i="9"/>
  <c r="AB73" i="9"/>
  <c r="W73" i="9"/>
  <c r="X73" i="9"/>
  <c r="N73" i="9"/>
  <c r="AI73" i="9"/>
  <c r="O73" i="9"/>
  <c r="I73" i="9"/>
  <c r="AH73" i="9"/>
  <c r="F74" i="5"/>
  <c r="BE47" i="9"/>
  <c r="BD47" i="9"/>
  <c r="AZ47" i="9"/>
  <c r="BA47" i="9"/>
  <c r="AX47" i="9"/>
  <c r="BB47" i="9"/>
  <c r="AV47" i="9"/>
  <c r="AR47" i="9"/>
  <c r="AW47" i="9"/>
  <c r="AO47" i="9"/>
  <c r="AP47" i="9"/>
  <c r="AQ47" i="9"/>
  <c r="BF47" i="9"/>
  <c r="T47" i="9"/>
  <c r="AU47" i="9"/>
  <c r="AS47" i="9"/>
  <c r="AD47" i="9"/>
  <c r="Q47" i="9"/>
  <c r="AH47" i="9"/>
  <c r="AB47" i="9"/>
  <c r="X47" i="9"/>
  <c r="Y47" i="9"/>
  <c r="U47" i="9"/>
  <c r="AI47" i="9"/>
  <c r="I47" i="9"/>
  <c r="AY47" i="9"/>
  <c r="AL47" i="9"/>
  <c r="AE47" i="9"/>
  <c r="W47" i="9"/>
  <c r="S47" i="9"/>
  <c r="N47" i="9"/>
  <c r="AM47" i="9"/>
  <c r="AK47" i="9"/>
  <c r="AJ47" i="9"/>
  <c r="O47" i="9"/>
  <c r="AT47" i="9"/>
  <c r="AG47" i="9"/>
  <c r="J47" i="9"/>
  <c r="AC47" i="9"/>
  <c r="BC47" i="9"/>
  <c r="P47" i="9"/>
  <c r="M47" i="9"/>
  <c r="Z47" i="9"/>
  <c r="AF47" i="9"/>
  <c r="K47" i="9"/>
  <c r="R47" i="9"/>
  <c r="L47" i="9"/>
  <c r="V47" i="9"/>
  <c r="AA47" i="9"/>
  <c r="AN47" i="9"/>
  <c r="BF72" i="9"/>
  <c r="BE72" i="9"/>
  <c r="BA72" i="9"/>
  <c r="BB72" i="9"/>
  <c r="AZ72" i="9"/>
  <c r="AW72" i="9"/>
  <c r="AS72" i="9"/>
  <c r="BD72" i="9"/>
  <c r="AP72" i="9"/>
  <c r="AY72" i="9"/>
  <c r="AQ72" i="9"/>
  <c r="AX72" i="9"/>
  <c r="AU72" i="9"/>
  <c r="AR72" i="9"/>
  <c r="AK72" i="9"/>
  <c r="AO72" i="9"/>
  <c r="U72" i="9"/>
  <c r="I72" i="9"/>
  <c r="R72" i="9"/>
  <c r="AG72" i="9"/>
  <c r="Y72" i="9"/>
  <c r="Z72" i="9"/>
  <c r="V72" i="9"/>
  <c r="AM72" i="9"/>
  <c r="BC72" i="9"/>
  <c r="K72" i="9"/>
  <c r="AJ72" i="9"/>
  <c r="P72" i="9"/>
  <c r="AL72" i="9"/>
  <c r="AF72" i="9"/>
  <c r="AD72" i="9"/>
  <c r="L72" i="9"/>
  <c r="AE72" i="9"/>
  <c r="Q72" i="9"/>
  <c r="AT72" i="9"/>
  <c r="AA72" i="9"/>
  <c r="M72" i="9"/>
  <c r="AI72" i="9"/>
  <c r="AB72" i="9"/>
  <c r="W72" i="9"/>
  <c r="AN72" i="9"/>
  <c r="N72" i="9"/>
  <c r="S72" i="9"/>
  <c r="AV72" i="9"/>
  <c r="O72" i="9"/>
  <c r="AC72" i="9"/>
  <c r="T72" i="9"/>
  <c r="J72" i="9"/>
  <c r="AH72" i="9"/>
  <c r="X72" i="9"/>
  <c r="BF85" i="9"/>
  <c r="BD85" i="9"/>
  <c r="BA85" i="9"/>
  <c r="AT85" i="9"/>
  <c r="BE85" i="9"/>
  <c r="BB85" i="9"/>
  <c r="AY85" i="9"/>
  <c r="AQ85" i="9"/>
  <c r="AK85" i="9"/>
  <c r="AX85" i="9"/>
  <c r="AR85" i="9"/>
  <c r="V85" i="9"/>
  <c r="J85" i="9"/>
  <c r="AU85" i="9"/>
  <c r="AJ85" i="9"/>
  <c r="AG85" i="9"/>
  <c r="S85" i="9"/>
  <c r="AM85" i="9"/>
  <c r="AC85" i="9"/>
  <c r="R85" i="9"/>
  <c r="N85" i="9"/>
  <c r="AN85" i="9"/>
  <c r="AD85" i="9"/>
  <c r="O85" i="9"/>
  <c r="K85" i="9"/>
  <c r="AV85" i="9"/>
  <c r="Q85" i="9"/>
  <c r="L85" i="9"/>
  <c r="AI85" i="9"/>
  <c r="Z85" i="9"/>
  <c r="M85" i="9"/>
  <c r="AW85" i="9"/>
  <c r="AA85" i="9"/>
  <c r="BC85" i="9"/>
  <c r="AE85" i="9"/>
  <c r="W85" i="9"/>
  <c r="AB85" i="9"/>
  <c r="I85" i="9"/>
  <c r="AS85" i="9"/>
  <c r="AO85" i="9"/>
  <c r="AH85" i="9"/>
  <c r="AZ85" i="9"/>
  <c r="AP85" i="9"/>
  <c r="AL85" i="9"/>
  <c r="X85" i="9"/>
  <c r="Y85" i="9"/>
  <c r="T85" i="9"/>
  <c r="P85" i="9"/>
  <c r="U85" i="9"/>
  <c r="AF85" i="9"/>
  <c r="F62" i="5"/>
  <c r="F50" i="5"/>
  <c r="Q103" i="16" l="1"/>
  <c r="K62" i="16"/>
  <c r="B11" i="16"/>
  <c r="B24" i="16"/>
  <c r="K76" i="16"/>
  <c r="K86" i="16"/>
  <c r="B97" i="16"/>
  <c r="E34" i="16"/>
  <c r="K72" i="16"/>
  <c r="K55" i="16"/>
  <c r="K13" i="16"/>
  <c r="K99" i="16"/>
  <c r="B25" i="16"/>
  <c r="K60" i="16"/>
  <c r="K15" i="16"/>
  <c r="K23" i="16"/>
  <c r="B94" i="16"/>
  <c r="K40" i="16"/>
  <c r="B75" i="16"/>
  <c r="B55" i="16"/>
  <c r="B48" i="16"/>
  <c r="K25" i="16"/>
  <c r="K54" i="16"/>
  <c r="K53" i="16"/>
  <c r="B46" i="16"/>
  <c r="K41" i="16"/>
  <c r="K7" i="16"/>
  <c r="B56" i="16"/>
  <c r="B64" i="16"/>
  <c r="K57" i="16"/>
  <c r="E21" i="16"/>
  <c r="K75" i="16"/>
  <c r="B80" i="16"/>
  <c r="K31" i="16"/>
  <c r="K48" i="16"/>
  <c r="B47" i="16"/>
  <c r="K30" i="16"/>
  <c r="B53" i="16"/>
  <c r="K46" i="16"/>
  <c r="B41" i="16"/>
  <c r="B7" i="16"/>
  <c r="K56" i="16"/>
  <c r="K64" i="16"/>
  <c r="B57" i="16"/>
  <c r="K16" i="16"/>
  <c r="E32" i="16"/>
  <c r="K18" i="16"/>
  <c r="K9" i="16"/>
  <c r="B42" i="16"/>
  <c r="E45" i="16"/>
  <c r="E35" i="16"/>
  <c r="B54" i="16"/>
  <c r="K71" i="16"/>
  <c r="B72" i="16"/>
  <c r="B16" i="16"/>
  <c r="E6" i="16"/>
  <c r="B62" i="16"/>
  <c r="K80" i="16"/>
  <c r="B31" i="16"/>
  <c r="B9" i="16"/>
  <c r="K47" i="16"/>
  <c r="B30" i="16"/>
  <c r="B26" i="16"/>
  <c r="K24" i="16"/>
  <c r="B96" i="16"/>
  <c r="B76" i="16"/>
  <c r="B86" i="16"/>
  <c r="B52" i="16"/>
  <c r="K42" i="16"/>
  <c r="B85" i="16"/>
  <c r="K17" i="16"/>
  <c r="B8" i="16"/>
  <c r="K26" i="16"/>
  <c r="K96" i="16"/>
  <c r="K52" i="16"/>
  <c r="K19" i="16"/>
  <c r="K87" i="16"/>
  <c r="K51" i="16"/>
  <c r="K91" i="16"/>
  <c r="K14" i="16"/>
  <c r="K90" i="16"/>
  <c r="B102" i="16"/>
  <c r="K10" i="16"/>
  <c r="K84" i="16"/>
  <c r="B101" i="16"/>
  <c r="K97" i="16"/>
  <c r="B98" i="16"/>
  <c r="K74" i="16"/>
  <c r="B39" i="16"/>
  <c r="B91" i="16"/>
  <c r="K37" i="16"/>
  <c r="K98" i="16"/>
  <c r="E92" i="16"/>
  <c r="K88" i="16"/>
  <c r="K78" i="16"/>
  <c r="K27" i="16"/>
  <c r="B59" i="16"/>
  <c r="K28" i="16"/>
  <c r="K95" i="16"/>
  <c r="E82" i="16"/>
  <c r="E81" i="16"/>
  <c r="E70" i="16"/>
  <c r="E69" i="16"/>
  <c r="K49" i="16"/>
  <c r="K29" i="16"/>
  <c r="B66" i="16"/>
  <c r="B67" i="16"/>
  <c r="B50" i="16"/>
  <c r="K65" i="16"/>
  <c r="B38" i="16"/>
  <c r="B77" i="16"/>
  <c r="K100" i="16"/>
  <c r="B43" i="16"/>
  <c r="B73" i="16"/>
  <c r="K83" i="16"/>
  <c r="B61" i="16"/>
  <c r="K85" i="16"/>
  <c r="E68" i="16"/>
  <c r="B87" i="16"/>
  <c r="B51" i="16"/>
  <c r="B18" i="16"/>
  <c r="B17" i="16"/>
  <c r="B14" i="16"/>
  <c r="K8" i="16"/>
  <c r="K11" i="16"/>
  <c r="K102" i="16"/>
  <c r="B10" i="16"/>
  <c r="B84" i="16"/>
  <c r="K101" i="16"/>
  <c r="E44" i="16"/>
  <c r="E12" i="16"/>
  <c r="B19" i="16"/>
  <c r="B88" i="16"/>
  <c r="B90" i="16"/>
  <c r="K89" i="16"/>
  <c r="B27" i="16"/>
  <c r="K59" i="16"/>
  <c r="B28" i="16"/>
  <c r="B95" i="16"/>
  <c r="B74" i="16"/>
  <c r="K39" i="16"/>
  <c r="K79" i="16"/>
  <c r="B37" i="16"/>
  <c r="B63" i="16"/>
  <c r="B89" i="16"/>
  <c r="K36" i="16"/>
  <c r="E20" i="16"/>
  <c r="B49" i="16"/>
  <c r="B79" i="16"/>
  <c r="K67" i="16"/>
  <c r="K63" i="16"/>
  <c r="B78" i="16"/>
  <c r="K77" i="16"/>
  <c r="B100" i="16"/>
  <c r="K43" i="16"/>
  <c r="K73" i="16"/>
  <c r="B83" i="16"/>
  <c r="B36" i="16"/>
  <c r="E93" i="16"/>
  <c r="E33" i="16"/>
  <c r="E22" i="16"/>
  <c r="E58" i="16"/>
  <c r="B29" i="16"/>
  <c r="K66" i="16"/>
  <c r="B13" i="16"/>
  <c r="B99" i="16"/>
  <c r="K50" i="16"/>
  <c r="B65" i="16"/>
  <c r="K38" i="16"/>
  <c r="B60" i="16"/>
  <c r="B15" i="16"/>
  <c r="B23" i="16"/>
  <c r="K94" i="16"/>
  <c r="B71" i="16"/>
  <c r="B40" i="16"/>
  <c r="K61" i="16"/>
  <c r="F101" i="9"/>
  <c r="R11" i="5"/>
  <c r="F11" i="5"/>
  <c r="AB11" i="14"/>
  <c r="AB10" i="14"/>
  <c r="AB9" i="14"/>
  <c r="AB8" i="14"/>
  <c r="AB7" i="14"/>
  <c r="AB6" i="14"/>
  <c r="AA11" i="14"/>
  <c r="AA10" i="14"/>
  <c r="AA9" i="14"/>
  <c r="AA8" i="14"/>
  <c r="AA7" i="14"/>
  <c r="AA6" i="14"/>
  <c r="AB9" i="13"/>
  <c r="AB8" i="13"/>
  <c r="AB7" i="13"/>
  <c r="AB6" i="13"/>
  <c r="AA9" i="13"/>
  <c r="AA10" i="13" s="1"/>
  <c r="AA8" i="13"/>
  <c r="AA7" i="13"/>
  <c r="AA6" i="13"/>
  <c r="AB11" i="13"/>
  <c r="K58" i="16" l="1"/>
  <c r="K12" i="16"/>
  <c r="B68" i="16"/>
  <c r="K69" i="16"/>
  <c r="K92" i="16"/>
  <c r="K45" i="16"/>
  <c r="B34" i="16"/>
  <c r="B58" i="16"/>
  <c r="B12" i="16"/>
  <c r="K68" i="16"/>
  <c r="B69" i="16"/>
  <c r="B92" i="16"/>
  <c r="B45" i="16"/>
  <c r="K34" i="16"/>
  <c r="B22" i="16"/>
  <c r="B44" i="16"/>
  <c r="K70" i="16"/>
  <c r="N103" i="16"/>
  <c r="K22" i="16"/>
  <c r="K44" i="16"/>
  <c r="B70" i="16"/>
  <c r="B6" i="16"/>
  <c r="B33" i="16"/>
  <c r="B21" i="16"/>
  <c r="K81" i="16"/>
  <c r="K93" i="16"/>
  <c r="B82" i="16"/>
  <c r="B93" i="16"/>
  <c r="K82" i="16"/>
  <c r="K32" i="16"/>
  <c r="B81" i="16"/>
  <c r="K33" i="16"/>
  <c r="K21" i="16"/>
  <c r="B32" i="16"/>
  <c r="B20" i="16"/>
  <c r="B35" i="16"/>
  <c r="K20" i="16"/>
  <c r="K35" i="16"/>
  <c r="AB10" i="13"/>
  <c r="AA11" i="13"/>
  <c r="T11" i="13" l="1"/>
  <c r="U11" i="14"/>
  <c r="U10" i="14"/>
  <c r="T11" i="14"/>
  <c r="T10" i="14"/>
  <c r="U11" i="13"/>
  <c r="U10" i="13"/>
  <c r="H11" i="14"/>
  <c r="H10" i="14"/>
  <c r="H11" i="13"/>
  <c r="H10" i="13"/>
  <c r="C11" i="14"/>
  <c r="C10" i="14"/>
  <c r="C11" i="13"/>
  <c r="C10" i="13"/>
  <c r="D18" i="11"/>
  <c r="C18" i="11" l="1"/>
  <c r="G16" i="9" s="1"/>
  <c r="D10" i="11"/>
  <c r="D12" i="11"/>
  <c r="D15" i="11"/>
  <c r="D17" i="11"/>
  <c r="D22" i="11"/>
  <c r="D24" i="11"/>
  <c r="D27" i="11"/>
  <c r="D34" i="11"/>
  <c r="D36" i="11"/>
  <c r="D39" i="11"/>
  <c r="D46" i="11"/>
  <c r="D48" i="11"/>
  <c r="D51" i="11"/>
  <c r="D58" i="11"/>
  <c r="D60" i="11"/>
  <c r="D63" i="11"/>
  <c r="D70" i="11"/>
  <c r="D72" i="11"/>
  <c r="D75" i="11"/>
  <c r="D82" i="11"/>
  <c r="D84" i="11"/>
  <c r="D87" i="11"/>
  <c r="D94" i="11"/>
  <c r="D96" i="11"/>
  <c r="D99" i="11"/>
  <c r="D9" i="11"/>
  <c r="D11" i="11"/>
  <c r="D13" i="11"/>
  <c r="D14" i="11"/>
  <c r="D16" i="11"/>
  <c r="D19" i="11"/>
  <c r="D20" i="11"/>
  <c r="D21" i="11"/>
  <c r="D23" i="11"/>
  <c r="D25" i="11"/>
  <c r="D26" i="11"/>
  <c r="D28" i="11"/>
  <c r="D29" i="11"/>
  <c r="D30" i="11"/>
  <c r="D31" i="11"/>
  <c r="D32" i="11"/>
  <c r="D33" i="11"/>
  <c r="D35" i="11"/>
  <c r="D37" i="11"/>
  <c r="D38" i="11"/>
  <c r="D40" i="11"/>
  <c r="D41" i="11"/>
  <c r="D42" i="11"/>
  <c r="D43" i="11"/>
  <c r="D44" i="11"/>
  <c r="D45" i="11"/>
  <c r="D47" i="11"/>
  <c r="D49" i="11"/>
  <c r="D50" i="11"/>
  <c r="D52" i="11"/>
  <c r="D53" i="11"/>
  <c r="D54" i="11"/>
  <c r="D55" i="11"/>
  <c r="D56" i="11"/>
  <c r="D57" i="11"/>
  <c r="D59" i="11"/>
  <c r="D61" i="11"/>
  <c r="D62" i="11"/>
  <c r="D64" i="11"/>
  <c r="D65" i="11"/>
  <c r="D66" i="11"/>
  <c r="D67" i="11"/>
  <c r="D68" i="11"/>
  <c r="D69" i="11"/>
  <c r="D71" i="11"/>
  <c r="D73" i="11"/>
  <c r="D74" i="11"/>
  <c r="D76" i="11"/>
  <c r="D77" i="11"/>
  <c r="D78" i="11"/>
  <c r="D79" i="11"/>
  <c r="D80" i="11"/>
  <c r="D81" i="11"/>
  <c r="D83" i="11"/>
  <c r="D85" i="11"/>
  <c r="D86" i="11"/>
  <c r="D88" i="11"/>
  <c r="D89" i="11"/>
  <c r="D90" i="11"/>
  <c r="D91" i="11"/>
  <c r="D92" i="11"/>
  <c r="D93" i="11"/>
  <c r="D95" i="11"/>
  <c r="D97" i="11"/>
  <c r="D98" i="11"/>
  <c r="D100" i="11"/>
  <c r="D101" i="11"/>
  <c r="D102" i="11"/>
  <c r="D8" i="11"/>
  <c r="D7" i="11"/>
  <c r="D6" i="11"/>
  <c r="K18" i="27" l="1"/>
  <c r="L18" i="27" s="1"/>
  <c r="O18" i="16" s="1"/>
  <c r="K18" i="29"/>
  <c r="L18" i="29" s="1"/>
  <c r="N24" i="5" s="1"/>
  <c r="H16" i="9"/>
  <c r="F18" i="16" s="1"/>
  <c r="C100" i="11"/>
  <c r="G98" i="9" s="1"/>
  <c r="H98" i="9" s="1"/>
  <c r="C67" i="11"/>
  <c r="G65" i="9" s="1"/>
  <c r="H65" i="9" s="1"/>
  <c r="F67" i="16" s="1"/>
  <c r="C35" i="11"/>
  <c r="G33" i="9" s="1"/>
  <c r="H33" i="9" s="1"/>
  <c r="F35" i="16" s="1"/>
  <c r="C19" i="11"/>
  <c r="G17" i="9" s="1"/>
  <c r="C27" i="11"/>
  <c r="G25" i="9" s="1"/>
  <c r="C81" i="11"/>
  <c r="G79" i="9" s="1"/>
  <c r="C50" i="11"/>
  <c r="G48" i="9" s="1"/>
  <c r="C16" i="11"/>
  <c r="G14" i="9" s="1"/>
  <c r="C24" i="11"/>
  <c r="G22" i="9" s="1"/>
  <c r="H22" i="9" s="1"/>
  <c r="C80" i="11"/>
  <c r="G78" i="9" s="1"/>
  <c r="C49" i="11"/>
  <c r="G47" i="9" s="1"/>
  <c r="C14" i="11"/>
  <c r="G12" i="9" s="1"/>
  <c r="C22" i="11"/>
  <c r="G20" i="9" s="1"/>
  <c r="C79" i="11"/>
  <c r="G77" i="9" s="1"/>
  <c r="C47" i="11"/>
  <c r="G45" i="9" s="1"/>
  <c r="C13" i="11"/>
  <c r="G11" i="9" s="1"/>
  <c r="C17" i="11"/>
  <c r="G15" i="9" s="1"/>
  <c r="C78" i="11"/>
  <c r="G76" i="9" s="1"/>
  <c r="C45" i="11"/>
  <c r="G43" i="9" s="1"/>
  <c r="C11" i="11"/>
  <c r="G9" i="9" s="1"/>
  <c r="H9" i="9" s="1"/>
  <c r="C15" i="11"/>
  <c r="G13" i="9" s="1"/>
  <c r="K15" i="29" s="1"/>
  <c r="L15" i="29" s="1"/>
  <c r="C77" i="11"/>
  <c r="G75" i="9" s="1"/>
  <c r="C44" i="11"/>
  <c r="G42" i="9" s="1"/>
  <c r="K44" i="27" s="1"/>
  <c r="L44" i="27" s="1"/>
  <c r="C9" i="11"/>
  <c r="G7" i="9" s="1"/>
  <c r="C12" i="11"/>
  <c r="G10" i="9" s="1"/>
  <c r="C91" i="11"/>
  <c r="G89" i="9" s="1"/>
  <c r="H89" i="9" s="1"/>
  <c r="G97" i="5" s="1"/>
  <c r="C43" i="11"/>
  <c r="G41" i="9" s="1"/>
  <c r="H41" i="9" s="1"/>
  <c r="C8" i="11"/>
  <c r="G6" i="9" s="1"/>
  <c r="C88" i="11"/>
  <c r="G86" i="9" s="1"/>
  <c r="C71" i="11"/>
  <c r="G69" i="9" s="1"/>
  <c r="H69" i="9" s="1"/>
  <c r="C55" i="11"/>
  <c r="G53" i="9" s="1"/>
  <c r="K55" i="29" s="1"/>
  <c r="L55" i="29" s="1"/>
  <c r="C40" i="11"/>
  <c r="G38" i="9" s="1"/>
  <c r="H38" i="9" s="1"/>
  <c r="C23" i="11"/>
  <c r="G21" i="9" s="1"/>
  <c r="C87" i="11"/>
  <c r="G85" i="9" s="1"/>
  <c r="C39" i="11"/>
  <c r="G37" i="9" s="1"/>
  <c r="C86" i="11"/>
  <c r="G84" i="9" s="1"/>
  <c r="C54" i="11"/>
  <c r="G52" i="9" s="1"/>
  <c r="C38" i="11"/>
  <c r="G36" i="9" s="1"/>
  <c r="H36" i="9" s="1"/>
  <c r="G44" i="5" s="1"/>
  <c r="C21" i="11"/>
  <c r="G19" i="9" s="1"/>
  <c r="H19" i="9" s="1"/>
  <c r="F21" i="16" s="1"/>
  <c r="C84" i="11"/>
  <c r="G82" i="9" s="1"/>
  <c r="C36" i="11"/>
  <c r="G34" i="9" s="1"/>
  <c r="C83" i="11"/>
  <c r="G81" i="9" s="1"/>
  <c r="C52" i="11"/>
  <c r="G50" i="9" s="1"/>
  <c r="C75" i="11"/>
  <c r="G73" i="9" s="1"/>
  <c r="H73" i="9" s="1"/>
  <c r="C98" i="11"/>
  <c r="G96" i="9" s="1"/>
  <c r="C66" i="11"/>
  <c r="G64" i="9" s="1"/>
  <c r="C33" i="11"/>
  <c r="G31" i="9" s="1"/>
  <c r="C72" i="11"/>
  <c r="G70" i="9" s="1"/>
  <c r="C97" i="11"/>
  <c r="G95" i="9" s="1"/>
  <c r="C65" i="11"/>
  <c r="G63" i="9" s="1"/>
  <c r="C32" i="11"/>
  <c r="G30" i="9" s="1"/>
  <c r="C70" i="11"/>
  <c r="G68" i="9" s="1"/>
  <c r="C95" i="11"/>
  <c r="G93" i="9" s="1"/>
  <c r="C64" i="11"/>
  <c r="G62" i="9" s="1"/>
  <c r="C31" i="11"/>
  <c r="G29" i="9" s="1"/>
  <c r="C63" i="11"/>
  <c r="G61" i="9" s="1"/>
  <c r="H61" i="9" s="1"/>
  <c r="C93" i="11"/>
  <c r="G91" i="9" s="1"/>
  <c r="H91" i="9" s="1"/>
  <c r="G99" i="5" s="1"/>
  <c r="C62" i="11"/>
  <c r="G60" i="9" s="1"/>
  <c r="C30" i="11"/>
  <c r="G28" i="9" s="1"/>
  <c r="H28" i="9" s="1"/>
  <c r="C60" i="11"/>
  <c r="G58" i="9" s="1"/>
  <c r="C92" i="11"/>
  <c r="G90" i="9" s="1"/>
  <c r="C61" i="11"/>
  <c r="G59" i="9" s="1"/>
  <c r="H59" i="9" s="1"/>
  <c r="G67" i="5" s="1"/>
  <c r="C29" i="11"/>
  <c r="G27" i="9" s="1"/>
  <c r="H27" i="9" s="1"/>
  <c r="G35" i="5" s="1"/>
  <c r="C58" i="11"/>
  <c r="G56" i="9" s="1"/>
  <c r="C76" i="11"/>
  <c r="G74" i="9" s="1"/>
  <c r="C59" i="11"/>
  <c r="G57" i="9" s="1"/>
  <c r="H57" i="9" s="1"/>
  <c r="G65" i="5" s="1"/>
  <c r="C28" i="11"/>
  <c r="G26" i="9" s="1"/>
  <c r="C99" i="11"/>
  <c r="G97" i="9" s="1"/>
  <c r="H97" i="9" s="1"/>
  <c r="C51" i="11"/>
  <c r="G49" i="9" s="1"/>
  <c r="H49" i="9" s="1"/>
  <c r="C10" i="11"/>
  <c r="G8" i="9" s="1"/>
  <c r="C6" i="11"/>
  <c r="G4" i="9" s="1"/>
  <c r="C90" i="11"/>
  <c r="G88" i="9" s="1"/>
  <c r="C74" i="11"/>
  <c r="G72" i="9" s="1"/>
  <c r="C57" i="11"/>
  <c r="G55" i="9" s="1"/>
  <c r="H55" i="9" s="1"/>
  <c r="C42" i="11"/>
  <c r="G40" i="9" s="1"/>
  <c r="C26" i="11"/>
  <c r="G24" i="9" s="1"/>
  <c r="C96" i="11"/>
  <c r="G94" i="9" s="1"/>
  <c r="C48" i="11"/>
  <c r="G46" i="9" s="1"/>
  <c r="C7" i="11"/>
  <c r="G5" i="9" s="1"/>
  <c r="C89" i="11"/>
  <c r="G87" i="9" s="1"/>
  <c r="C73" i="11"/>
  <c r="G71" i="9" s="1"/>
  <c r="C56" i="11"/>
  <c r="G54" i="9" s="1"/>
  <c r="C41" i="11"/>
  <c r="G39" i="9" s="1"/>
  <c r="C25" i="11"/>
  <c r="G23" i="9" s="1"/>
  <c r="C94" i="11"/>
  <c r="G92" i="9" s="1"/>
  <c r="C46" i="11"/>
  <c r="G44" i="9" s="1"/>
  <c r="C102" i="11"/>
  <c r="G100" i="9" s="1"/>
  <c r="H100" i="9" s="1"/>
  <c r="C69" i="11"/>
  <c r="G67" i="9" s="1"/>
  <c r="H67" i="9" s="1"/>
  <c r="G75" i="5" s="1"/>
  <c r="C101" i="11"/>
  <c r="G99" i="9" s="1"/>
  <c r="C85" i="11"/>
  <c r="G83" i="9" s="1"/>
  <c r="C68" i="11"/>
  <c r="G66" i="9" s="1"/>
  <c r="C53" i="11"/>
  <c r="G51" i="9" s="1"/>
  <c r="H51" i="9" s="1"/>
  <c r="C37" i="11"/>
  <c r="G35" i="9" s="1"/>
  <c r="K37" i="29" s="1"/>
  <c r="L37" i="29" s="1"/>
  <c r="C20" i="11"/>
  <c r="G18" i="9" s="1"/>
  <c r="C82" i="11"/>
  <c r="G80" i="9" s="1"/>
  <c r="K82" i="29" s="1"/>
  <c r="L82" i="29" s="1"/>
  <c r="C34" i="11"/>
  <c r="G32" i="9" s="1"/>
  <c r="K100" i="29"/>
  <c r="L100" i="29" s="1"/>
  <c r="K100" i="27"/>
  <c r="L100" i="27" s="1"/>
  <c r="K91" i="29"/>
  <c r="L91" i="29" s="1"/>
  <c r="K91" i="27"/>
  <c r="L91" i="27" s="1"/>
  <c r="K67" i="29"/>
  <c r="L67" i="29" s="1"/>
  <c r="K67" i="27"/>
  <c r="L67" i="27" s="1"/>
  <c r="K35" i="27"/>
  <c r="L35" i="27" s="1"/>
  <c r="K22" i="29" l="1"/>
  <c r="L22" i="29" s="1"/>
  <c r="N28" i="5" s="1"/>
  <c r="K22" i="27"/>
  <c r="L22" i="27" s="1"/>
  <c r="S28" i="5" s="1"/>
  <c r="H20" i="9"/>
  <c r="G28" i="5" s="1"/>
  <c r="K29" i="27"/>
  <c r="L29" i="27" s="1"/>
  <c r="S35" i="5" s="1"/>
  <c r="K29" i="29"/>
  <c r="L29" i="29" s="1"/>
  <c r="R29" i="16" s="1"/>
  <c r="K35" i="29"/>
  <c r="L35" i="29" s="1"/>
  <c r="I35" i="16" s="1"/>
  <c r="H53" i="9"/>
  <c r="G61" i="5" s="1"/>
  <c r="K55" i="27"/>
  <c r="L55" i="27" s="1"/>
  <c r="S61" i="5" s="1"/>
  <c r="S24" i="5"/>
  <c r="K68" i="29"/>
  <c r="L68" i="29" s="1"/>
  <c r="N74" i="5" s="1"/>
  <c r="K68" i="27"/>
  <c r="L68" i="27" s="1"/>
  <c r="S74" i="5" s="1"/>
  <c r="H66" i="9"/>
  <c r="F68" i="16" s="1"/>
  <c r="K28" i="27"/>
  <c r="L28" i="27" s="1"/>
  <c r="S34" i="5" s="1"/>
  <c r="H26" i="9"/>
  <c r="F28" i="16" s="1"/>
  <c r="K28" i="29"/>
  <c r="L28" i="29" s="1"/>
  <c r="R28" i="16" s="1"/>
  <c r="K92" i="29"/>
  <c r="L92" i="29" s="1"/>
  <c r="N98" i="5" s="1"/>
  <c r="H90" i="9"/>
  <c r="F92" i="16" s="1"/>
  <c r="K92" i="27"/>
  <c r="L92" i="27" s="1"/>
  <c r="O92" i="16" s="1"/>
  <c r="K45" i="27"/>
  <c r="L45" i="27" s="1"/>
  <c r="O45" i="16" s="1"/>
  <c r="H43" i="9"/>
  <c r="F45" i="16" s="1"/>
  <c r="K45" i="29"/>
  <c r="L45" i="29" s="1"/>
  <c r="N51" i="5" s="1"/>
  <c r="K50" i="27"/>
  <c r="L50" i="27" s="1"/>
  <c r="S56" i="5" s="1"/>
  <c r="H48" i="9"/>
  <c r="F50" i="16" s="1"/>
  <c r="K50" i="29"/>
  <c r="L50" i="29" s="1"/>
  <c r="I50" i="16" s="1"/>
  <c r="K97" i="27"/>
  <c r="L97" i="27" s="1"/>
  <c r="S103" i="5" s="1"/>
  <c r="H95" i="9"/>
  <c r="F97" i="16" s="1"/>
  <c r="K97" i="29"/>
  <c r="L97" i="29" s="1"/>
  <c r="N103" i="5" s="1"/>
  <c r="H52" i="9"/>
  <c r="F54" i="16" s="1"/>
  <c r="K54" i="27"/>
  <c r="L54" i="27" s="1"/>
  <c r="S60" i="5" s="1"/>
  <c r="K54" i="29"/>
  <c r="L54" i="29" s="1"/>
  <c r="N60" i="5" s="1"/>
  <c r="H10" i="9"/>
  <c r="F12" i="16" s="1"/>
  <c r="K12" i="29"/>
  <c r="L12" i="29" s="1"/>
  <c r="N18" i="5" s="1"/>
  <c r="K12" i="27"/>
  <c r="L12" i="27" s="1"/>
  <c r="S18" i="5" s="1"/>
  <c r="K7" i="27"/>
  <c r="L7" i="27" s="1"/>
  <c r="O7" i="16" s="1"/>
  <c r="H5" i="9"/>
  <c r="F7" i="16" s="1"/>
  <c r="K7" i="29"/>
  <c r="L7" i="29" s="1"/>
  <c r="N13" i="5" s="1"/>
  <c r="K31" i="27"/>
  <c r="L31" i="27" s="1"/>
  <c r="S37" i="5" s="1"/>
  <c r="H29" i="9"/>
  <c r="G37" i="5" s="1"/>
  <c r="K31" i="29"/>
  <c r="L31" i="29" s="1"/>
  <c r="R31" i="16" s="1"/>
  <c r="H92" i="9"/>
  <c r="G100" i="5" s="1"/>
  <c r="K94" i="29"/>
  <c r="L94" i="29" s="1"/>
  <c r="N100" i="5" s="1"/>
  <c r="K94" i="27"/>
  <c r="L94" i="27" s="1"/>
  <c r="S100" i="5" s="1"/>
  <c r="K74" i="27"/>
  <c r="L74" i="27" s="1"/>
  <c r="O74" i="16" s="1"/>
  <c r="H72" i="9"/>
  <c r="G80" i="5" s="1"/>
  <c r="K74" i="29"/>
  <c r="L74" i="29" s="1"/>
  <c r="N80" i="5" s="1"/>
  <c r="K52" i="29"/>
  <c r="L52" i="29" s="1"/>
  <c r="N58" i="5" s="1"/>
  <c r="K52" i="27"/>
  <c r="L52" i="27" s="1"/>
  <c r="O52" i="16" s="1"/>
  <c r="H50" i="9"/>
  <c r="F52" i="16" s="1"/>
  <c r="I18" i="16"/>
  <c r="K21" i="27"/>
  <c r="L21" i="27" s="1"/>
  <c r="S27" i="5" s="1"/>
  <c r="K43" i="27"/>
  <c r="L43" i="27" s="1"/>
  <c r="S49" i="5" s="1"/>
  <c r="K61" i="27"/>
  <c r="L61" i="27" s="1"/>
  <c r="S67" i="5" s="1"/>
  <c r="G24" i="5"/>
  <c r="K11" i="27"/>
  <c r="L11" i="27" s="1"/>
  <c r="S17" i="5" s="1"/>
  <c r="K38" i="27"/>
  <c r="L38" i="27" s="1"/>
  <c r="S44" i="5" s="1"/>
  <c r="K11" i="29"/>
  <c r="L11" i="29" s="1"/>
  <c r="N17" i="5" s="1"/>
  <c r="K38" i="29"/>
  <c r="L38" i="29" s="1"/>
  <c r="R38" i="16" s="1"/>
  <c r="R18" i="16"/>
  <c r="K21" i="29"/>
  <c r="L21" i="29" s="1"/>
  <c r="I21" i="16" s="1"/>
  <c r="K43" i="29"/>
  <c r="L43" i="29" s="1"/>
  <c r="N49" i="5" s="1"/>
  <c r="K48" i="29"/>
  <c r="L48" i="29" s="1"/>
  <c r="I48" i="16" s="1"/>
  <c r="K48" i="27"/>
  <c r="L48" i="27" s="1"/>
  <c r="S54" i="5" s="1"/>
  <c r="H46" i="9"/>
  <c r="F48" i="16" s="1"/>
  <c r="K49" i="29"/>
  <c r="L49" i="29" s="1"/>
  <c r="R49" i="16" s="1"/>
  <c r="H47" i="9"/>
  <c r="F49" i="16" s="1"/>
  <c r="K49" i="27"/>
  <c r="L49" i="27" s="1"/>
  <c r="O49" i="16" s="1"/>
  <c r="H32" i="9"/>
  <c r="G40" i="5" s="1"/>
  <c r="K34" i="29"/>
  <c r="L34" i="29" s="1"/>
  <c r="N40" i="5" s="1"/>
  <c r="K34" i="27"/>
  <c r="L34" i="27" s="1"/>
  <c r="S40" i="5" s="1"/>
  <c r="K96" i="29"/>
  <c r="L96" i="29" s="1"/>
  <c r="N102" i="5" s="1"/>
  <c r="H94" i="9"/>
  <c r="F96" i="16" s="1"/>
  <c r="K96" i="27"/>
  <c r="L96" i="27" s="1"/>
  <c r="S102" i="5" s="1"/>
  <c r="H60" i="9"/>
  <c r="F62" i="16" s="1"/>
  <c r="K62" i="29"/>
  <c r="L62" i="29" s="1"/>
  <c r="I62" i="16" s="1"/>
  <c r="K62" i="27"/>
  <c r="L62" i="27" s="1"/>
  <c r="S68" i="5" s="1"/>
  <c r="H78" i="9"/>
  <c r="G86" i="5" s="1"/>
  <c r="K80" i="29"/>
  <c r="L80" i="29" s="1"/>
  <c r="R80" i="16" s="1"/>
  <c r="K80" i="27"/>
  <c r="L80" i="27" s="1"/>
  <c r="S86" i="5" s="1"/>
  <c r="K26" i="29"/>
  <c r="L26" i="29" s="1"/>
  <c r="N32" i="5" s="1"/>
  <c r="K26" i="27"/>
  <c r="L26" i="27" s="1"/>
  <c r="S32" i="5" s="1"/>
  <c r="H24" i="9"/>
  <c r="F26" i="16" s="1"/>
  <c r="K33" i="29"/>
  <c r="L33" i="29" s="1"/>
  <c r="R33" i="16" s="1"/>
  <c r="K33" i="27"/>
  <c r="L33" i="27" s="1"/>
  <c r="S39" i="5" s="1"/>
  <c r="H31" i="9"/>
  <c r="F33" i="16" s="1"/>
  <c r="K76" i="27"/>
  <c r="L76" i="27" s="1"/>
  <c r="O76" i="16" s="1"/>
  <c r="H74" i="9"/>
  <c r="G82" i="5" s="1"/>
  <c r="K76" i="29"/>
  <c r="L76" i="29" s="1"/>
  <c r="I76" i="16" s="1"/>
  <c r="K66" i="29"/>
  <c r="L66" i="29" s="1"/>
  <c r="R66" i="16" s="1"/>
  <c r="K66" i="27"/>
  <c r="L66" i="27" s="1"/>
  <c r="S72" i="5" s="1"/>
  <c r="H64" i="9"/>
  <c r="F66" i="16" s="1"/>
  <c r="H84" i="9"/>
  <c r="F86" i="16" s="1"/>
  <c r="K86" i="29"/>
  <c r="L86" i="29" s="1"/>
  <c r="N92" i="5" s="1"/>
  <c r="K86" i="27"/>
  <c r="L86" i="27" s="1"/>
  <c r="O86" i="16" s="1"/>
  <c r="H15" i="9"/>
  <c r="G23" i="5" s="1"/>
  <c r="K17" i="29"/>
  <c r="L17" i="29" s="1"/>
  <c r="I17" i="16" s="1"/>
  <c r="K17" i="27"/>
  <c r="L17" i="27" s="1"/>
  <c r="S23" i="5" s="1"/>
  <c r="K25" i="29"/>
  <c r="L25" i="29" s="1"/>
  <c r="R25" i="16" s="1"/>
  <c r="K25" i="27"/>
  <c r="L25" i="27" s="1"/>
  <c r="S31" i="5" s="1"/>
  <c r="H23" i="9"/>
  <c r="G31" i="5" s="1"/>
  <c r="K58" i="29"/>
  <c r="L58" i="29" s="1"/>
  <c r="N64" i="5" s="1"/>
  <c r="K58" i="27"/>
  <c r="L58" i="27" s="1"/>
  <c r="O58" i="16" s="1"/>
  <c r="H56" i="9"/>
  <c r="F58" i="16" s="1"/>
  <c r="K39" i="29"/>
  <c r="L39" i="29" s="1"/>
  <c r="N45" i="5" s="1"/>
  <c r="K39" i="27"/>
  <c r="L39" i="27" s="1"/>
  <c r="S45" i="5" s="1"/>
  <c r="H37" i="9"/>
  <c r="G45" i="5" s="1"/>
  <c r="K41" i="29"/>
  <c r="L41" i="29" s="1"/>
  <c r="I41" i="16" s="1"/>
  <c r="K41" i="27"/>
  <c r="L41" i="27" s="1"/>
  <c r="S47" i="5" s="1"/>
  <c r="H39" i="9"/>
  <c r="G47" i="5" s="1"/>
  <c r="K87" i="29"/>
  <c r="L87" i="29" s="1"/>
  <c r="R87" i="16" s="1"/>
  <c r="K87" i="27"/>
  <c r="L87" i="27" s="1"/>
  <c r="S93" i="5" s="1"/>
  <c r="H85" i="9"/>
  <c r="F87" i="16" s="1"/>
  <c r="K81" i="29"/>
  <c r="L81" i="29" s="1"/>
  <c r="N87" i="5" s="1"/>
  <c r="K81" i="27"/>
  <c r="L81" i="27" s="1"/>
  <c r="O81" i="16" s="1"/>
  <c r="H79" i="9"/>
  <c r="G87" i="5" s="1"/>
  <c r="H54" i="9"/>
  <c r="G62" i="5" s="1"/>
  <c r="K56" i="29"/>
  <c r="L56" i="29" s="1"/>
  <c r="R56" i="16" s="1"/>
  <c r="K56" i="27"/>
  <c r="L56" i="27" s="1"/>
  <c r="S62" i="5" s="1"/>
  <c r="K90" i="29"/>
  <c r="L90" i="29" s="1"/>
  <c r="R90" i="16" s="1"/>
  <c r="K90" i="27"/>
  <c r="L90" i="27" s="1"/>
  <c r="S96" i="5" s="1"/>
  <c r="H88" i="9"/>
  <c r="F90" i="16" s="1"/>
  <c r="K95" i="27"/>
  <c r="L95" i="27" s="1"/>
  <c r="O95" i="16" s="1"/>
  <c r="K95" i="29"/>
  <c r="L95" i="29" s="1"/>
  <c r="R95" i="16" s="1"/>
  <c r="H93" i="9"/>
  <c r="G101" i="5" s="1"/>
  <c r="H7" i="9"/>
  <c r="G15" i="5" s="1"/>
  <c r="K9" i="29"/>
  <c r="L9" i="29" s="1"/>
  <c r="I9" i="16" s="1"/>
  <c r="K9" i="27"/>
  <c r="L9" i="27" s="1"/>
  <c r="O9" i="16" s="1"/>
  <c r="H25" i="9"/>
  <c r="F27" i="16" s="1"/>
  <c r="K27" i="29"/>
  <c r="L27" i="29" s="1"/>
  <c r="I27" i="16" s="1"/>
  <c r="K27" i="27"/>
  <c r="L27" i="27" s="1"/>
  <c r="S33" i="5" s="1"/>
  <c r="H17" i="9"/>
  <c r="G25" i="5" s="1"/>
  <c r="K19" i="29"/>
  <c r="L19" i="29" s="1"/>
  <c r="R19" i="16" s="1"/>
  <c r="K19" i="27"/>
  <c r="L19" i="27" s="1"/>
  <c r="S25" i="5" s="1"/>
  <c r="H83" i="9"/>
  <c r="G91" i="5" s="1"/>
  <c r="K85" i="29"/>
  <c r="L85" i="29" s="1"/>
  <c r="I85" i="16" s="1"/>
  <c r="K85" i="27"/>
  <c r="L85" i="27" s="1"/>
  <c r="S91" i="5" s="1"/>
  <c r="K10" i="27"/>
  <c r="L10" i="27" s="1"/>
  <c r="S16" i="5" s="1"/>
  <c r="K10" i="29"/>
  <c r="L10" i="29" s="1"/>
  <c r="R10" i="16" s="1"/>
  <c r="H8" i="9"/>
  <c r="G16" i="5" s="1"/>
  <c r="H99" i="9"/>
  <c r="F101" i="16" s="1"/>
  <c r="K101" i="27"/>
  <c r="L101" i="27" s="1"/>
  <c r="S107" i="5" s="1"/>
  <c r="K101" i="29"/>
  <c r="L101" i="29" s="1"/>
  <c r="N107" i="5" s="1"/>
  <c r="H58" i="9"/>
  <c r="F60" i="16" s="1"/>
  <c r="K60" i="29"/>
  <c r="L60" i="29" s="1"/>
  <c r="N66" i="5" s="1"/>
  <c r="K60" i="27"/>
  <c r="L60" i="27" s="1"/>
  <c r="S66" i="5" s="1"/>
  <c r="H34" i="9"/>
  <c r="G42" i="5" s="1"/>
  <c r="K36" i="29"/>
  <c r="L36" i="29" s="1"/>
  <c r="I36" i="16" s="1"/>
  <c r="K36" i="27"/>
  <c r="L36" i="27" s="1"/>
  <c r="S42" i="5" s="1"/>
  <c r="H75" i="9"/>
  <c r="F77" i="16" s="1"/>
  <c r="K77" i="29"/>
  <c r="L77" i="29" s="1"/>
  <c r="N83" i="5" s="1"/>
  <c r="K77" i="27"/>
  <c r="L77" i="27" s="1"/>
  <c r="O77" i="16" s="1"/>
  <c r="K88" i="29"/>
  <c r="L88" i="29" s="1"/>
  <c r="N94" i="5" s="1"/>
  <c r="K88" i="27"/>
  <c r="L88" i="27" s="1"/>
  <c r="S94" i="5" s="1"/>
  <c r="H86" i="9"/>
  <c r="F88" i="16" s="1"/>
  <c r="K72" i="29"/>
  <c r="L72" i="29" s="1"/>
  <c r="N78" i="5" s="1"/>
  <c r="K72" i="27"/>
  <c r="L72" i="27" s="1"/>
  <c r="S78" i="5" s="1"/>
  <c r="H70" i="9"/>
  <c r="F72" i="16" s="1"/>
  <c r="K8" i="29"/>
  <c r="L8" i="29" s="1"/>
  <c r="N14" i="5" s="1"/>
  <c r="K8" i="27"/>
  <c r="L8" i="27" s="1"/>
  <c r="O8" i="16" s="1"/>
  <c r="H6" i="9"/>
  <c r="H76" i="9"/>
  <c r="F78" i="16" s="1"/>
  <c r="K78" i="29"/>
  <c r="L78" i="29" s="1"/>
  <c r="N84" i="5" s="1"/>
  <c r="K78" i="27"/>
  <c r="L78" i="27" s="1"/>
  <c r="S84" i="5" s="1"/>
  <c r="K20" i="29"/>
  <c r="L20" i="29" s="1"/>
  <c r="N26" i="5" s="1"/>
  <c r="K20" i="27"/>
  <c r="L20" i="27" s="1"/>
  <c r="S26" i="5" s="1"/>
  <c r="H18" i="9"/>
  <c r="F20" i="16" s="1"/>
  <c r="K64" i="29"/>
  <c r="L64" i="29" s="1"/>
  <c r="R64" i="16" s="1"/>
  <c r="K64" i="27"/>
  <c r="L64" i="27" s="1"/>
  <c r="S70" i="5" s="1"/>
  <c r="H62" i="9"/>
  <c r="F64" i="16" s="1"/>
  <c r="K6" i="29"/>
  <c r="L6" i="29" s="1"/>
  <c r="N12" i="5" s="1"/>
  <c r="K6" i="27"/>
  <c r="L6" i="27" s="1"/>
  <c r="S12" i="5" s="1"/>
  <c r="H4" i="9"/>
  <c r="G12" i="5" s="1"/>
  <c r="K83" i="27"/>
  <c r="L83" i="27" s="1"/>
  <c r="S89" i="5" s="1"/>
  <c r="H81" i="9"/>
  <c r="G89" i="5" s="1"/>
  <c r="K83" i="29"/>
  <c r="L83" i="29" s="1"/>
  <c r="N89" i="5" s="1"/>
  <c r="H82" i="9"/>
  <c r="F84" i="16" s="1"/>
  <c r="K84" i="29"/>
  <c r="L84" i="29" s="1"/>
  <c r="N90" i="5" s="1"/>
  <c r="K84" i="27"/>
  <c r="L84" i="27" s="1"/>
  <c r="O84" i="16" s="1"/>
  <c r="K14" i="29"/>
  <c r="L14" i="29" s="1"/>
  <c r="N20" i="5" s="1"/>
  <c r="H12" i="9"/>
  <c r="F14" i="16" s="1"/>
  <c r="K14" i="27"/>
  <c r="L14" i="27" s="1"/>
  <c r="O14" i="16" s="1"/>
  <c r="K89" i="29"/>
  <c r="L89" i="29" s="1"/>
  <c r="N95" i="5" s="1"/>
  <c r="K89" i="27"/>
  <c r="L89" i="27" s="1"/>
  <c r="O89" i="16" s="1"/>
  <c r="K70" i="29"/>
  <c r="L70" i="29" s="1"/>
  <c r="N76" i="5" s="1"/>
  <c r="K70" i="27"/>
  <c r="L70" i="27" s="1"/>
  <c r="S76" i="5" s="1"/>
  <c r="H68" i="9"/>
  <c r="G76" i="5" s="1"/>
  <c r="K71" i="29"/>
  <c r="L71" i="29" s="1"/>
  <c r="N77" i="5" s="1"/>
  <c r="K71" i="27"/>
  <c r="L71" i="27" s="1"/>
  <c r="S77" i="5" s="1"/>
  <c r="K16" i="29"/>
  <c r="L16" i="29" s="1"/>
  <c r="N22" i="5" s="1"/>
  <c r="K16" i="27"/>
  <c r="L16" i="27" s="1"/>
  <c r="S22" i="5" s="1"/>
  <c r="H30" i="9"/>
  <c r="G38" i="5" s="1"/>
  <c r="K32" i="29"/>
  <c r="L32" i="29" s="1"/>
  <c r="N38" i="5" s="1"/>
  <c r="K32" i="27"/>
  <c r="L32" i="27" s="1"/>
  <c r="S38" i="5" s="1"/>
  <c r="K47" i="27"/>
  <c r="L47" i="27" s="1"/>
  <c r="O47" i="16" s="1"/>
  <c r="K47" i="29"/>
  <c r="L47" i="29" s="1"/>
  <c r="N53" i="5" s="1"/>
  <c r="H14" i="9"/>
  <c r="F16" i="16" s="1"/>
  <c r="K30" i="27"/>
  <c r="L30" i="27" s="1"/>
  <c r="S36" i="5" s="1"/>
  <c r="K69" i="27"/>
  <c r="L69" i="27" s="1"/>
  <c r="O69" i="16" s="1"/>
  <c r="K46" i="29"/>
  <c r="L46" i="29" s="1"/>
  <c r="I46" i="16" s="1"/>
  <c r="K46" i="27"/>
  <c r="L46" i="27" s="1"/>
  <c r="S52" i="5" s="1"/>
  <c r="K65" i="29"/>
  <c r="L65" i="29" s="1"/>
  <c r="N71" i="5" s="1"/>
  <c r="H63" i="9"/>
  <c r="F65" i="16" s="1"/>
  <c r="K65" i="27"/>
  <c r="L65" i="27" s="1"/>
  <c r="S71" i="5" s="1"/>
  <c r="H80" i="9"/>
  <c r="F82" i="16" s="1"/>
  <c r="K44" i="29"/>
  <c r="L44" i="29" s="1"/>
  <c r="N50" i="5" s="1"/>
  <c r="K82" i="27"/>
  <c r="L82" i="27" s="1"/>
  <c r="O82" i="16" s="1"/>
  <c r="K59" i="27"/>
  <c r="L59" i="27" s="1"/>
  <c r="S65" i="5" s="1"/>
  <c r="H35" i="9"/>
  <c r="G43" i="5" s="1"/>
  <c r="K59" i="29"/>
  <c r="L59" i="29" s="1"/>
  <c r="N65" i="5" s="1"/>
  <c r="K102" i="27"/>
  <c r="L102" i="27" s="1"/>
  <c r="S108" i="5" s="1"/>
  <c r="H44" i="9"/>
  <c r="F46" i="16" s="1"/>
  <c r="K102" i="29"/>
  <c r="L102" i="29" s="1"/>
  <c r="N108" i="5" s="1"/>
  <c r="H42" i="9"/>
  <c r="F44" i="16" s="1"/>
  <c r="K23" i="27"/>
  <c r="L23" i="27" s="1"/>
  <c r="S29" i="5" s="1"/>
  <c r="K23" i="29"/>
  <c r="L23" i="29" s="1"/>
  <c r="N29" i="5" s="1"/>
  <c r="K51" i="27"/>
  <c r="L51" i="27" s="1"/>
  <c r="S57" i="5" s="1"/>
  <c r="K37" i="27"/>
  <c r="L37" i="27" s="1"/>
  <c r="S43" i="5" s="1"/>
  <c r="K40" i="29"/>
  <c r="L40" i="29" s="1"/>
  <c r="R40" i="16" s="1"/>
  <c r="K40" i="27"/>
  <c r="L40" i="27" s="1"/>
  <c r="O40" i="16" s="1"/>
  <c r="K51" i="29"/>
  <c r="L51" i="29" s="1"/>
  <c r="N57" i="5" s="1"/>
  <c r="K93" i="27"/>
  <c r="L93" i="27" s="1"/>
  <c r="S99" i="5" s="1"/>
  <c r="K42" i="29"/>
  <c r="L42" i="29" s="1"/>
  <c r="N48" i="5" s="1"/>
  <c r="K42" i="27"/>
  <c r="L42" i="27" s="1"/>
  <c r="S48" i="5" s="1"/>
  <c r="H13" i="9"/>
  <c r="F15" i="16" s="1"/>
  <c r="K15" i="27"/>
  <c r="L15" i="27" s="1"/>
  <c r="S21" i="5" s="1"/>
  <c r="K99" i="27"/>
  <c r="L99" i="27" s="1"/>
  <c r="S105" i="5" s="1"/>
  <c r="K53" i="27"/>
  <c r="L53" i="27" s="1"/>
  <c r="S59" i="5" s="1"/>
  <c r="K93" i="29"/>
  <c r="L93" i="29" s="1"/>
  <c r="N99" i="5" s="1"/>
  <c r="K57" i="29"/>
  <c r="L57" i="29" s="1"/>
  <c r="N63" i="5" s="1"/>
  <c r="K57" i="27"/>
  <c r="L57" i="27" s="1"/>
  <c r="S63" i="5" s="1"/>
  <c r="K13" i="29"/>
  <c r="L13" i="29" s="1"/>
  <c r="I13" i="16" s="1"/>
  <c r="K13" i="27"/>
  <c r="L13" i="27" s="1"/>
  <c r="S19" i="5" s="1"/>
  <c r="H11" i="9"/>
  <c r="G19" i="5" s="1"/>
  <c r="K75" i="27"/>
  <c r="L75" i="27" s="1"/>
  <c r="S81" i="5" s="1"/>
  <c r="K79" i="29"/>
  <c r="L79" i="29" s="1"/>
  <c r="R79" i="16" s="1"/>
  <c r="K79" i="27"/>
  <c r="L79" i="27" s="1"/>
  <c r="S85" i="5" s="1"/>
  <c r="H45" i="9"/>
  <c r="G53" i="5" s="1"/>
  <c r="K75" i="29"/>
  <c r="L75" i="29" s="1"/>
  <c r="N81" i="5" s="1"/>
  <c r="K30" i="29"/>
  <c r="L30" i="29" s="1"/>
  <c r="N36" i="5" s="1"/>
  <c r="K69" i="29"/>
  <c r="L69" i="29" s="1"/>
  <c r="N75" i="5" s="1"/>
  <c r="H77" i="9"/>
  <c r="F79" i="16" s="1"/>
  <c r="K63" i="29"/>
  <c r="L63" i="29" s="1"/>
  <c r="N69" i="5" s="1"/>
  <c r="K63" i="27"/>
  <c r="L63" i="27" s="1"/>
  <c r="O63" i="16" s="1"/>
  <c r="K61" i="29"/>
  <c r="L61" i="29" s="1"/>
  <c r="N67" i="5" s="1"/>
  <c r="H87" i="9"/>
  <c r="F89" i="16" s="1"/>
  <c r="H21" i="9"/>
  <c r="G29" i="5" s="1"/>
  <c r="H40" i="9"/>
  <c r="F42" i="16" s="1"/>
  <c r="K99" i="29"/>
  <c r="L99" i="29" s="1"/>
  <c r="I99" i="16" s="1"/>
  <c r="K53" i="29"/>
  <c r="L53" i="29" s="1"/>
  <c r="N59" i="5" s="1"/>
  <c r="H71" i="9"/>
  <c r="G79" i="5" s="1"/>
  <c r="K73" i="29"/>
  <c r="L73" i="29" s="1"/>
  <c r="I73" i="16" s="1"/>
  <c r="K73" i="27"/>
  <c r="L73" i="27" s="1"/>
  <c r="S79" i="5" s="1"/>
  <c r="K98" i="29"/>
  <c r="L98" i="29" s="1"/>
  <c r="N104" i="5" s="1"/>
  <c r="K98" i="27"/>
  <c r="L98" i="27" s="1"/>
  <c r="S104" i="5" s="1"/>
  <c r="H96" i="9"/>
  <c r="G104" i="5" s="1"/>
  <c r="K24" i="29"/>
  <c r="L24" i="29" s="1"/>
  <c r="I24" i="16" s="1"/>
  <c r="K24" i="27"/>
  <c r="L24" i="27" s="1"/>
  <c r="S30" i="5" s="1"/>
  <c r="N21" i="5"/>
  <c r="I15" i="16"/>
  <c r="R15" i="16"/>
  <c r="N88" i="5"/>
  <c r="R82" i="16"/>
  <c r="I82" i="16"/>
  <c r="N35" i="5"/>
  <c r="I29" i="16"/>
  <c r="S41" i="5"/>
  <c r="O35" i="16"/>
  <c r="N43" i="5"/>
  <c r="I37" i="16"/>
  <c r="R37" i="16"/>
  <c r="S50" i="5"/>
  <c r="O44" i="16"/>
  <c r="N61" i="5"/>
  <c r="I55" i="16"/>
  <c r="R55" i="16"/>
  <c r="S73" i="5"/>
  <c r="O67" i="16"/>
  <c r="N73" i="5"/>
  <c r="R67" i="16"/>
  <c r="I67" i="16"/>
  <c r="S97" i="5"/>
  <c r="O91" i="16"/>
  <c r="N97" i="5"/>
  <c r="R91" i="16"/>
  <c r="I91" i="16"/>
  <c r="S106" i="5"/>
  <c r="O100" i="16"/>
  <c r="N106" i="5"/>
  <c r="I100" i="16"/>
  <c r="R100" i="16"/>
  <c r="F91" i="16"/>
  <c r="F43" i="16"/>
  <c r="G49" i="5"/>
  <c r="G73" i="5"/>
  <c r="F38" i="16"/>
  <c r="G41" i="5"/>
  <c r="G27" i="5"/>
  <c r="F61" i="16"/>
  <c r="F63" i="16"/>
  <c r="G69" i="5"/>
  <c r="G30" i="5"/>
  <c r="F24" i="16"/>
  <c r="F11" i="16"/>
  <c r="G17" i="5"/>
  <c r="F75" i="16"/>
  <c r="G81" i="5"/>
  <c r="F57" i="16"/>
  <c r="G63" i="5"/>
  <c r="G57" i="5"/>
  <c r="F51" i="16"/>
  <c r="F99" i="16"/>
  <c r="G105" i="5"/>
  <c r="F69" i="16"/>
  <c r="F59" i="16"/>
  <c r="F93" i="16"/>
  <c r="F71" i="16"/>
  <c r="G77" i="5"/>
  <c r="F100" i="16"/>
  <c r="G106" i="5"/>
  <c r="F53" i="16"/>
  <c r="G59" i="5"/>
  <c r="F40" i="16"/>
  <c r="G46" i="5"/>
  <c r="G108" i="5"/>
  <c r="F102" i="16"/>
  <c r="G36" i="5"/>
  <c r="F30" i="16"/>
  <c r="F29" i="16"/>
  <c r="H103" i="16"/>
  <c r="N41" i="5" l="1"/>
  <c r="R48" i="16"/>
  <c r="F22" i="16"/>
  <c r="I22" i="16"/>
  <c r="R22" i="16"/>
  <c r="O22" i="16"/>
  <c r="O55" i="16"/>
  <c r="O29" i="16"/>
  <c r="R35" i="16"/>
  <c r="F55" i="16"/>
  <c r="O97" i="16"/>
  <c r="G68" i="5"/>
  <c r="S101" i="5"/>
  <c r="I95" i="16"/>
  <c r="O48" i="16"/>
  <c r="G58" i="5"/>
  <c r="G13" i="5"/>
  <c r="N56" i="5"/>
  <c r="G98" i="5"/>
  <c r="R36" i="16"/>
  <c r="R85" i="16"/>
  <c r="N91" i="5"/>
  <c r="I89" i="16"/>
  <c r="R89" i="16"/>
  <c r="N54" i="5"/>
  <c r="O43" i="16"/>
  <c r="O28" i="16"/>
  <c r="R8" i="16"/>
  <c r="N27" i="5"/>
  <c r="F23" i="16"/>
  <c r="I54" i="16"/>
  <c r="I87" i="16"/>
  <c r="F76" i="16"/>
  <c r="N37" i="5"/>
  <c r="I92" i="16"/>
  <c r="R92" i="16"/>
  <c r="G103" i="5"/>
  <c r="O54" i="16"/>
  <c r="F31" i="16"/>
  <c r="O62" i="16"/>
  <c r="O31" i="16"/>
  <c r="I12" i="16"/>
  <c r="R54" i="16"/>
  <c r="O57" i="16"/>
  <c r="R43" i="16"/>
  <c r="N34" i="5"/>
  <c r="O10" i="16"/>
  <c r="I31" i="16"/>
  <c r="O36" i="16"/>
  <c r="S95" i="5"/>
  <c r="O85" i="16"/>
  <c r="O94" i="16"/>
  <c r="N82" i="5"/>
  <c r="S13" i="5"/>
  <c r="R52" i="16"/>
  <c r="I52" i="16"/>
  <c r="O50" i="16"/>
  <c r="R68" i="16"/>
  <c r="F25" i="16"/>
  <c r="I68" i="16"/>
  <c r="R47" i="16"/>
  <c r="O98" i="16"/>
  <c r="S53" i="5"/>
  <c r="I28" i="16"/>
  <c r="R63" i="16"/>
  <c r="R74" i="16"/>
  <c r="F8" i="16"/>
  <c r="G14" i="5"/>
  <c r="R97" i="16"/>
  <c r="S46" i="5"/>
  <c r="R51" i="16"/>
  <c r="F95" i="16"/>
  <c r="I97" i="16"/>
  <c r="O21" i="16"/>
  <c r="I51" i="16"/>
  <c r="O61" i="16"/>
  <c r="G34" i="5"/>
  <c r="F37" i="16"/>
  <c r="O6" i="16"/>
  <c r="G22" i="5"/>
  <c r="F98" i="16"/>
  <c r="R13" i="16"/>
  <c r="O12" i="16"/>
  <c r="S80" i="5"/>
  <c r="I11" i="16"/>
  <c r="F94" i="16"/>
  <c r="G60" i="5"/>
  <c r="G83" i="5"/>
  <c r="G54" i="5"/>
  <c r="G93" i="5"/>
  <c r="F80" i="16"/>
  <c r="F6" i="16"/>
  <c r="R11" i="16"/>
  <c r="O11" i="16"/>
  <c r="I45" i="16"/>
  <c r="I38" i="16"/>
  <c r="R7" i="16"/>
  <c r="S98" i="5"/>
  <c r="N44" i="5"/>
  <c r="F74" i="16"/>
  <c r="I7" i="16"/>
  <c r="S87" i="5"/>
  <c r="S58" i="5"/>
  <c r="S51" i="5"/>
  <c r="O38" i="16"/>
  <c r="I94" i="16"/>
  <c r="R50" i="16"/>
  <c r="R21" i="16"/>
  <c r="R94" i="16"/>
  <c r="G18" i="5"/>
  <c r="R45" i="16"/>
  <c r="G51" i="5"/>
  <c r="O68" i="16"/>
  <c r="G56" i="5"/>
  <c r="F9" i="16"/>
  <c r="I74" i="16"/>
  <c r="I43" i="16"/>
  <c r="R12" i="16"/>
  <c r="G74" i="5"/>
  <c r="N39" i="5"/>
  <c r="O25" i="16"/>
  <c r="N101" i="5"/>
  <c r="N68" i="5"/>
  <c r="G95" i="5"/>
  <c r="O70" i="16"/>
  <c r="I66" i="16"/>
  <c r="R24" i="16"/>
  <c r="N72" i="5"/>
  <c r="S69" i="5"/>
  <c r="N30" i="5"/>
  <c r="S14" i="5"/>
  <c r="I61" i="16"/>
  <c r="N19" i="5"/>
  <c r="O87" i="16"/>
  <c r="R81" i="16"/>
  <c r="R59" i="16"/>
  <c r="I49" i="16"/>
  <c r="I59" i="16"/>
  <c r="N55" i="5"/>
  <c r="O93" i="16"/>
  <c r="O59" i="16"/>
  <c r="I47" i="16"/>
  <c r="O30" i="16"/>
  <c r="I70" i="16"/>
  <c r="N42" i="5"/>
  <c r="F83" i="16"/>
  <c r="G84" i="5"/>
  <c r="G50" i="5"/>
  <c r="I71" i="16"/>
  <c r="S75" i="5"/>
  <c r="S90" i="5"/>
  <c r="N105" i="5"/>
  <c r="R42" i="16"/>
  <c r="G33" i="5"/>
  <c r="F10" i="16"/>
  <c r="I42" i="16"/>
  <c r="R61" i="16"/>
  <c r="R41" i="16"/>
  <c r="N16" i="5"/>
  <c r="I80" i="16"/>
  <c r="R78" i="16"/>
  <c r="O66" i="16"/>
  <c r="R76" i="16"/>
  <c r="O13" i="16"/>
  <c r="I58" i="16"/>
  <c r="R62" i="16"/>
  <c r="S64" i="5"/>
  <c r="G39" i="5"/>
  <c r="G48" i="5"/>
  <c r="F13" i="16"/>
  <c r="G32" i="5"/>
  <c r="F17" i="16"/>
  <c r="S82" i="5"/>
  <c r="N93" i="5"/>
  <c r="I10" i="16"/>
  <c r="R20" i="16"/>
  <c r="S92" i="5"/>
  <c r="O79" i="16"/>
  <c r="R71" i="16"/>
  <c r="I63" i="16"/>
  <c r="R46" i="16"/>
  <c r="N52" i="5"/>
  <c r="I20" i="16"/>
  <c r="I25" i="16"/>
  <c r="S88" i="5"/>
  <c r="R34" i="16"/>
  <c r="R6" i="16"/>
  <c r="I88" i="16"/>
  <c r="N86" i="5"/>
  <c r="N62" i="5"/>
  <c r="R53" i="16"/>
  <c r="N46" i="5"/>
  <c r="N31" i="5"/>
  <c r="I8" i="16"/>
  <c r="I40" i="16"/>
  <c r="I34" i="16"/>
  <c r="I6" i="16"/>
  <c r="I56" i="16"/>
  <c r="I53" i="16"/>
  <c r="N85" i="5"/>
  <c r="G20" i="5"/>
  <c r="F36" i="16"/>
  <c r="F85" i="16"/>
  <c r="F34" i="16"/>
  <c r="G52" i="5"/>
  <c r="F70" i="16"/>
  <c r="F39" i="16"/>
  <c r="G90" i="5"/>
  <c r="N47" i="5"/>
  <c r="O56" i="16"/>
  <c r="N23" i="5"/>
  <c r="R98" i="16"/>
  <c r="I72" i="16"/>
  <c r="O46" i="16"/>
  <c r="R16" i="16"/>
  <c r="R72" i="16"/>
  <c r="O102" i="16"/>
  <c r="I78" i="16"/>
  <c r="N70" i="5"/>
  <c r="I16" i="16"/>
  <c r="R39" i="16"/>
  <c r="I81" i="16"/>
  <c r="O64" i="16"/>
  <c r="S15" i="5"/>
  <c r="I39" i="16"/>
  <c r="O24" i="16"/>
  <c r="I101" i="16"/>
  <c r="O78" i="16"/>
  <c r="R73" i="16"/>
  <c r="I33" i="16"/>
  <c r="O16" i="16"/>
  <c r="R99" i="16"/>
  <c r="R70" i="16"/>
  <c r="R101" i="16"/>
  <c r="R88" i="16"/>
  <c r="S83" i="5"/>
  <c r="N79" i="5"/>
  <c r="F19" i="16"/>
  <c r="F41" i="16"/>
  <c r="I98" i="16"/>
  <c r="O17" i="16"/>
  <c r="O73" i="16"/>
  <c r="O41" i="16"/>
  <c r="G102" i="5"/>
  <c r="I93" i="16"/>
  <c r="O33" i="16"/>
  <c r="R30" i="16"/>
  <c r="O72" i="16"/>
  <c r="R60" i="16"/>
  <c r="R93" i="16"/>
  <c r="I30" i="16"/>
  <c r="I23" i="16"/>
  <c r="O99" i="16"/>
  <c r="I60" i="16"/>
  <c r="O51" i="16"/>
  <c r="G96" i="5"/>
  <c r="G71" i="5"/>
  <c r="G94" i="5"/>
  <c r="O101" i="16"/>
  <c r="I65" i="16"/>
  <c r="O53" i="16"/>
  <c r="I32" i="16"/>
  <c r="O20" i="16"/>
  <c r="I14" i="16"/>
  <c r="O34" i="16"/>
  <c r="F56" i="16"/>
  <c r="F73" i="16"/>
  <c r="R65" i="16"/>
  <c r="R57" i="16"/>
  <c r="R32" i="16"/>
  <c r="I26" i="16"/>
  <c r="O60" i="16"/>
  <c r="O15" i="16"/>
  <c r="F47" i="16"/>
  <c r="G21" i="5"/>
  <c r="O88" i="16"/>
  <c r="O71" i="16"/>
  <c r="I57" i="16"/>
  <c r="R26" i="16"/>
  <c r="O23" i="16"/>
  <c r="I19" i="16"/>
  <c r="I96" i="16"/>
  <c r="R75" i="16"/>
  <c r="O39" i="16"/>
  <c r="G78" i="5"/>
  <c r="G88" i="5"/>
  <c r="G26" i="5"/>
  <c r="N96" i="5"/>
  <c r="I83" i="16"/>
  <c r="O80" i="16"/>
  <c r="R77" i="16"/>
  <c r="O65" i="16"/>
  <c r="I44" i="16"/>
  <c r="R9" i="16"/>
  <c r="I75" i="16"/>
  <c r="G72" i="5"/>
  <c r="G70" i="5"/>
  <c r="F32" i="16"/>
  <c r="G64" i="5"/>
  <c r="F81" i="16"/>
  <c r="O90" i="16"/>
  <c r="I86" i="16"/>
  <c r="I77" i="16"/>
  <c r="R69" i="16"/>
  <c r="S55" i="5"/>
  <c r="R44" i="16"/>
  <c r="O42" i="16"/>
  <c r="O26" i="16"/>
  <c r="N25" i="5"/>
  <c r="S20" i="5"/>
  <c r="O96" i="16"/>
  <c r="R84" i="16"/>
  <c r="R58" i="16"/>
  <c r="N33" i="5"/>
  <c r="G55" i="5"/>
  <c r="G66" i="5"/>
  <c r="G92" i="5"/>
  <c r="R102" i="16"/>
  <c r="R86" i="16"/>
  <c r="O83" i="16"/>
  <c r="I79" i="16"/>
  <c r="I69" i="16"/>
  <c r="I64" i="16"/>
  <c r="O19" i="16"/>
  <c r="N15" i="5"/>
  <c r="I84" i="16"/>
  <c r="O75" i="16"/>
  <c r="O27" i="16"/>
  <c r="R17" i="16"/>
  <c r="O37" i="16"/>
  <c r="R23" i="16"/>
  <c r="G85" i="5"/>
  <c r="I90" i="16"/>
  <c r="R14" i="16"/>
  <c r="R96" i="16"/>
  <c r="G107" i="5"/>
  <c r="R83" i="16"/>
  <c r="R27" i="16"/>
  <c r="O32" i="16"/>
  <c r="I102" i="16"/>
  <c r="AT11" i="14"/>
  <c r="AS11" i="14"/>
  <c r="AR11" i="14"/>
  <c r="AT10" i="14"/>
  <c r="AS10" i="14"/>
  <c r="AR10" i="14"/>
  <c r="AL11" i="13"/>
  <c r="AL10" i="13"/>
  <c r="AL11" i="14"/>
  <c r="AL10" i="14"/>
  <c r="AT11" i="13"/>
  <c r="AT10" i="13"/>
  <c r="AS11" i="13"/>
  <c r="AS10" i="13"/>
  <c r="AR11" i="13"/>
  <c r="AR10" i="13"/>
  <c r="S11" i="5" l="1"/>
  <c r="T24" i="5" s="1"/>
  <c r="G11" i="5"/>
  <c r="H100" i="5" s="1"/>
  <c r="N11" i="5"/>
  <c r="O103" i="16"/>
  <c r="R103" i="16"/>
  <c r="S6" i="16" s="1"/>
  <c r="L6" i="16" s="1"/>
  <c r="I103" i="16"/>
  <c r="J29" i="16" s="1"/>
  <c r="C29" i="16" s="1"/>
  <c r="J35" i="5" s="1"/>
  <c r="S97" i="16"/>
  <c r="L97" i="16" s="1"/>
  <c r="S87" i="16"/>
  <c r="L87" i="16" s="1"/>
  <c r="AJ11" i="14"/>
  <c r="AJ10" i="14"/>
  <c r="Z9" i="14"/>
  <c r="Z8" i="14"/>
  <c r="Z7" i="14"/>
  <c r="Z6" i="14"/>
  <c r="Y9" i="14"/>
  <c r="Y8" i="14"/>
  <c r="Y7" i="14"/>
  <c r="Y6" i="14"/>
  <c r="X9" i="14"/>
  <c r="X8" i="14"/>
  <c r="X7" i="14"/>
  <c r="X6" i="14"/>
  <c r="AC11" i="14"/>
  <c r="AC10" i="14"/>
  <c r="AJ11" i="13"/>
  <c r="AJ10" i="13"/>
  <c r="AC11" i="13"/>
  <c r="AC10" i="13"/>
  <c r="Z9" i="13"/>
  <c r="Z8" i="13"/>
  <c r="Z7" i="13"/>
  <c r="Z6" i="13"/>
  <c r="Y9" i="13"/>
  <c r="Y8" i="13"/>
  <c r="Y7" i="13"/>
  <c r="Y6" i="13"/>
  <c r="X9" i="13"/>
  <c r="X8" i="13"/>
  <c r="X7" i="13"/>
  <c r="X6" i="13"/>
  <c r="J96" i="16" l="1"/>
  <c r="C96" i="16" s="1"/>
  <c r="J102" i="5" s="1"/>
  <c r="J87" i="16"/>
  <c r="C87" i="16" s="1"/>
  <c r="J93" i="5" s="1"/>
  <c r="S17" i="16"/>
  <c r="L17" i="16" s="1"/>
  <c r="S22" i="16"/>
  <c r="L22" i="16" s="1"/>
  <c r="S101" i="16"/>
  <c r="L101" i="16" s="1"/>
  <c r="S12" i="16"/>
  <c r="L12" i="16" s="1"/>
  <c r="S74" i="16"/>
  <c r="L74" i="16" s="1"/>
  <c r="S50" i="16"/>
  <c r="L50" i="16" s="1"/>
  <c r="S57" i="16"/>
  <c r="L57" i="16" s="1"/>
  <c r="S34" i="16"/>
  <c r="L34" i="16" s="1"/>
  <c r="S39" i="16"/>
  <c r="L39" i="16" s="1"/>
  <c r="S32" i="16"/>
  <c r="L32" i="16" s="1"/>
  <c r="S41" i="16"/>
  <c r="L41" i="16" s="1"/>
  <c r="S44" i="16"/>
  <c r="L44" i="16" s="1"/>
  <c r="T96" i="5"/>
  <c r="T86" i="5"/>
  <c r="T72" i="5"/>
  <c r="T82" i="5"/>
  <c r="T33" i="5"/>
  <c r="T105" i="5"/>
  <c r="T104" i="5"/>
  <c r="T90" i="5"/>
  <c r="T98" i="5"/>
  <c r="T81" i="5"/>
  <c r="T85" i="5"/>
  <c r="T59" i="5"/>
  <c r="S80" i="16"/>
  <c r="L80" i="16" s="1"/>
  <c r="S76" i="16"/>
  <c r="L76" i="16" s="1"/>
  <c r="S75" i="16"/>
  <c r="L75" i="16" s="1"/>
  <c r="S62" i="16"/>
  <c r="L62" i="16" s="1"/>
  <c r="J59" i="16"/>
  <c r="C59" i="16" s="1"/>
  <c r="J65" i="5" s="1"/>
  <c r="S68" i="16"/>
  <c r="L68" i="16" s="1"/>
  <c r="S21" i="16"/>
  <c r="L21" i="16" s="1"/>
  <c r="J88" i="16"/>
  <c r="C88" i="16" s="1"/>
  <c r="J94" i="5" s="1"/>
  <c r="S64" i="16"/>
  <c r="L64" i="16" s="1"/>
  <c r="S70" i="16"/>
  <c r="L70" i="16" s="1"/>
  <c r="J63" i="16"/>
  <c r="C63" i="16" s="1"/>
  <c r="J69" i="5" s="1"/>
  <c r="S13" i="16"/>
  <c r="L13" i="16" s="1"/>
  <c r="H59" i="5"/>
  <c r="H81" i="5"/>
  <c r="H89" i="5"/>
  <c r="H77" i="5"/>
  <c r="H54" i="5"/>
  <c r="H83" i="5"/>
  <c r="H34" i="5"/>
  <c r="H39" i="5"/>
  <c r="H68" i="5"/>
  <c r="O24" i="5"/>
  <c r="O95" i="5"/>
  <c r="O51" i="5"/>
  <c r="O13" i="5"/>
  <c r="O58" i="5"/>
  <c r="O94" i="5"/>
  <c r="O46" i="5"/>
  <c r="O106" i="5"/>
  <c r="O104" i="5"/>
  <c r="O21" i="5"/>
  <c r="O88" i="5"/>
  <c r="O42" i="5"/>
  <c r="O100" i="5"/>
  <c r="O105" i="5"/>
  <c r="O22" i="5"/>
  <c r="O60" i="5"/>
  <c r="O48" i="5"/>
  <c r="O36" i="5"/>
  <c r="O108" i="5"/>
  <c r="O40" i="5"/>
  <c r="O50" i="5"/>
  <c r="O54" i="5"/>
  <c r="O90" i="5"/>
  <c r="O70" i="5"/>
  <c r="O26" i="5"/>
  <c r="O76" i="5"/>
  <c r="O37" i="5"/>
  <c r="O83" i="5"/>
  <c r="O39" i="5"/>
  <c r="O55" i="5"/>
  <c r="O93" i="5"/>
  <c r="O59" i="5"/>
  <c r="O44" i="5"/>
  <c r="O89" i="5"/>
  <c r="O91" i="5"/>
  <c r="O63" i="5"/>
  <c r="O86" i="5"/>
  <c r="O103" i="5"/>
  <c r="O16" i="5"/>
  <c r="O77" i="5"/>
  <c r="O96" i="5"/>
  <c r="O35" i="5"/>
  <c r="O29" i="5"/>
  <c r="O85" i="5"/>
  <c r="O30" i="5"/>
  <c r="O67" i="5"/>
  <c r="H93" i="5"/>
  <c r="H90" i="5"/>
  <c r="H13" i="5"/>
  <c r="H29" i="5"/>
  <c r="O12" i="5"/>
  <c r="H47" i="5"/>
  <c r="H27" i="5"/>
  <c r="H97" i="5"/>
  <c r="H33" i="5"/>
  <c r="H14" i="5"/>
  <c r="H106" i="5"/>
  <c r="H63" i="5"/>
  <c r="H21" i="5"/>
  <c r="H50" i="5"/>
  <c r="H102" i="5"/>
  <c r="H22" i="5"/>
  <c r="H23" i="5"/>
  <c r="H94" i="5"/>
  <c r="H31" i="5"/>
  <c r="H32" i="5"/>
  <c r="H78" i="5"/>
  <c r="H17" i="5"/>
  <c r="H84" i="5"/>
  <c r="H105" i="5"/>
  <c r="H75" i="5"/>
  <c r="H67" i="5"/>
  <c r="H37" i="5"/>
  <c r="H86" i="5"/>
  <c r="H104" i="5"/>
  <c r="H85" i="5"/>
  <c r="H12" i="5"/>
  <c r="H55" i="5"/>
  <c r="H58" i="5"/>
  <c r="H62" i="5"/>
  <c r="H87" i="5"/>
  <c r="H56" i="5"/>
  <c r="H40" i="5"/>
  <c r="H41" i="5"/>
  <c r="H53" i="5"/>
  <c r="H82" i="5"/>
  <c r="H16" i="5"/>
  <c r="H103" i="5"/>
  <c r="H70" i="5"/>
  <c r="H57" i="5"/>
  <c r="H98" i="5"/>
  <c r="H71" i="5"/>
  <c r="H24" i="5"/>
  <c r="H88" i="5"/>
  <c r="H28" i="5"/>
  <c r="H72" i="5"/>
  <c r="H48" i="5"/>
  <c r="H25" i="5"/>
  <c r="H19" i="5"/>
  <c r="H26" i="5"/>
  <c r="H101" i="5"/>
  <c r="H73" i="5"/>
  <c r="H99" i="5"/>
  <c r="H79" i="5"/>
  <c r="H92" i="5"/>
  <c r="H74" i="5"/>
  <c r="H30" i="5"/>
  <c r="H61" i="5"/>
  <c r="H69" i="5"/>
  <c r="H42" i="5"/>
  <c r="H80" i="5"/>
  <c r="H49" i="5"/>
  <c r="H107" i="5"/>
  <c r="H52" i="5"/>
  <c r="H51" i="5"/>
  <c r="H66" i="5"/>
  <c r="H45" i="5"/>
  <c r="H35" i="5"/>
  <c r="H64" i="5"/>
  <c r="H95" i="5"/>
  <c r="H46" i="5"/>
  <c r="H96" i="5"/>
  <c r="H76" i="5"/>
  <c r="H108" i="5"/>
  <c r="H60" i="5"/>
  <c r="H38" i="5"/>
  <c r="H91" i="5"/>
  <c r="O80" i="5"/>
  <c r="O34" i="5"/>
  <c r="T77" i="5"/>
  <c r="T78" i="5"/>
  <c r="T28" i="5"/>
  <c r="T32" i="5"/>
  <c r="T70" i="5"/>
  <c r="T13" i="5"/>
  <c r="T55" i="5"/>
  <c r="T80" i="5"/>
  <c r="T19" i="5"/>
  <c r="T37" i="5"/>
  <c r="T17" i="5"/>
  <c r="T36" i="5"/>
  <c r="T52" i="5"/>
  <c r="T67" i="5"/>
  <c r="T66" i="5"/>
  <c r="T103" i="5"/>
  <c r="T34" i="5"/>
  <c r="T43" i="5"/>
  <c r="T97" i="5"/>
  <c r="T27" i="5"/>
  <c r="J23" i="16"/>
  <c r="C23" i="16" s="1"/>
  <c r="J29" i="5" s="1"/>
  <c r="T15" i="5"/>
  <c r="T35" i="5"/>
  <c r="T75" i="5"/>
  <c r="T76" i="5"/>
  <c r="T25" i="5"/>
  <c r="T58" i="5"/>
  <c r="T71" i="5"/>
  <c r="T64" i="5"/>
  <c r="T56" i="5"/>
  <c r="T65" i="5"/>
  <c r="T16" i="5"/>
  <c r="T62" i="5"/>
  <c r="T108" i="5"/>
  <c r="T46" i="5"/>
  <c r="T106" i="5"/>
  <c r="T49" i="5"/>
  <c r="T26" i="5"/>
  <c r="T44" i="5"/>
  <c r="T91" i="5"/>
  <c r="T38" i="5"/>
  <c r="T92" i="5"/>
  <c r="T20" i="5"/>
  <c r="T102" i="5"/>
  <c r="T88" i="5"/>
  <c r="T95" i="5"/>
  <c r="T50" i="5"/>
  <c r="T99" i="5"/>
  <c r="T41" i="5"/>
  <c r="T68" i="5"/>
  <c r="T79" i="5"/>
  <c r="T18" i="5"/>
  <c r="H36" i="5"/>
  <c r="H18" i="5"/>
  <c r="H44" i="5"/>
  <c r="H43" i="5"/>
  <c r="H15" i="5"/>
  <c r="H65" i="5"/>
  <c r="H20" i="5"/>
  <c r="J24" i="16"/>
  <c r="C24" i="16" s="1"/>
  <c r="J30" i="5" s="1"/>
  <c r="O64" i="5"/>
  <c r="O75" i="5"/>
  <c r="J68" i="16"/>
  <c r="C68" i="16" s="1"/>
  <c r="J74" i="5" s="1"/>
  <c r="O71" i="5"/>
  <c r="O73" i="5"/>
  <c r="O47" i="5"/>
  <c r="S48" i="16"/>
  <c r="L48" i="16" s="1"/>
  <c r="S89" i="16"/>
  <c r="L89" i="16" s="1"/>
  <c r="O101" i="5"/>
  <c r="O57" i="5"/>
  <c r="O27" i="5"/>
  <c r="O14" i="5"/>
  <c r="S16" i="16"/>
  <c r="L16" i="16" s="1"/>
  <c r="J80" i="16"/>
  <c r="C80" i="16" s="1"/>
  <c r="J86" i="5" s="1"/>
  <c r="J55" i="16"/>
  <c r="C55" i="16" s="1"/>
  <c r="J61" i="5" s="1"/>
  <c r="O82" i="5"/>
  <c r="O69" i="5"/>
  <c r="O41" i="5"/>
  <c r="O78" i="5"/>
  <c r="O25" i="5"/>
  <c r="O107" i="5"/>
  <c r="J11" i="16"/>
  <c r="C11" i="16" s="1"/>
  <c r="J17" i="5" s="1"/>
  <c r="O68" i="5"/>
  <c r="O31" i="5"/>
  <c r="O28" i="5"/>
  <c r="O19" i="5"/>
  <c r="O79" i="5"/>
  <c r="S51" i="16"/>
  <c r="L51" i="16" s="1"/>
  <c r="O33" i="5"/>
  <c r="S30" i="16"/>
  <c r="L30" i="16" s="1"/>
  <c r="S99" i="16"/>
  <c r="L99" i="16" s="1"/>
  <c r="J94" i="16"/>
  <c r="C94" i="16" s="1"/>
  <c r="J100" i="5" s="1"/>
  <c r="J12" i="16"/>
  <c r="C12" i="16" s="1"/>
  <c r="J18" i="5" s="1"/>
  <c r="J75" i="16"/>
  <c r="C75" i="16" s="1"/>
  <c r="J81" i="5" s="1"/>
  <c r="J38" i="16"/>
  <c r="C38" i="16" s="1"/>
  <c r="J44" i="5" s="1"/>
  <c r="S96" i="16"/>
  <c r="L96" i="16" s="1"/>
  <c r="S23" i="16"/>
  <c r="L23" i="16" s="1"/>
  <c r="S35" i="16"/>
  <c r="L35" i="16" s="1"/>
  <c r="S73" i="16"/>
  <c r="L73" i="16" s="1"/>
  <c r="S45" i="16"/>
  <c r="L45" i="16" s="1"/>
  <c r="S40" i="16"/>
  <c r="L40" i="16" s="1"/>
  <c r="S43" i="16"/>
  <c r="L43" i="16" s="1"/>
  <c r="J86" i="16"/>
  <c r="C86" i="16" s="1"/>
  <c r="J92" i="5" s="1"/>
  <c r="J9" i="16"/>
  <c r="C9" i="16" s="1"/>
  <c r="J15" i="5" s="1"/>
  <c r="J48" i="16"/>
  <c r="C48" i="16" s="1"/>
  <c r="J54" i="5" s="1"/>
  <c r="S85" i="16"/>
  <c r="L85" i="16" s="1"/>
  <c r="S82" i="16"/>
  <c r="L82" i="16" s="1"/>
  <c r="S93" i="16"/>
  <c r="L93" i="16" s="1"/>
  <c r="J65" i="16"/>
  <c r="C65" i="16" s="1"/>
  <c r="J71" i="5" s="1"/>
  <c r="J102" i="16"/>
  <c r="C102" i="16" s="1"/>
  <c r="J108" i="5" s="1"/>
  <c r="S18" i="16"/>
  <c r="L18" i="16" s="1"/>
  <c r="S79" i="16"/>
  <c r="L79" i="16" s="1"/>
  <c r="S63" i="16"/>
  <c r="L63" i="16" s="1"/>
  <c r="O66" i="5"/>
  <c r="O62" i="5"/>
  <c r="O102" i="5"/>
  <c r="O52" i="5"/>
  <c r="O53" i="5"/>
  <c r="O32" i="5"/>
  <c r="S33" i="16"/>
  <c r="L33" i="16" s="1"/>
  <c r="S28" i="16"/>
  <c r="L28" i="16" s="1"/>
  <c r="O17" i="5"/>
  <c r="S9" i="16"/>
  <c r="L9" i="16" s="1"/>
  <c r="O74" i="5"/>
  <c r="S81" i="16"/>
  <c r="L81" i="16" s="1"/>
  <c r="O43" i="5"/>
  <c r="J46" i="16"/>
  <c r="C46" i="16" s="1"/>
  <c r="J52" i="5" s="1"/>
  <c r="J58" i="16"/>
  <c r="C58" i="16" s="1"/>
  <c r="J64" i="5" s="1"/>
  <c r="J69" i="16"/>
  <c r="C69" i="16" s="1"/>
  <c r="J75" i="5" s="1"/>
  <c r="J90" i="16"/>
  <c r="C90" i="16" s="1"/>
  <c r="J96" i="5" s="1"/>
  <c r="J21" i="16"/>
  <c r="C21" i="16" s="1"/>
  <c r="J27" i="5" s="1"/>
  <c r="S53" i="16"/>
  <c r="L53" i="16" s="1"/>
  <c r="S61" i="16"/>
  <c r="L61" i="16" s="1"/>
  <c r="S69" i="16"/>
  <c r="L69" i="16" s="1"/>
  <c r="S94" i="16"/>
  <c r="L94" i="16" s="1"/>
  <c r="S91" i="16"/>
  <c r="L91" i="16" s="1"/>
  <c r="S15" i="16"/>
  <c r="L15" i="16" s="1"/>
  <c r="S56" i="16"/>
  <c r="L56" i="16" s="1"/>
  <c r="S60" i="16"/>
  <c r="L60" i="16" s="1"/>
  <c r="J91" i="16"/>
  <c r="C91" i="16" s="1"/>
  <c r="J97" i="5" s="1"/>
  <c r="J39" i="16"/>
  <c r="C39" i="16" s="1"/>
  <c r="J45" i="5" s="1"/>
  <c r="J74" i="16"/>
  <c r="C74" i="16" s="1"/>
  <c r="J80" i="5" s="1"/>
  <c r="J32" i="16"/>
  <c r="C32" i="16" s="1"/>
  <c r="J38" i="5" s="1"/>
  <c r="S47" i="16"/>
  <c r="L47" i="16" s="1"/>
  <c r="S67" i="16"/>
  <c r="L67" i="16" s="1"/>
  <c r="S84" i="16"/>
  <c r="L84" i="16" s="1"/>
  <c r="S8" i="16"/>
  <c r="L8" i="16" s="1"/>
  <c r="S65" i="16"/>
  <c r="L65" i="16" s="1"/>
  <c r="S25" i="16"/>
  <c r="L25" i="16" s="1"/>
  <c r="J34" i="16"/>
  <c r="C34" i="16" s="1"/>
  <c r="J40" i="5" s="1"/>
  <c r="J97" i="16"/>
  <c r="C97" i="16" s="1"/>
  <c r="J103" i="5" s="1"/>
  <c r="J67" i="16"/>
  <c r="C67" i="16" s="1"/>
  <c r="J73" i="5" s="1"/>
  <c r="J89" i="16"/>
  <c r="C89" i="16" s="1"/>
  <c r="J95" i="5" s="1"/>
  <c r="S37" i="16"/>
  <c r="L37" i="16" s="1"/>
  <c r="S55" i="16"/>
  <c r="L55" i="16" s="1"/>
  <c r="O38" i="5"/>
  <c r="O61" i="5"/>
  <c r="O20" i="5"/>
  <c r="S7" i="16"/>
  <c r="L7" i="16" s="1"/>
  <c r="O23" i="5"/>
  <c r="O92" i="5"/>
  <c r="S78" i="16"/>
  <c r="L78" i="16" s="1"/>
  <c r="O97" i="5"/>
  <c r="S19" i="16"/>
  <c r="L19" i="16" s="1"/>
  <c r="O15" i="5"/>
  <c r="O87" i="5"/>
  <c r="J98" i="16"/>
  <c r="C98" i="16" s="1"/>
  <c r="J104" i="5" s="1"/>
  <c r="J35" i="16"/>
  <c r="C35" i="16" s="1"/>
  <c r="J41" i="5" s="1"/>
  <c r="J50" i="16"/>
  <c r="C50" i="16" s="1"/>
  <c r="J56" i="5" s="1"/>
  <c r="J76" i="16"/>
  <c r="C76" i="16" s="1"/>
  <c r="J82" i="5" s="1"/>
  <c r="S20" i="16"/>
  <c r="L20" i="16" s="1"/>
  <c r="O49" i="5"/>
  <c r="S102" i="16"/>
  <c r="L102" i="16" s="1"/>
  <c r="S49" i="16"/>
  <c r="L49" i="16" s="1"/>
  <c r="O81" i="5"/>
  <c r="O98" i="5"/>
  <c r="O65" i="5"/>
  <c r="O72" i="5"/>
  <c r="S71" i="16"/>
  <c r="L71" i="16" s="1"/>
  <c r="S27" i="16"/>
  <c r="L27" i="16" s="1"/>
  <c r="O18" i="5"/>
  <c r="S10" i="16"/>
  <c r="L10" i="16" s="1"/>
  <c r="J15" i="16"/>
  <c r="C15" i="16" s="1"/>
  <c r="J21" i="5" s="1"/>
  <c r="J99" i="16"/>
  <c r="C99" i="16" s="1"/>
  <c r="J105" i="5" s="1"/>
  <c r="J7" i="16"/>
  <c r="C7" i="16" s="1"/>
  <c r="J13" i="5" s="1"/>
  <c r="J78" i="16"/>
  <c r="C78" i="16" s="1"/>
  <c r="J84" i="5" s="1"/>
  <c r="J44" i="16"/>
  <c r="C44" i="16" s="1"/>
  <c r="J50" i="5" s="1"/>
  <c r="J17" i="16"/>
  <c r="C17" i="16" s="1"/>
  <c r="J23" i="5" s="1"/>
  <c r="J36" i="16"/>
  <c r="C36" i="16" s="1"/>
  <c r="J42" i="5" s="1"/>
  <c r="J57" i="16"/>
  <c r="C57" i="16" s="1"/>
  <c r="J63" i="5" s="1"/>
  <c r="J79" i="16"/>
  <c r="C79" i="16" s="1"/>
  <c r="J85" i="5" s="1"/>
  <c r="J60" i="16"/>
  <c r="C60" i="16" s="1"/>
  <c r="J66" i="5" s="1"/>
  <c r="T48" i="5"/>
  <c r="T45" i="5"/>
  <c r="T84" i="5"/>
  <c r="T69" i="5"/>
  <c r="T87" i="5"/>
  <c r="T100" i="5"/>
  <c r="T57" i="5"/>
  <c r="T107" i="5"/>
  <c r="J66" i="16"/>
  <c r="C66" i="16" s="1"/>
  <c r="J72" i="5" s="1"/>
  <c r="J100" i="16"/>
  <c r="C100" i="16" s="1"/>
  <c r="J106" i="5" s="1"/>
  <c r="J8" i="16"/>
  <c r="C8" i="16" s="1"/>
  <c r="J14" i="5" s="1"/>
  <c r="J18" i="16"/>
  <c r="C18" i="16" s="1"/>
  <c r="J24" i="5" s="1"/>
  <c r="J33" i="16"/>
  <c r="C33" i="16" s="1"/>
  <c r="J39" i="5" s="1"/>
  <c r="T47" i="5"/>
  <c r="T40" i="5"/>
  <c r="T73" i="5"/>
  <c r="T30" i="5"/>
  <c r="T53" i="5"/>
  <c r="T60" i="5"/>
  <c r="T42" i="5"/>
  <c r="S42" i="16"/>
  <c r="L42" i="16" s="1"/>
  <c r="O99" i="5"/>
  <c r="S58" i="16"/>
  <c r="L58" i="16" s="1"/>
  <c r="S100" i="16"/>
  <c r="L100" i="16" s="1"/>
  <c r="O45" i="5"/>
  <c r="S92" i="16"/>
  <c r="L92" i="16" s="1"/>
  <c r="S54" i="16"/>
  <c r="L54" i="16" s="1"/>
  <c r="S83" i="16"/>
  <c r="L83" i="16" s="1"/>
  <c r="S66" i="16"/>
  <c r="L66" i="16" s="1"/>
  <c r="S59" i="16"/>
  <c r="L59" i="16" s="1"/>
  <c r="O84" i="5"/>
  <c r="S52" i="16"/>
  <c r="L52" i="16" s="1"/>
  <c r="S38" i="16"/>
  <c r="L38" i="16" s="1"/>
  <c r="O56" i="5"/>
  <c r="S24" i="16"/>
  <c r="L24" i="16" s="1"/>
  <c r="J54" i="16"/>
  <c r="C54" i="16" s="1"/>
  <c r="J60" i="5" s="1"/>
  <c r="J31" i="16"/>
  <c r="C31" i="16" s="1"/>
  <c r="J37" i="5" s="1"/>
  <c r="J70" i="16"/>
  <c r="C70" i="16" s="1"/>
  <c r="J76" i="5" s="1"/>
  <c r="T14" i="5"/>
  <c r="J61" i="16"/>
  <c r="C61" i="16" s="1"/>
  <c r="J67" i="5" s="1"/>
  <c r="J71" i="16"/>
  <c r="C71" i="16" s="1"/>
  <c r="J77" i="5" s="1"/>
  <c r="T22" i="5"/>
  <c r="T89" i="5"/>
  <c r="T31" i="5"/>
  <c r="T74" i="5"/>
  <c r="T51" i="5"/>
  <c r="J25" i="16"/>
  <c r="C25" i="16" s="1"/>
  <c r="J31" i="5" s="1"/>
  <c r="J49" i="16"/>
  <c r="C49" i="16" s="1"/>
  <c r="J55" i="5" s="1"/>
  <c r="J22" i="16"/>
  <c r="C22" i="16" s="1"/>
  <c r="J28" i="5" s="1"/>
  <c r="T83" i="5"/>
  <c r="J62" i="16"/>
  <c r="C62" i="16" s="1"/>
  <c r="J68" i="5" s="1"/>
  <c r="J53" i="16"/>
  <c r="C53" i="16" s="1"/>
  <c r="J59" i="5" s="1"/>
  <c r="T54" i="5"/>
  <c r="T63" i="5"/>
  <c r="T21" i="5"/>
  <c r="T23" i="5"/>
  <c r="T29" i="5"/>
  <c r="J19" i="16"/>
  <c r="C19" i="16" s="1"/>
  <c r="J25" i="5" s="1"/>
  <c r="J64" i="16"/>
  <c r="C64" i="16" s="1"/>
  <c r="J70" i="5" s="1"/>
  <c r="J73" i="16"/>
  <c r="C73" i="16" s="1"/>
  <c r="J79" i="5" s="1"/>
  <c r="J72" i="16"/>
  <c r="C72" i="16" s="1"/>
  <c r="J78" i="5" s="1"/>
  <c r="T61" i="5"/>
  <c r="J101" i="16"/>
  <c r="C101" i="16" s="1"/>
  <c r="J107" i="5" s="1"/>
  <c r="J13" i="16"/>
  <c r="C13" i="16" s="1"/>
  <c r="J19" i="5" s="1"/>
  <c r="T94" i="5"/>
  <c r="T39" i="5"/>
  <c r="T12" i="5"/>
  <c r="T101" i="5"/>
  <c r="T93" i="5"/>
  <c r="J85" i="16"/>
  <c r="C85" i="16" s="1"/>
  <c r="J91" i="5" s="1"/>
  <c r="J20" i="16"/>
  <c r="C20" i="16" s="1"/>
  <c r="J26" i="5" s="1"/>
  <c r="J52" i="16"/>
  <c r="C52" i="16" s="1"/>
  <c r="J58" i="5" s="1"/>
  <c r="J26" i="16"/>
  <c r="C26" i="16" s="1"/>
  <c r="J32" i="5" s="1"/>
  <c r="J43" i="16"/>
  <c r="C43" i="16" s="1"/>
  <c r="J49" i="5" s="1"/>
  <c r="J93" i="16"/>
  <c r="C93" i="16" s="1"/>
  <c r="J99" i="5" s="1"/>
  <c r="J41" i="16"/>
  <c r="C41" i="16" s="1"/>
  <c r="J47" i="5" s="1"/>
  <c r="J51" i="16"/>
  <c r="C51" i="16" s="1"/>
  <c r="J57" i="5" s="1"/>
  <c r="J84" i="16"/>
  <c r="C84" i="16" s="1"/>
  <c r="J90" i="5" s="1"/>
  <c r="J56" i="16"/>
  <c r="C56" i="16" s="1"/>
  <c r="J62" i="5" s="1"/>
  <c r="S95" i="16"/>
  <c r="L95" i="16" s="1"/>
  <c r="S31" i="16"/>
  <c r="L31" i="16" s="1"/>
  <c r="S14" i="16"/>
  <c r="L14" i="16" s="1"/>
  <c r="S86" i="16"/>
  <c r="L86" i="16" s="1"/>
  <c r="S36" i="16"/>
  <c r="L36" i="16" s="1"/>
  <c r="S72" i="16"/>
  <c r="L72" i="16" s="1"/>
  <c r="S46" i="16"/>
  <c r="L46" i="16" s="1"/>
  <c r="J30" i="16"/>
  <c r="C30" i="16" s="1"/>
  <c r="J36" i="5" s="1"/>
  <c r="J27" i="16"/>
  <c r="C27" i="16" s="1"/>
  <c r="J33" i="5" s="1"/>
  <c r="J95" i="16"/>
  <c r="C95" i="16" s="1"/>
  <c r="J101" i="5" s="1"/>
  <c r="J40" i="16"/>
  <c r="C40" i="16" s="1"/>
  <c r="J46" i="5" s="1"/>
  <c r="J81" i="16"/>
  <c r="C81" i="16" s="1"/>
  <c r="J87" i="5" s="1"/>
  <c r="J45" i="16"/>
  <c r="C45" i="16" s="1"/>
  <c r="J51" i="5" s="1"/>
  <c r="J47" i="16"/>
  <c r="C47" i="16" s="1"/>
  <c r="J53" i="5" s="1"/>
  <c r="J28" i="16"/>
  <c r="C28" i="16" s="1"/>
  <c r="J34" i="5" s="1"/>
  <c r="J77" i="16"/>
  <c r="C77" i="16" s="1"/>
  <c r="J83" i="5" s="1"/>
  <c r="S90" i="16"/>
  <c r="L90" i="16" s="1"/>
  <c r="S26" i="16"/>
  <c r="L26" i="16" s="1"/>
  <c r="S88" i="16"/>
  <c r="L88" i="16" s="1"/>
  <c r="S29" i="16"/>
  <c r="L29" i="16" s="1"/>
  <c r="S98" i="16"/>
  <c r="L98" i="16" s="1"/>
  <c r="S11" i="16"/>
  <c r="L11" i="16" s="1"/>
  <c r="S77" i="16"/>
  <c r="L77" i="16" s="1"/>
  <c r="J16" i="16"/>
  <c r="C16" i="16" s="1"/>
  <c r="J22" i="5" s="1"/>
  <c r="J83" i="16"/>
  <c r="C83" i="16" s="1"/>
  <c r="J89" i="5" s="1"/>
  <c r="J42" i="16"/>
  <c r="C42" i="16" s="1"/>
  <c r="J48" i="5" s="1"/>
  <c r="J82" i="16"/>
  <c r="C82" i="16" s="1"/>
  <c r="J88" i="5" s="1"/>
  <c r="J14" i="16"/>
  <c r="C14" i="16" s="1"/>
  <c r="J20" i="5" s="1"/>
  <c r="J92" i="16"/>
  <c r="C92" i="16" s="1"/>
  <c r="J98" i="5" s="1"/>
  <c r="J10" i="16"/>
  <c r="C10" i="16" s="1"/>
  <c r="J16" i="5" s="1"/>
  <c r="J37" i="16"/>
  <c r="C37" i="16" s="1"/>
  <c r="J43" i="5" s="1"/>
  <c r="J6" i="16"/>
  <c r="C6" i="16" s="1"/>
  <c r="J12" i="5" s="1"/>
  <c r="Y11" i="13"/>
  <c r="X11" i="14"/>
  <c r="Z10" i="13"/>
  <c r="X11" i="13"/>
  <c r="Y10" i="13"/>
  <c r="Z11" i="13"/>
  <c r="X10" i="14"/>
  <c r="Z10" i="14"/>
  <c r="X10" i="13"/>
  <c r="Z11" i="14"/>
  <c r="Y11" i="14"/>
  <c r="Y10" i="14"/>
  <c r="D11" i="14"/>
  <c r="E11" i="14"/>
  <c r="F11" i="14"/>
  <c r="G11" i="14"/>
  <c r="I11" i="14"/>
  <c r="J11" i="14"/>
  <c r="K11" i="14"/>
  <c r="L11" i="14"/>
  <c r="M11" i="14"/>
  <c r="N11" i="14"/>
  <c r="O11" i="14"/>
  <c r="P11" i="14"/>
  <c r="Q11" i="14"/>
  <c r="R11" i="14"/>
  <c r="S11" i="14"/>
  <c r="V11" i="14"/>
  <c r="W11" i="14"/>
  <c r="AD11" i="14"/>
  <c r="AE11" i="14"/>
  <c r="AF11" i="14"/>
  <c r="AG11" i="14"/>
  <c r="AH11" i="14"/>
  <c r="AI11" i="14"/>
  <c r="AK11" i="14"/>
  <c r="AM11" i="14"/>
  <c r="AN11" i="14"/>
  <c r="AO11" i="14"/>
  <c r="AP11" i="14"/>
  <c r="AQ11" i="14"/>
  <c r="B11" i="14"/>
  <c r="D10" i="14"/>
  <c r="E10" i="14"/>
  <c r="F10" i="14"/>
  <c r="G10" i="14"/>
  <c r="I10" i="14"/>
  <c r="J10" i="14"/>
  <c r="K10" i="14"/>
  <c r="L10" i="14"/>
  <c r="M10" i="14"/>
  <c r="N10" i="14"/>
  <c r="O10" i="14"/>
  <c r="P10" i="14"/>
  <c r="Q10" i="14"/>
  <c r="R10" i="14"/>
  <c r="S10" i="14"/>
  <c r="V10" i="14"/>
  <c r="W10" i="14"/>
  <c r="AD10" i="14"/>
  <c r="AE10" i="14"/>
  <c r="AF10" i="14"/>
  <c r="AG10" i="14"/>
  <c r="AH10" i="14"/>
  <c r="AI10" i="14"/>
  <c r="AK10" i="14"/>
  <c r="AM10" i="14"/>
  <c r="AN10" i="14"/>
  <c r="AO10" i="14"/>
  <c r="AP10" i="14"/>
  <c r="AQ10" i="14"/>
  <c r="B10" i="14"/>
  <c r="D11" i="13"/>
  <c r="E11" i="13"/>
  <c r="F11" i="13"/>
  <c r="G11" i="13"/>
  <c r="I11" i="13"/>
  <c r="J11" i="13"/>
  <c r="K11" i="13"/>
  <c r="L11" i="13"/>
  <c r="M11" i="13"/>
  <c r="N11" i="13"/>
  <c r="O11" i="13"/>
  <c r="P11" i="13"/>
  <c r="Q11" i="13"/>
  <c r="R11" i="13"/>
  <c r="S11" i="13"/>
  <c r="V11" i="13"/>
  <c r="W11" i="13"/>
  <c r="AD11" i="13"/>
  <c r="AE11" i="13"/>
  <c r="AF11" i="13"/>
  <c r="AG11" i="13"/>
  <c r="AH11" i="13"/>
  <c r="AI11" i="13"/>
  <c r="AK11" i="13"/>
  <c r="AM11" i="13"/>
  <c r="AN11" i="13"/>
  <c r="AO11" i="13"/>
  <c r="AP11" i="13"/>
  <c r="AQ11" i="13"/>
  <c r="B11" i="13"/>
  <c r="D10" i="13"/>
  <c r="B10" i="13"/>
  <c r="E10" i="13"/>
  <c r="F10" i="13"/>
  <c r="G10" i="13"/>
  <c r="I10" i="13"/>
  <c r="J10" i="13"/>
  <c r="K10" i="13"/>
  <c r="L10" i="13"/>
  <c r="M10" i="13"/>
  <c r="N10" i="13"/>
  <c r="O10" i="13"/>
  <c r="P10" i="13"/>
  <c r="Q10" i="13"/>
  <c r="R10" i="13"/>
  <c r="S10" i="13"/>
  <c r="V10" i="13"/>
  <c r="W10" i="13"/>
  <c r="AD10" i="13"/>
  <c r="AE10" i="13"/>
  <c r="AF10" i="13"/>
  <c r="AG10" i="13"/>
  <c r="AH10" i="13"/>
  <c r="AI10" i="13"/>
  <c r="AK10" i="13"/>
  <c r="AM10" i="13"/>
  <c r="AN10" i="13"/>
  <c r="AO10" i="13"/>
  <c r="AP10" i="13"/>
  <c r="AQ10" i="13"/>
  <c r="H11" i="5" l="1"/>
  <c r="T11" i="5"/>
  <c r="O11" i="5"/>
  <c r="J11" i="5"/>
  <c r="L103" i="16"/>
  <c r="M101" i="16" s="1"/>
  <c r="J103" i="16"/>
  <c r="C101" i="9"/>
  <c r="C38" i="31" s="1"/>
  <c r="M87" i="16" l="1"/>
  <c r="M18" i="16"/>
  <c r="M76" i="16"/>
  <c r="M41" i="16"/>
  <c r="M94" i="16"/>
  <c r="M65" i="16"/>
  <c r="M62" i="16"/>
  <c r="M61" i="16"/>
  <c r="M59" i="16"/>
  <c r="M89" i="16"/>
  <c r="M14" i="16"/>
  <c r="C76" i="31"/>
  <c r="M7" i="16"/>
  <c r="M64" i="16"/>
  <c r="M32" i="16"/>
  <c r="M70" i="16"/>
  <c r="M97" i="16"/>
  <c r="M31" i="16"/>
  <c r="M91" i="16"/>
  <c r="M30" i="16"/>
  <c r="M46" i="16"/>
  <c r="M90" i="16"/>
  <c r="M29" i="16"/>
  <c r="M39" i="16"/>
  <c r="M57" i="16"/>
  <c r="M28" i="16"/>
  <c r="M22" i="16"/>
  <c r="M88" i="16"/>
  <c r="M56" i="16"/>
  <c r="M17" i="16"/>
  <c r="M80" i="16"/>
  <c r="M55" i="16"/>
  <c r="M13" i="16"/>
  <c r="M12" i="16"/>
  <c r="M79" i="16"/>
  <c r="M49" i="16"/>
  <c r="M9" i="16"/>
  <c r="M10" i="16"/>
  <c r="M78" i="16"/>
  <c r="M43" i="16"/>
  <c r="M99" i="16"/>
  <c r="M77" i="16"/>
  <c r="M42" i="16"/>
  <c r="M96" i="16"/>
  <c r="M6" i="16"/>
  <c r="M40" i="16"/>
  <c r="M63" i="16"/>
  <c r="M95" i="16"/>
  <c r="M74" i="16"/>
  <c r="M47" i="16"/>
  <c r="M26" i="16"/>
  <c r="M58" i="16"/>
  <c r="M93" i="16"/>
  <c r="M73" i="16"/>
  <c r="M45" i="16"/>
  <c r="M25" i="16"/>
  <c r="M51" i="16"/>
  <c r="M92" i="16"/>
  <c r="M71" i="16"/>
  <c r="M44" i="16"/>
  <c r="M23" i="16"/>
  <c r="M48" i="16"/>
  <c r="M8" i="16"/>
  <c r="M86" i="16"/>
  <c r="M69" i="16"/>
  <c r="M54" i="16"/>
  <c r="M38" i="16"/>
  <c r="M21" i="16"/>
  <c r="M84" i="16"/>
  <c r="M36" i="16"/>
  <c r="M102" i="16"/>
  <c r="M85" i="16"/>
  <c r="M68" i="16"/>
  <c r="M53" i="16"/>
  <c r="M37" i="16"/>
  <c r="M20" i="16"/>
  <c r="M82" i="16"/>
  <c r="M34" i="16"/>
  <c r="M100" i="16"/>
  <c r="M83" i="16"/>
  <c r="M67" i="16"/>
  <c r="M52" i="16"/>
  <c r="M35" i="16"/>
  <c r="M19" i="16"/>
  <c r="M75" i="16"/>
  <c r="M27" i="16"/>
  <c r="M98" i="16"/>
  <c r="M81" i="16"/>
  <c r="M66" i="16"/>
  <c r="M50" i="16"/>
  <c r="M33" i="16"/>
  <c r="M16" i="16"/>
  <c r="M72" i="16"/>
  <c r="M24" i="16"/>
  <c r="M11" i="16"/>
  <c r="M60" i="16"/>
  <c r="M15" i="16"/>
  <c r="E38" i="31"/>
  <c r="M101" i="9"/>
  <c r="L101" i="9"/>
  <c r="AH101" i="9"/>
  <c r="AG101" i="9"/>
  <c r="P101" i="9"/>
  <c r="U101" i="9"/>
  <c r="E103" i="16"/>
  <c r="AW101" i="9"/>
  <c r="AY101" i="9"/>
  <c r="BE101" i="9"/>
  <c r="BA101" i="9"/>
  <c r="BC101" i="9"/>
  <c r="BD101" i="9"/>
  <c r="AX101" i="9"/>
  <c r="AU101" i="9"/>
  <c r="AZ101" i="9"/>
  <c r="BF101" i="9"/>
  <c r="AS101" i="9"/>
  <c r="AR101" i="9"/>
  <c r="AT101" i="9"/>
  <c r="AV101" i="9"/>
  <c r="BB101" i="9"/>
  <c r="AJ101" i="9"/>
  <c r="AP101" i="9"/>
  <c r="AK101" i="9"/>
  <c r="AN101" i="9"/>
  <c r="AC101" i="9"/>
  <c r="AD101" i="9"/>
  <c r="Y101" i="9"/>
  <c r="O101" i="9"/>
  <c r="AI101" i="9"/>
  <c r="R101" i="9"/>
  <c r="AM101" i="9"/>
  <c r="AA101" i="9"/>
  <c r="AL101" i="9"/>
  <c r="AO101" i="9"/>
  <c r="K101" i="9"/>
  <c r="AF101" i="9"/>
  <c r="AB101" i="9"/>
  <c r="S101" i="9"/>
  <c r="AE101" i="9"/>
  <c r="X101" i="9"/>
  <c r="W101" i="9"/>
  <c r="Q101" i="9"/>
  <c r="AQ101" i="9"/>
  <c r="V101" i="9"/>
  <c r="N101" i="9"/>
  <c r="J101" i="9"/>
  <c r="Z101" i="9"/>
  <c r="T101" i="9"/>
  <c r="I101" i="9"/>
  <c r="M103" i="16" l="1"/>
  <c r="C20" i="31"/>
  <c r="E20" i="31" s="1"/>
  <c r="C31" i="31"/>
  <c r="E31" i="31" s="1"/>
  <c r="C53" i="31"/>
  <c r="E53" i="31" s="1"/>
  <c r="C63" i="31"/>
  <c r="E63" i="31" s="1"/>
  <c r="C19" i="31"/>
  <c r="E19" i="31" s="1"/>
  <c r="C51" i="31"/>
  <c r="E51" i="31" s="1"/>
  <c r="C64" i="31"/>
  <c r="E64" i="31" s="1"/>
  <c r="C59" i="31"/>
  <c r="E59" i="31" s="1"/>
  <c r="C54" i="31"/>
  <c r="E54" i="31" s="1"/>
  <c r="C28" i="31"/>
  <c r="E28" i="31" s="1"/>
  <c r="C62" i="31"/>
  <c r="E62" i="31" s="1"/>
  <c r="C55" i="31"/>
  <c r="E55" i="31" s="1"/>
  <c r="C24" i="31"/>
  <c r="E24" i="31" s="1"/>
  <c r="C52" i="31"/>
  <c r="E52" i="31" s="1"/>
  <c r="C42" i="31"/>
  <c r="D42" i="31" s="1"/>
  <c r="K107" i="9" s="1"/>
  <c r="F42" i="31" s="1"/>
  <c r="C21" i="31"/>
  <c r="E21" i="31" s="1"/>
  <c r="C67" i="31"/>
  <c r="E67" i="31" s="1"/>
  <c r="C46" i="31"/>
  <c r="D46" i="31" s="1"/>
  <c r="J107" i="9" s="1"/>
  <c r="F46" i="31" s="1"/>
  <c r="C25" i="31"/>
  <c r="E25" i="31" s="1"/>
  <c r="C33" i="31"/>
  <c r="E33" i="31" s="1"/>
  <c r="C26" i="31"/>
  <c r="C68" i="31"/>
  <c r="E68" i="31" s="1"/>
  <c r="C43" i="31"/>
  <c r="D43" i="31" s="1"/>
  <c r="N107" i="9" s="1"/>
  <c r="F43" i="31" s="1"/>
  <c r="C14" i="31"/>
  <c r="E14" i="31" s="1"/>
  <c r="C69" i="31"/>
  <c r="E69" i="31" s="1"/>
  <c r="C32" i="31"/>
  <c r="E32" i="31" s="1"/>
  <c r="C44" i="31"/>
  <c r="D44" i="31" s="1"/>
  <c r="L107" i="9" s="1"/>
  <c r="F44" i="31" s="1"/>
  <c r="C71" i="31"/>
  <c r="E71" i="31" s="1"/>
  <c r="C27" i="31"/>
  <c r="E27" i="31" s="1"/>
  <c r="C18" i="31"/>
  <c r="E18" i="31" s="1"/>
  <c r="C57" i="31"/>
  <c r="E57" i="31" s="1"/>
  <c r="C16" i="31"/>
  <c r="E16" i="31" s="1"/>
  <c r="C58" i="31"/>
  <c r="E58" i="31" s="1"/>
  <c r="C22" i="31"/>
  <c r="E22" i="31" s="1"/>
  <c r="C15" i="31"/>
  <c r="E15" i="31" s="1"/>
  <c r="C47" i="31"/>
  <c r="D47" i="31" s="1"/>
  <c r="I107" i="9" s="1"/>
  <c r="F47" i="31" s="1"/>
  <c r="C65" i="31"/>
  <c r="E65" i="31" s="1"/>
  <c r="C70" i="31"/>
  <c r="E70" i="31" s="1"/>
  <c r="C66" i="31"/>
  <c r="E66" i="31" s="1"/>
  <c r="C17" i="31"/>
  <c r="E17" i="31" s="1"/>
  <c r="C60" i="31"/>
  <c r="E60" i="31" s="1"/>
  <c r="C23" i="31"/>
  <c r="E23" i="31" s="1"/>
  <c r="C56" i="31"/>
  <c r="E56" i="31" s="1"/>
  <c r="C61" i="31"/>
  <c r="E61" i="31" s="1"/>
  <c r="C29" i="31"/>
  <c r="E29" i="31" s="1"/>
  <c r="C45" i="31"/>
  <c r="D45" i="31" s="1"/>
  <c r="M107" i="9" s="1"/>
  <c r="F45" i="31" s="1"/>
  <c r="C103" i="16"/>
  <c r="F103" i="16"/>
  <c r="H101" i="9"/>
  <c r="E26" i="31" l="1"/>
  <c r="C75" i="31"/>
  <c r="D102" i="16"/>
  <c r="D88" i="16"/>
  <c r="D63" i="16"/>
  <c r="D17" i="16"/>
  <c r="D99" i="16"/>
  <c r="D30" i="16"/>
  <c r="D94" i="16"/>
  <c r="D19" i="16"/>
  <c r="D61" i="16"/>
  <c r="D80" i="16"/>
  <c r="D78" i="16"/>
  <c r="D52" i="16"/>
  <c r="D100" i="16"/>
  <c r="D23" i="16"/>
  <c r="D86" i="16"/>
  <c r="D83" i="16"/>
  <c r="D28" i="16"/>
  <c r="D57" i="16"/>
  <c r="D67" i="16"/>
  <c r="D37" i="16"/>
  <c r="D27" i="16"/>
  <c r="D55" i="16"/>
  <c r="D96" i="16"/>
  <c r="D74" i="16"/>
  <c r="D41" i="16"/>
  <c r="D42" i="16"/>
  <c r="D53" i="16"/>
  <c r="D59" i="16"/>
  <c r="D84" i="16"/>
  <c r="D18" i="16"/>
  <c r="D10" i="16"/>
  <c r="D48" i="16"/>
  <c r="D60" i="16"/>
  <c r="D7" i="16"/>
  <c r="D90" i="16"/>
  <c r="D98" i="16"/>
  <c r="D43" i="16"/>
  <c r="D49" i="16"/>
  <c r="D25" i="16"/>
  <c r="D14" i="16"/>
  <c r="D64" i="16"/>
  <c r="D87" i="16"/>
  <c r="D38" i="16"/>
  <c r="D36" i="16"/>
  <c r="D73" i="16"/>
  <c r="D91" i="16"/>
  <c r="D66" i="16"/>
  <c r="D71" i="16"/>
  <c r="D50" i="16"/>
  <c r="D16" i="16"/>
  <c r="D47" i="16"/>
  <c r="D97" i="16"/>
  <c r="D65" i="16"/>
  <c r="D11" i="16"/>
  <c r="D51" i="16"/>
  <c r="D13" i="16"/>
  <c r="D9" i="16"/>
  <c r="D39" i="16"/>
  <c r="D77" i="16"/>
  <c r="D29" i="16"/>
  <c r="D72" i="16"/>
  <c r="D76" i="16"/>
  <c r="D85" i="16"/>
  <c r="D89" i="16"/>
  <c r="D26" i="16"/>
  <c r="D56" i="16"/>
  <c r="D24" i="16"/>
  <c r="D31" i="16"/>
  <c r="D8" i="16"/>
  <c r="D46" i="16"/>
  <c r="D95" i="16"/>
  <c r="D15" i="16"/>
  <c r="D75" i="16"/>
  <c r="D62" i="16"/>
  <c r="D79" i="16"/>
  <c r="D40" i="16"/>
  <c r="D54" i="16"/>
  <c r="D101" i="16"/>
  <c r="D22" i="16"/>
  <c r="D21" i="16"/>
  <c r="D82" i="16"/>
  <c r="D33" i="16"/>
  <c r="D92" i="16"/>
  <c r="D6" i="16"/>
  <c r="D70" i="16"/>
  <c r="D69" i="16"/>
  <c r="D68" i="16"/>
  <c r="D32" i="16"/>
  <c r="D58" i="16"/>
  <c r="D20" i="16"/>
  <c r="D44" i="16"/>
  <c r="D81" i="16"/>
  <c r="D93" i="16"/>
  <c r="D35" i="16"/>
  <c r="D34" i="16"/>
  <c r="D12" i="16"/>
  <c r="D45" i="16"/>
  <c r="C10" i="31"/>
  <c r="E10" i="31" s="1"/>
  <c r="B103" i="16"/>
  <c r="D103" i="16" l="1"/>
  <c r="M11" i="5"/>
  <c r="K103" i="16"/>
</calcChain>
</file>

<file path=xl/sharedStrings.xml><?xml version="1.0" encoding="utf-8"?>
<sst xmlns="http://schemas.openxmlformats.org/spreadsheetml/2006/main" count="2250" uniqueCount="794">
  <si>
    <t>Authors: Parke Wilde, Hayley Fryling</t>
  </si>
  <si>
    <t>Gerald J. and Dorothy R. Friedman School of Nutrition Science and Policy, Tufts University, Boston, MA 02111</t>
  </si>
  <si>
    <t>Worksheet Description</t>
  </si>
  <si>
    <r>
      <rPr>
        <b/>
        <sz val="11"/>
        <color rgb="FF2F75B5"/>
        <rFont val="Calibri"/>
      </rPr>
      <t>Your Model Diet</t>
    </r>
    <r>
      <rPr>
        <sz val="11"/>
        <color rgb="FF000000"/>
        <rFont val="Calibri"/>
      </rPr>
      <t xml:space="preserve"> - The entry page for your model diet, including the selection of your age-sex demographic group and cost reference period, and entry of your model diet's daily calorie consumption.</t>
    </r>
  </si>
  <si>
    <r>
      <rPr>
        <b/>
        <sz val="11"/>
        <color rgb="FFBF8F00"/>
        <rFont val="Calibri"/>
        <family val="2"/>
      </rPr>
      <t xml:space="preserve">Output </t>
    </r>
    <r>
      <rPr>
        <sz val="11"/>
        <color rgb="FF000000"/>
        <rFont val="Calibri"/>
        <family val="2"/>
      </rPr>
      <t>- A summary display comparing your model diet to the TFP constraints, including cost, food group, energy and nutrient requirements, and distance from current consumption.</t>
    </r>
  </si>
  <si>
    <r>
      <rPr>
        <b/>
        <sz val="11"/>
        <color rgb="FF808080"/>
        <rFont val="Calibri"/>
        <family val="2"/>
      </rPr>
      <t>Common Foods</t>
    </r>
    <r>
      <rPr>
        <sz val="11"/>
        <color rgb="FF000000"/>
        <rFont val="Calibri"/>
        <family val="2"/>
      </rPr>
      <t xml:space="preserve"> - A reference sheet describing the common food items belonging to the 97 modeling categories as documented in the 2021 TFP Report. This worksheet can help you select the appropriate TFP categories when considering the types of foods you are including in your model diet. </t>
    </r>
  </si>
  <si>
    <r>
      <rPr>
        <b/>
        <sz val="11"/>
        <color rgb="FF7B7B7B"/>
        <rFont val="Calibri"/>
        <family val="2"/>
      </rPr>
      <t>Sources of Nutrients</t>
    </r>
    <r>
      <rPr>
        <sz val="11"/>
        <color rgb="FF000000"/>
        <rFont val="Calibri"/>
        <family val="2"/>
      </rPr>
      <t xml:space="preserve"> - A reference sheet showing the nutrient content per 100 grams for each of the 97 modeling categories, presented as the amount of each nutrient per dollar and per 1,000 kilocalories. This worksheet can help you adjust your model diet to meet challenging TFP constraints, as you can sort and rank the TFP categories based on various macronutrient, food group, and micronutrient characteristics.</t>
    </r>
  </si>
  <si>
    <t>TFP User Goal and Usage</t>
  </si>
  <si>
    <r>
      <rPr>
        <sz val="11"/>
        <color rgb="FF000000"/>
        <rFont val="Calibri"/>
        <family val="2"/>
      </rPr>
      <t xml:space="preserve">This TFP Calculator allows you to create your own TFP-style model diet and shows you how your model diet compares to the TFP model diet in relation to daily cost, food group, energy and nutrient requirements, and distance from current consumption. In this file, </t>
    </r>
    <r>
      <rPr>
        <b/>
        <sz val="11"/>
        <color rgb="FF2F75B5"/>
        <rFont val="Calibri"/>
        <family val="2"/>
      </rPr>
      <t>blue cells</t>
    </r>
    <r>
      <rPr>
        <sz val="11"/>
        <color rgb="FF000000"/>
        <rFont val="Calibri"/>
        <family val="2"/>
      </rPr>
      <t xml:space="preserve"> may be modified by you. All other cells are either row or column titles, references, or calculations automatically populated based on your entry. </t>
    </r>
  </si>
  <si>
    <t>Brief Steps</t>
  </si>
  <si>
    <t xml:space="preserve">See User Guide for details. </t>
  </si>
  <si>
    <t>For Worksheet - Your Model Diet</t>
  </si>
  <si>
    <r>
      <rPr>
        <u/>
        <sz val="11"/>
        <color rgb="FF000000"/>
        <rFont val="Calibri"/>
      </rPr>
      <t>1. Select an Age Sex-Demographic Group and Cost Reference Period</t>
    </r>
    <r>
      <rPr>
        <sz val="11"/>
        <color rgb="FF000000"/>
        <rFont val="Calibri"/>
      </rPr>
      <t xml:space="preserve"> - Click the first </t>
    </r>
    <r>
      <rPr>
        <b/>
        <sz val="11"/>
        <color rgb="FF2F75B5"/>
        <rFont val="Calibri"/>
      </rPr>
      <t xml:space="preserve">blue cell </t>
    </r>
    <r>
      <rPr>
        <sz val="11"/>
        <color rgb="FF000000"/>
        <rFont val="Calibri"/>
      </rPr>
      <t xml:space="preserve">in row 6 to select an age-sex demographic group from the drop-down menu, the drop-down menu includes the age-sex groups that represent the TFP Reference Family of Four. Each age-sex group has its own current and TFP-modeled consumption for each of the 97 modeling categories, as well as TFP constraints, including cost, and food group, energy, and nutrient requirements. Click the second </t>
    </r>
    <r>
      <rPr>
        <b/>
        <sz val="11"/>
        <color rgb="FF2F75B5"/>
        <rFont val="Calibri"/>
      </rPr>
      <t xml:space="preserve">blue cell </t>
    </r>
    <r>
      <rPr>
        <sz val="11"/>
        <color rgb="FF000000"/>
        <rFont val="Calibri"/>
      </rPr>
      <t xml:space="preserve">in row 6 to select the year to which you want the food prices adjusted for inflation: June 2021, matching the 2021 TFP Report, or the most recent June 2024. </t>
    </r>
  </si>
  <si>
    <r>
      <rPr>
        <u/>
        <sz val="11"/>
        <color rgb="FF000000"/>
        <rFont val="Calibri"/>
      </rPr>
      <t>2. Enter Daily Calorie Consumption for the 97 Modeling Categories</t>
    </r>
    <r>
      <rPr>
        <sz val="11"/>
        <color rgb="FF000000"/>
        <rFont val="Calibri"/>
      </rPr>
      <t xml:space="preserve"> - Enter your model diet's daily calorie consumption in the </t>
    </r>
    <r>
      <rPr>
        <b/>
        <sz val="11"/>
        <color rgb="FF2F75B5"/>
        <rFont val="Calibri"/>
      </rPr>
      <t xml:space="preserve">blue cells </t>
    </r>
    <r>
      <rPr>
        <sz val="11"/>
        <color rgb="FF000000"/>
        <rFont val="Calibri"/>
      </rPr>
      <t xml:space="preserve">in column E. By default, the values in this column are pre-filled with the USDA's estimates of current consumption for Americans in the selected age-sex group whose diets are sufficiently healthy, based on data from NHANES. The default current consumption's daily calorie estimates will be lower than actual energy requirements due to underreporting. If you use these default calorie estimates as a starting point, you will need to increase your model diet's calorie consumption across all TFP categories to meet energy requirements. The cell for the TFP category BEV_DIET is locked at zero, as diet beverages do not contain calories and cannot be included in your model diet. </t>
    </r>
  </si>
  <si>
    <t>For Worksheet - Output</t>
  </si>
  <si>
    <r>
      <rPr>
        <u/>
        <sz val="11"/>
        <color rgb="FF000000"/>
        <rFont val="Calibri"/>
        <family val="2"/>
      </rPr>
      <t>1. Compare Your Model Diet to Various TFP Constraints</t>
    </r>
    <r>
      <rPr>
        <sz val="11"/>
        <color rgb="FF000000"/>
        <rFont val="Calibri"/>
        <family val="2"/>
      </rPr>
      <t xml:space="preserve"> -</t>
    </r>
  </si>
  <si>
    <t>a. Cost Constraint - compares your model diet's daily cost to the cost constraint in the TFP.</t>
  </si>
  <si>
    <r>
      <rPr>
        <sz val="11"/>
        <color rgb="FF000000"/>
        <rFont val="Calibri"/>
      </rPr>
      <t xml:space="preserve">b. Food Group Constraints - compares your diet's daily servings to one of three dietary pattern references in the 2020 - 2025 Dietary Guidelines for Americans (DGA). Click the </t>
    </r>
    <r>
      <rPr>
        <b/>
        <sz val="11"/>
        <color rgb="FF2F75B5"/>
        <rFont val="Calibri"/>
      </rPr>
      <t>blue cell</t>
    </r>
    <r>
      <rPr>
        <sz val="11"/>
        <color rgb="FF000000"/>
        <rFont val="Calibri"/>
      </rPr>
      <t xml:space="preserve"> in row 13 to select from the drop-down menu which includes three dietary patterns reported in the DGAs. The USDA uses the DGA's Healthy US-Style Dietary Pattern to model the TFP.</t>
    </r>
  </si>
  <si>
    <t>c. Energy Constraints - compares your model diet's daily calories to the energy constraint in the TFP.</t>
  </si>
  <si>
    <t xml:space="preserve">d. Nutrient Constraints - compares your model diet's daily grams or intake to nutrient constraints in the TFP. </t>
  </si>
  <si>
    <t>e. Similarity to Current Consumption - compares your model diet to the average consumption of healthy-eating Americans in the selected age-sex group.</t>
  </si>
  <si>
    <r>
      <rPr>
        <sz val="11"/>
        <color rgb="FF000000"/>
        <rFont val="Calibri"/>
        <family val="2"/>
      </rPr>
      <t xml:space="preserve">Enter your amounts in column E in </t>
    </r>
    <r>
      <rPr>
        <b/>
        <sz val="11"/>
        <color rgb="FF2F75B5"/>
        <rFont val="Calibri"/>
        <family val="2"/>
      </rPr>
      <t>blue</t>
    </r>
    <r>
      <rPr>
        <sz val="11"/>
        <color rgb="FF000000"/>
        <rFont val="Calibri"/>
        <family val="2"/>
      </rPr>
      <t xml:space="preserve">. Use the default age-sex demographic group, Female 20-50yrs, and default cost reference period, June 2021, or choose a different selection using the </t>
    </r>
    <r>
      <rPr>
        <b/>
        <sz val="11"/>
        <color rgb="FF2F75B5"/>
        <rFont val="Calibri"/>
        <family val="2"/>
      </rPr>
      <t>blue</t>
    </r>
    <r>
      <rPr>
        <sz val="11"/>
        <color rgb="FF000000"/>
        <rFont val="Calibri"/>
        <family val="2"/>
      </rPr>
      <t xml:space="preserve"> pull-down menus in row 6. Column J shows the distance between your modeled diet and current consumption. USDA's TFP consumption is provided for comparison. See the Output tab for more information about how your modeled diet performs. See the Instructions tab or User Guide for more details.</t>
    </r>
  </si>
  <si>
    <t>Age-Sex Demographic Group</t>
  </si>
  <si>
    <t>Cost Reference Period</t>
  </si>
  <si>
    <t>Female, 20-50yrs</t>
  </si>
  <si>
    <t>June 2021</t>
  </si>
  <si>
    <t>Description</t>
  </si>
  <si>
    <t>Your Model Diet</t>
  </si>
  <si>
    <t>Distance from Current Consumption</t>
  </si>
  <si>
    <t>Current Consumption</t>
  </si>
  <si>
    <t>TFP Consumption</t>
  </si>
  <si>
    <t>LND - Low Nutrient Density</t>
  </si>
  <si>
    <t>Daily Calories</t>
  </si>
  <si>
    <t>Daily Cost</t>
  </si>
  <si>
    <t>ID</t>
  </si>
  <si>
    <t>Modeling Categories</t>
  </si>
  <si>
    <t>HND- High Nutrient Density</t>
  </si>
  <si>
    <t>kcal</t>
  </si>
  <si>
    <t>%</t>
  </si>
  <si>
    <t>$</t>
  </si>
  <si>
    <t xml:space="preserve">Total </t>
  </si>
  <si>
    <t>BEPELE</t>
  </si>
  <si>
    <t>Beans, peas, lentils</t>
  </si>
  <si>
    <t>BEV_COFTEA_LND</t>
  </si>
  <si>
    <t>Coffee &amp; Tea, LND</t>
  </si>
  <si>
    <t>BEV_COFTEA_HND</t>
  </si>
  <si>
    <t>Coffee &amp; Tea, HND</t>
  </si>
  <si>
    <t>BEV_DIET</t>
  </si>
  <si>
    <t>Diet beverages (*zero calories, not editable)</t>
  </si>
  <si>
    <t>BEV_FRT_HND</t>
  </si>
  <si>
    <t>Fruit drinks - HND</t>
  </si>
  <si>
    <t>TFP Ref (Per P)</t>
  </si>
  <si>
    <t>BEV_FRT_LND</t>
  </si>
  <si>
    <t>Fruit drinks - LND</t>
  </si>
  <si>
    <t>Healthy US-Style Ref (Per P)</t>
  </si>
  <si>
    <t>BEV_OTHER</t>
  </si>
  <si>
    <t>Milk substitutes, nutr. beverages, smoothies</t>
  </si>
  <si>
    <t>Healthy Vegetarian Ref (Per P)</t>
  </si>
  <si>
    <t>BEV_SODA</t>
  </si>
  <si>
    <t>Soft drinks</t>
  </si>
  <si>
    <t>Dietary Pattern High in Fruits, Seafood, and Healthy Oils Ref (Per P)</t>
  </si>
  <si>
    <t>BISC_MUFF</t>
  </si>
  <si>
    <t>Biscuits, muffins, quick breads</t>
  </si>
  <si>
    <t>CONDIMENTS_HICOST</t>
  </si>
  <si>
    <t>Condiments and Sauces</t>
  </si>
  <si>
    <t>Child, 6-8yrs</t>
  </si>
  <si>
    <t>CONDIMENTS_LOCOST</t>
  </si>
  <si>
    <t>Child, 9-11yrs</t>
  </si>
  <si>
    <t>CRL_HND</t>
  </si>
  <si>
    <t>Cereals, HND</t>
  </si>
  <si>
    <t>CRL_LND</t>
  </si>
  <si>
    <t>Cereals, LND</t>
  </si>
  <si>
    <t>Male, 20-50yrs</t>
  </si>
  <si>
    <t>DRY_CHEESE_HICOST</t>
  </si>
  <si>
    <t>Cheese</t>
  </si>
  <si>
    <t>Reference Family of Four</t>
  </si>
  <si>
    <t>DRY_CHEESE_LOCOST</t>
  </si>
  <si>
    <t>DRY_MLK_YGT_HND</t>
  </si>
  <si>
    <t>Milk and yogurt, HND for all ages</t>
  </si>
  <si>
    <t>DRY_MLK_YGT_LND</t>
  </si>
  <si>
    <t>Milk and yogurt, LND for all ages</t>
  </si>
  <si>
    <t>June 2024</t>
  </si>
  <si>
    <t>DRY_MLK_YGT_1YO_LND</t>
  </si>
  <si>
    <t>Milk and yogurt, LND for 1-year-olds, HND for 2+</t>
  </si>
  <si>
    <t>DRY_MLK_YGT_1YO_HND</t>
  </si>
  <si>
    <t>Milk and yogurt, HND for 1-year-olds, LND for 2+</t>
  </si>
  <si>
    <t>EGGS</t>
  </si>
  <si>
    <t>Eggs</t>
  </si>
  <si>
    <t>FATS_BUTANI</t>
  </si>
  <si>
    <t>Butter and animal fats</t>
  </si>
  <si>
    <t>FATS_MAROILS</t>
  </si>
  <si>
    <t>Margarine, oils, cream, cream substitutes</t>
  </si>
  <si>
    <t>FRUIT_HND_HICOST</t>
  </si>
  <si>
    <t>Fruit, HND</t>
  </si>
  <si>
    <t>FRUIT_LND_HICOST</t>
  </si>
  <si>
    <t>Fruit, LND</t>
  </si>
  <si>
    <t>FRUIT_LND_LOCOST</t>
  </si>
  <si>
    <t>FRUIT_HND_LOCOST</t>
  </si>
  <si>
    <t>FRUIT_JCE_HICOST</t>
  </si>
  <si>
    <t>100% juice</t>
  </si>
  <si>
    <t>FRUIT_JCE_LOCOST</t>
  </si>
  <si>
    <t>GRAINS_LND_LOCOST</t>
  </si>
  <si>
    <t>Staple grains - LND</t>
  </si>
  <si>
    <t>GRAINS_HND_HICOST</t>
  </si>
  <si>
    <t>Staple grains - HND</t>
  </si>
  <si>
    <t>GRAINS_LND_HICOST</t>
  </si>
  <si>
    <t>GRAINS_HND_LOCOST</t>
  </si>
  <si>
    <t>MEAT_LND_LOCOST</t>
  </si>
  <si>
    <t>Meat, LND</t>
  </si>
  <si>
    <t>MEAT_LND_HICOST</t>
  </si>
  <si>
    <t>MEAT_HND_LOCOST</t>
  </si>
  <si>
    <t>Meat, HND</t>
  </si>
  <si>
    <t>MEAT_HND_HICOST</t>
  </si>
  <si>
    <t>MEAT_CURED</t>
  </si>
  <si>
    <t>Cured meat</t>
  </si>
  <si>
    <t>MXD_BEPELE_HND_HICOST</t>
  </si>
  <si>
    <t>Mixed Dishes - Beans, peas, lentils - HND</t>
  </si>
  <si>
    <t>MXD_BEPELE_LND_HICOST</t>
  </si>
  <si>
    <t>Mixed Dishes - Beans, peas, lentils - LND</t>
  </si>
  <si>
    <t>MXD_BEPELE_HND_LOCOST</t>
  </si>
  <si>
    <t>MXD_BEPELE_LND_LOCOST</t>
  </si>
  <si>
    <t>MXD_EGGS_HND</t>
  </si>
  <si>
    <t>Mixed Dishes - Eggs - HND</t>
  </si>
  <si>
    <t>MXD_EGGS_LND</t>
  </si>
  <si>
    <t>Mixed Dishes - Eggs - LND</t>
  </si>
  <si>
    <t>MXD_GRAIN_HND_LOCOST</t>
  </si>
  <si>
    <t>Mixed Dishes - Grain based - HND</t>
  </si>
  <si>
    <t>MXD_GRAIN_LND_LOCOST</t>
  </si>
  <si>
    <t>Mixed Dishes - Grain based - LND</t>
  </si>
  <si>
    <t>MXD_GRAIN_HND_HICOST</t>
  </si>
  <si>
    <t>MXD_GRAIN_LND_HICOST</t>
  </si>
  <si>
    <t>MXD_MPS_LND_LOCOST</t>
  </si>
  <si>
    <t>Mixed Dishes - Meat, Poultry, Seafood - LND</t>
  </si>
  <si>
    <t>MXD_MPS_HND_HICOST</t>
  </si>
  <si>
    <t>Mixed Dishes - Meat, Poultry, Seafood - HND</t>
  </si>
  <si>
    <t>MXD_MPS_LND_HICOST</t>
  </si>
  <si>
    <t>MXD_MPS_HND_LOCOST</t>
  </si>
  <si>
    <t>MXD_PIZZA_LND_LOCOST</t>
  </si>
  <si>
    <t>Pizza - LND</t>
  </si>
  <si>
    <t>MXD_PIZZA_HND_LOCOST</t>
  </si>
  <si>
    <t>Pizza - HND</t>
  </si>
  <si>
    <t>MXD_PIZZA_LND_HICOST</t>
  </si>
  <si>
    <t>MXD_PIZZA_HND_HICOST</t>
  </si>
  <si>
    <t>MXD_SANDW_LND_LOCOST</t>
  </si>
  <si>
    <t>Mixed Dishes - Sandwiches - LND</t>
  </si>
  <si>
    <t>MXD_SANDW_LND_HICOST</t>
  </si>
  <si>
    <t>MXD_SANDW_HND_HICOST</t>
  </si>
  <si>
    <t>Mixed Dishes - Sandwiches - HND</t>
  </si>
  <si>
    <t>MXD_SANDW_HND_LOCOST</t>
  </si>
  <si>
    <t>MXD_SOUPS_HND_LOCOST</t>
  </si>
  <si>
    <t>Soups - HND</t>
  </si>
  <si>
    <t>MXD_SOUPS_LND_HICOST</t>
  </si>
  <si>
    <t>Soups - LND</t>
  </si>
  <si>
    <t>MXD_SOUPS_LND_LOCOST</t>
  </si>
  <si>
    <t>MXD_SOUPS_HND_HICOST</t>
  </si>
  <si>
    <t>MXD_VEGET_LND_HICOST</t>
  </si>
  <si>
    <t>Mixed Dishes - Vegetables - LND</t>
  </si>
  <si>
    <t>MXD_VEGET_LND_LOCOST</t>
  </si>
  <si>
    <t>MXD_VEGET_HND_HICOST</t>
  </si>
  <si>
    <t>Mixed Dishes - Vegetables - HND</t>
  </si>
  <si>
    <t>MXD_VEGET_HND_LOCOST</t>
  </si>
  <si>
    <t>NUTSD_LND</t>
  </si>
  <si>
    <t>Nuts &amp; Seeds, LND</t>
  </si>
  <si>
    <t>NUTSD_HND</t>
  </si>
  <si>
    <t>Nuts &amp; Seeds, HND</t>
  </si>
  <si>
    <t>NUTSD_BUT</t>
  </si>
  <si>
    <t>Nut &amp; seed butters</t>
  </si>
  <si>
    <t>PLT_LND_LOCOST</t>
  </si>
  <si>
    <t>Poultry, LND</t>
  </si>
  <si>
    <t>PLT_HND_HICOST</t>
  </si>
  <si>
    <t>Poultry, HND</t>
  </si>
  <si>
    <t>PLT_LND_HICOST</t>
  </si>
  <si>
    <t>PLT_HND_LOCOST</t>
  </si>
  <si>
    <t>POTATOES</t>
  </si>
  <si>
    <t>Fried Potato Products</t>
  </si>
  <si>
    <t>PROC_SOY</t>
  </si>
  <si>
    <t>Processed soy products</t>
  </si>
  <si>
    <t>SEAFOOD_LOCOST</t>
  </si>
  <si>
    <t>Seafood</t>
  </si>
  <si>
    <t>SEAFOOD_HICOST</t>
  </si>
  <si>
    <t>SNA_BAKERY</t>
  </si>
  <si>
    <t>Sweet bakery products</t>
  </si>
  <si>
    <t>SNA_BARS</t>
  </si>
  <si>
    <t>Snack Bars</t>
  </si>
  <si>
    <t>SNA_CANDY</t>
  </si>
  <si>
    <t>Candy</t>
  </si>
  <si>
    <t>SNA_CORNCHIP</t>
  </si>
  <si>
    <t>Tortilla, corn, other chips</t>
  </si>
  <si>
    <t>SNA_CRK_HND</t>
  </si>
  <si>
    <t>Crackers, HND</t>
  </si>
  <si>
    <t>SNA_CRK_LND</t>
  </si>
  <si>
    <t>Crackers, LND</t>
  </si>
  <si>
    <t>SNA_DESSERT</t>
  </si>
  <si>
    <t>Other Desserts</t>
  </si>
  <si>
    <t>SNA_MIXED</t>
  </si>
  <si>
    <t>Pretzels/snack mix</t>
  </si>
  <si>
    <t>SNA_POP_HND</t>
  </si>
  <si>
    <t>Popcorn, HND</t>
  </si>
  <si>
    <t>SNA_POP_LND</t>
  </si>
  <si>
    <t>Popcorn, LND</t>
  </si>
  <si>
    <t>SNA_SUGARS</t>
  </si>
  <si>
    <t>Sugars</t>
  </si>
  <si>
    <t>VEG_DARKGRE_LOCOST</t>
  </si>
  <si>
    <t>Dark green vegetables</t>
  </si>
  <si>
    <t>VEG_DARKGRE_HICOST</t>
  </si>
  <si>
    <t>VEG_OTHER_LOCOST</t>
  </si>
  <si>
    <t>Other vegetables + vegetable combinations</t>
  </si>
  <si>
    <t>VEG_OTHER_HICOST</t>
  </si>
  <si>
    <t>VEG_REDORAN_HICOST</t>
  </si>
  <si>
    <t>Red orange vegetables</t>
  </si>
  <si>
    <t>VEG_REDORAN_LOCOST</t>
  </si>
  <si>
    <t>VEG_STARCHY_LOCOST</t>
  </si>
  <si>
    <t>Starchy vegetables</t>
  </si>
  <si>
    <t>VEG_STARCHY_HICOST</t>
  </si>
  <si>
    <r>
      <rPr>
        <sz val="11"/>
        <color rgb="FF000000"/>
        <rFont val="Calibri"/>
        <family val="2"/>
      </rPr>
      <t xml:space="preserve">Compare your model diet to the TFP constraints for cost, food groups, energy, macronutrients, micronutrients, and distance from current consumption. Use the default dietary pattern reference, Healthy US-Style, or choose a different Dietary Pattern from the 2020 - 2025 Dietary Guidelines for Americans with the </t>
    </r>
    <r>
      <rPr>
        <b/>
        <sz val="11"/>
        <color rgb="FF2F75B5"/>
        <rFont val="Calibri"/>
        <family val="2"/>
      </rPr>
      <t>blue</t>
    </r>
    <r>
      <rPr>
        <sz val="11"/>
        <color rgb="FF000000"/>
        <rFont val="Calibri"/>
        <family val="2"/>
      </rPr>
      <t xml:space="preserve"> pull-down menu in Row 13. Column F indicates if the TFP constraint is being met. See the Instructions tab or User Guide for more details.</t>
    </r>
  </si>
  <si>
    <t>Cost Constraint</t>
  </si>
  <si>
    <t>Your Model Diet's Daily Cost</t>
  </si>
  <si>
    <t>TFP Constraint</t>
  </si>
  <si>
    <t>Percent of Constraint (%)</t>
  </si>
  <si>
    <t>Cost ($)</t>
  </si>
  <si>
    <t>Food Group Constraints</t>
  </si>
  <si>
    <t>Your Model Diet's Daily Servings</t>
  </si>
  <si>
    <t>Healthy US-Style Reference</t>
  </si>
  <si>
    <t>Vegetables (cup eq)</t>
  </si>
  <si>
    <t>Healthy Vegetarian Reference</t>
  </si>
  <si>
    <t>Dark-Green Vegetables</t>
  </si>
  <si>
    <t>Healthy Mediterranean Reference</t>
  </si>
  <si>
    <t>Red/Orange Vegetables</t>
  </si>
  <si>
    <t>Beans, Peas, Lentils</t>
  </si>
  <si>
    <t>Starchy Vegetables</t>
  </si>
  <si>
    <t>Other Vegetables</t>
  </si>
  <si>
    <t>Fruits (cup eq)</t>
  </si>
  <si>
    <t>Grains (oz eq)</t>
  </si>
  <si>
    <t>Family of Four</t>
  </si>
  <si>
    <t>Whole Grains</t>
  </si>
  <si>
    <t>Refined Grains</t>
  </si>
  <si>
    <t>Dairy (cup eq)</t>
  </si>
  <si>
    <t>Protein Foods (oz eq)</t>
  </si>
  <si>
    <t>Meat, Poultry, Eggs</t>
  </si>
  <si>
    <t>Nuts, Seeds, Soy Products</t>
  </si>
  <si>
    <t>-</t>
  </si>
  <si>
    <t>Soy Products</t>
  </si>
  <si>
    <t>Nuts, Seeds</t>
  </si>
  <si>
    <t>Oil (g)</t>
  </si>
  <si>
    <r>
      <rPr>
        <b/>
        <sz val="11"/>
        <color rgb="FF000000"/>
        <rFont val="Calibri"/>
        <family val="2"/>
      </rPr>
      <t xml:space="preserve">Note: </t>
    </r>
    <r>
      <rPr>
        <sz val="11"/>
        <color rgb="FF000000"/>
        <rFont val="Calibri"/>
        <family val="2"/>
      </rPr>
      <t xml:space="preserve">Reference daily serving amounts are lower bounds for all food groups except for refined grains, which have an upper bound of 3.50 oz. In the "Percent of Constraint" column, </t>
    </r>
    <r>
      <rPr>
        <b/>
        <sz val="11"/>
        <color rgb="FF74D687"/>
        <rFont val="Calibri"/>
        <family val="2"/>
      </rPr>
      <t>green shading</t>
    </r>
    <r>
      <rPr>
        <sz val="11"/>
        <color rgb="FF000000"/>
        <rFont val="Calibri"/>
        <family val="2"/>
      </rPr>
      <t xml:space="preserve"> means the dietary reference or TFP constraint is met. For most food groups, </t>
    </r>
    <r>
      <rPr>
        <b/>
        <sz val="11"/>
        <color rgb="FF74D687"/>
        <rFont val="Calibri"/>
        <family val="2"/>
      </rPr>
      <t>green</t>
    </r>
    <r>
      <rPr>
        <sz val="11"/>
        <color rgb="FF000000"/>
        <rFont val="Calibri"/>
        <family val="2"/>
      </rPr>
      <t xml:space="preserve"> appears when the value is 100% or above, as the goal is to meet or exceed the reference amount. For refined grains, </t>
    </r>
    <r>
      <rPr>
        <b/>
        <sz val="11"/>
        <color rgb="FF74D687"/>
        <rFont val="Calibri"/>
        <family val="2"/>
      </rPr>
      <t>green</t>
    </r>
    <r>
      <rPr>
        <sz val="11"/>
        <color rgb="FF74D687"/>
        <rFont val="Calibri"/>
        <family val="2"/>
      </rPr>
      <t xml:space="preserve"> </t>
    </r>
    <r>
      <rPr>
        <sz val="11"/>
        <color rgb="FF000000"/>
        <rFont val="Calibri"/>
        <family val="2"/>
      </rPr>
      <t>appears when the value is below 100%, as the goal is to stay under the reference amount. In the USDA's model, refined grains should constitute less than half of total grain consumption. A dash (-) in the reference amount indicates no reference value exists for that food subgroup in the selected dietary pattern. In vegetarian diets, beans, peas, and lentils are sometimes counted as part of the protein foods group; however, this calculator does not include data on their daily protein servings in column C, so they are counted only toward vegetable servings.</t>
    </r>
  </si>
  <si>
    <t>Energy Constraint</t>
  </si>
  <si>
    <t>Your Model Diet's Daily Calories</t>
  </si>
  <si>
    <t>Calories (kcal)</t>
  </si>
  <si>
    <t>Macronutrients Constraints</t>
  </si>
  <si>
    <t>Your Model Diet's Daily Grams</t>
  </si>
  <si>
    <t>Percent of Daily Calories (%)</t>
  </si>
  <si>
    <t>TFP Constraint (% of daily calories)</t>
  </si>
  <si>
    <t>Within ADMR Range (Yes/No)</t>
  </si>
  <si>
    <t>Fat (g)</t>
  </si>
  <si>
    <t>Saturated Fat (g)</t>
  </si>
  <si>
    <t>18:2 Linoleic Acid (g)</t>
  </si>
  <si>
    <t>18:3 Linolenic Acid (g)</t>
  </si>
  <si>
    <t>Carbohydrates (g)</t>
  </si>
  <si>
    <t>Protein (g)</t>
  </si>
  <si>
    <t>Micronutrients Constraints</t>
  </si>
  <si>
    <t>Your Model Diet's Daily Intake</t>
  </si>
  <si>
    <t>Calcium (mg)</t>
  </si>
  <si>
    <t>Choline (mg)</t>
  </si>
  <si>
    <t>Copper (mg)</t>
  </si>
  <si>
    <t>Fiber (g)</t>
  </si>
  <si>
    <t>Folate (mcg DFE)</t>
  </si>
  <si>
    <t>Iron (mg)</t>
  </si>
  <si>
    <t>Magnesium (mg)</t>
  </si>
  <si>
    <t>Niacin (mg)</t>
  </si>
  <si>
    <t>Phosphorus (mg)</t>
  </si>
  <si>
    <t>Potassium (mg)</t>
  </si>
  <si>
    <t>Riboflavin (mg)</t>
  </si>
  <si>
    <t>Thiamin (mg)</t>
  </si>
  <si>
    <t>Vitamin A (mcg RAE)</t>
  </si>
  <si>
    <t>Vitamin B6 (mg)</t>
  </si>
  <si>
    <t>Vitamin B12 (mcg)</t>
  </si>
  <si>
    <t>Vitamin C (mg)</t>
  </si>
  <si>
    <t>Vitamin E (mg)</t>
  </si>
  <si>
    <t>Vitamin K (mcg)</t>
  </si>
  <si>
    <t>Zinc (mg)</t>
  </si>
  <si>
    <t>Sodium (mg)</t>
  </si>
  <si>
    <t>Added sugars (g)</t>
  </si>
  <si>
    <r>
      <rPr>
        <b/>
        <sz val="11"/>
        <color rgb="FF000000"/>
        <rFont val="Calibri"/>
        <family val="2"/>
      </rPr>
      <t>Note</t>
    </r>
    <r>
      <rPr>
        <sz val="11"/>
        <color rgb="FF000000"/>
        <rFont val="Calibri"/>
        <family val="2"/>
      </rPr>
      <t xml:space="preserve">: Reference daily intake amounts represent lower bounds for all micronutrients except for sodium and added sugar, where each are the upper bound. In the "Percent Constraint" column, </t>
    </r>
    <r>
      <rPr>
        <b/>
        <sz val="11"/>
        <color rgb="FF74D687"/>
        <rFont val="Calibri"/>
        <family val="2"/>
      </rPr>
      <t>green shading</t>
    </r>
    <r>
      <rPr>
        <sz val="11"/>
        <color rgb="FF000000"/>
        <rFont val="Calibri"/>
        <family val="2"/>
      </rPr>
      <t xml:space="preserve"> means that the dietary recommendation or TFP constraint is met. For most micronutrients, </t>
    </r>
    <r>
      <rPr>
        <b/>
        <sz val="11"/>
        <color rgb="FF74D687"/>
        <rFont val="Calibri"/>
        <family val="2"/>
      </rPr>
      <t>green</t>
    </r>
    <r>
      <rPr>
        <sz val="11"/>
        <color rgb="FF000000"/>
        <rFont val="Calibri"/>
        <family val="2"/>
      </rPr>
      <t xml:space="preserve"> appears when the value is 100% or above, as the goal is to consume at least the reference amount. For sodium and added sugars, </t>
    </r>
    <r>
      <rPr>
        <b/>
        <sz val="11"/>
        <color rgb="FF74D687"/>
        <rFont val="Calibri"/>
        <family val="2"/>
      </rPr>
      <t>green</t>
    </r>
    <r>
      <rPr>
        <sz val="11"/>
        <color rgb="FF000000"/>
        <rFont val="Calibri"/>
        <family val="2"/>
      </rPr>
      <t xml:space="preserve"> appears when the value is below 100%, as the goal is to consume less than the reference amount. </t>
    </r>
  </si>
  <si>
    <t>TFP Model Diet</t>
  </si>
  <si>
    <t>Use this reference sheet to understand the definitions of HND (higher nutrient density) and LND (lower nutrient density) for TFP categories with these labels, as well as the common food items associated with each category. See the User Guide for more details.</t>
  </si>
  <si>
    <t>Abbreviation Definitions</t>
  </si>
  <si>
    <t>Common Food Items</t>
  </si>
  <si>
    <t>beans (white, black, brown, fava, pink, pinto, and kidney), dried beans (cowpeas, chickpeas, and split peas), lentils, edamame, noodles made with soy or mung beans</t>
  </si>
  <si>
    <t>Coffee &amp; Tea, lower nutrient density (&gt;0 g added sugars/100 g)</t>
  </si>
  <si>
    <t>coffee (Turkish, Cuban, macchiato, café con leche, latte, café mocha, iced, frozen coffee drinks, lightened, sweetened, bottled/canned coffee), tea (hot or iced tea, brewed/bottled and sweetened, tea/ lemonade blends)</t>
  </si>
  <si>
    <t>Coffee &amp; Tea, higher nutrient density (0 g added sugars/100 g)</t>
  </si>
  <si>
    <t>coffee (unsweetened or with low-calorie sweetener, with nonfat milk), tea (hot or iced tea, brewed/bottled and unsweetened or with low-calorie sweetener)</t>
  </si>
  <si>
    <t>Diet beverages</t>
  </si>
  <si>
    <t>Diet beverages (0 g added sugars/100 g)</t>
  </si>
  <si>
    <t>diet soft drinks, diet fruit-flavored drinks, diet energy drinks, unsweetened carbonated waters</t>
  </si>
  <si>
    <t>Fruit drinks - higher nutrient density (0 g added sugars/100 g)</t>
  </si>
  <si>
    <t>regular, light and diet fruit juice drinks, unsweetened coconut water, 40–50% juice/water beverages</t>
  </si>
  <si>
    <t>Fruit drinks - lower nutrient density (&gt;0 g added sugars/100 g)</t>
  </si>
  <si>
    <t>fruit nectars, regular and light fruit juice drinks, fruit punch, lemonade, sweetened coconut water</t>
  </si>
  <si>
    <t>Milk substitutes, nutritional beverages, and smoothies</t>
  </si>
  <si>
    <t>milks (almond, rice, coconut), hot chocolate, fruit and vegetable smoothies, horchata, atole, shakes (Boost, Carnation Instant Breakfast, Ensure, Glucerna, protein shake, Muscle Milk, Slim Fast, nutritional drink or meal replacement)</t>
  </si>
  <si>
    <t>Soft drinks (&gt;0 g added sugars/100 g)</t>
  </si>
  <si>
    <t>sweetened soft drinks, energy drinks, and sports drinks</t>
  </si>
  <si>
    <t>biscuits, scones, cornbread, hushpuppies, muffins, pancakes, waffles, french toast, pumpkin bread</t>
  </si>
  <si>
    <t>Condiments and Sauces, higher cost</t>
  </si>
  <si>
    <t>honey mustard dip, ranch dip, artichoke and spinach dip, cheese dip, peanut sauce, sweet and sour sauce, Teriyaki sauce, plum sauce, cocktail sauce, horseradish, Tzatziki dip, olives (stuffed or unstuffed), pesto sauce</t>
  </si>
  <si>
    <t>Condiments and Sauces, lower cost</t>
  </si>
  <si>
    <t>catsup, mustard, barbecue sauce, soy sauce (regular and reduced sodium), green and red salsa, pico de gallo, dill pickles, relish, vinegar, onion dip, vegetable dip, cheese sauce, enchilada sauce, white sauce, alfredo sauce, gravy (milk, mushroom, beef, meat, poultry), pickled beets, lemon juice</t>
  </si>
  <si>
    <t>Cereals, higher nutrient density (≤21.2 g total sugars/100 g AND
≥50% whole grains)</t>
  </si>
  <si>
    <t>regular/quick/instant/flavored oatmeal with or without fat added in cooking or milk, puffed millet or wheat, shredded wheat, Toasted Oat cereal, Cheerios, Chex cereals, Grape-Nuts cereals, Kix, Nature’s Path Organic Flax Plus, Wheaties, Great Grains Double Pecan Whole Grain cereal, Total, Quaker Oatmeal Squares, Post Banana Nut Crunch cereal, All-Bran Complete Wheat Flakes, Plain/Cinnamon Life, homemade granola, Health Valley Fiber 7 Flakes, Frosted Mini-Wheats, Alpha-Bits</t>
  </si>
  <si>
    <t>Cereals, lower nutrient density (&gt;21.2 g total sugars/100 g AND/
OR &gt;50% refined grains)</t>
  </si>
  <si>
    <t>puffed rice, cream of wheat/rice/rye, corn/hominy grits, oat bran cereal, cornmeal mush, Corn Flakes, Rice/Cocoa Krispies, Crispy Brown Rice Cereal, Crispy Rice, Rice Flakes, Special K, Kashi GOLEAN, Honey Bunches of Oats, reduced-sugar Cinnamon Toast Crunch, Post Maple Pecan Crunch cereal, Kashi Heart to Heart, Fruit &amp; Fibre (fiber), Reduced-sugar Frosted Flakes, Honey Nut Clusters, reducedsugar Trix, reduced-sugar Cocoa Puffs, Cinnamon/ Chocolate/Honey Nut Chex, All-Bran Bran Buds, Kellogg’s Granola with Raisins, Cracklin’ Oat Bran, Raisin bran, Honey Nut/ Frosted Cheerios, Golden Grahams, Reese’s Peanut Butter Puffs cereal, Lucky Charms, Apple Jacks, Cap’n Crunch, Froot Loops, Alpha-Bits with marshmallows</t>
  </si>
  <si>
    <t>Cheese, higher cost</t>
  </si>
  <si>
    <t>Cheddar cheese, Mozzarella cheese, Provolone cheese, Colby Jack cheese, Monterey cheese, Parmesan cheese, Feta cheese, Gouda cheese, goat cheese, Brie cheese</t>
  </si>
  <si>
    <t>Cheese, lower cost</t>
  </si>
  <si>
    <t>american cheese (regular, nonfat), processed cheese food, processed cream cheese product (nonfat), American/cheddar cheese spread, American/Swiss blend cheese, Mexican blend cheese, queso fresco, queso añejo, queso asadero, Mozzarella sticks (breaded and baked, fried), cottage cheese (lowfat or 1–2% fat) with or without fruit, creamed cottage cheese, ricotta, imitation cheese</t>
  </si>
  <si>
    <t>Milk and yogurt, higher nutrient density for all ages (plain/flavored nonfat/1% milk; milk and non-whole milk yogurt with 0 g added sugars/100 g; soy beverage with &lt;3.3 g added sugars/100 g)</t>
  </si>
  <si>
    <t>low-fat (1%) and nonfat regular or lactose-free milks; flavored milk and hot chocolate made with 1% or nonfat milk and no added sugars; evaporated fat free milk; kefir; plain, flavored, and fruit yogurts; nonfat and light soy beverage; nonfat chocolate soy beverage</t>
  </si>
  <si>
    <t>Milk and yogurt, lower nutrient density for all ages (plain whole/2% milk; or those and yogurt with &gt;0 g added sugars/100 g; whole milk-based
yogurt; soy beverage with ≥3.3 g added sugars/100 g, and milkbased beverages with added sugars)</t>
  </si>
  <si>
    <t>whole and 2% regular or lactose-free milks; whole and 2% flavored, evaporated, and sweetened condensed milks; hot chocolate; milk shakes; ice cream soda; eggnog; plain, flavored, and fruit yogurts; regular and light chocolate soy beverage; soy yogurt</t>
  </si>
  <si>
    <t>Milk and yogurt, lower nutrient density for 1-year-olds, higher nutrient density for 2+</t>
  </si>
  <si>
    <t>Milk and yogurt, higher nutrient density for 1-year-olds, lower nutrient density for 2+</t>
  </si>
  <si>
    <t>Eggs (with/without fat; no other main
ingredients)</t>
  </si>
  <si>
    <t>omelet, scrambled eggs, fried eggs, egg whites, and egg substitutes with/without fat; game eggs</t>
  </si>
  <si>
    <t>butter, light butter, honey butter, animal fat/drippings, lard, fat back, ghee</t>
  </si>
  <si>
    <t>margarine/spread, butter/margarine blend, and shortening; light, half &amp; half, and heavy cream; cream substitute; whipped cream/topping; regular, reduced fat, light, and fat free sour cream; cream cheese, mayonnaise; all vegetable oils; salad dressings</t>
  </si>
  <si>
    <t>Fruit, higher nutrient density, higher cost (0 g added sugars/100 g AND
&lt;0.5 g saturated fat/100 g)</t>
  </si>
  <si>
    <t>raw - grapes, blueberries, strawberries, raisins, mango, pineapple</t>
  </si>
  <si>
    <t>Fruit, lower nutrient density, higher cost (&gt;0 g added sugars/100 g AND/
OR ≥0.5 g saturated fat/100 g)</t>
  </si>
  <si>
    <t>banana chips, dried cranberries, canned peaches, chocolate covered fruit, candied apples</t>
  </si>
  <si>
    <t>Fruit, lower nutrient density, lower cost (&gt;0 g added sugars/100 g AND/
OR ≥0.5 g saturated fat/100 g)</t>
  </si>
  <si>
    <t>cooked/canned—sweetened applesauce, sweetened fruit cocktail, sweetened peach, sweetened pear, sweetened strawberries, cranberry sauce</t>
  </si>
  <si>
    <t>Fruit, higher nutrient density, lower cost (0 g added sugars/100 g AND
&lt;0.5 g saturated fat/100 g)</t>
  </si>
  <si>
    <t>raw—apple, banana, orange, tangerine, tangelo, watermelon, honeydew melon, cantaloupe, grapefruit, peach, nectarine, pear, lime, persimmon, fruit salad, cooked/canned— unsweetened applesauce, peach in juice, pineapple in juice, fruit cocktail in juice/water</t>
  </si>
  <si>
    <t>100% juice, higher cost</t>
  </si>
  <si>
    <t>fruit juice blend, pineapple juice, grape juice, blackberry juice</t>
  </si>
  <si>
    <t>100% juice, lower cost</t>
  </si>
  <si>
    <t>orange juice, apple juice/cider, grapefruit juice, cranberry juice blend</t>
  </si>
  <si>
    <t>Staple grains - lower nutrient density, lower cost (&gt;50% refined grains)</t>
  </si>
  <si>
    <t>white bread, wheat or cracked wheat bread, hot dog or hamburger bun, potato bread, oatmeal bread, oat bran bread, hard roll, multigrain bagel, wheat bagel with raisins, bagel with fruit (not raisins), corn or wheat flour tortilla, egg noodles, gluten free pasta, chow fun rice noodles, white or yellow rice, couscous</t>
  </si>
  <si>
    <t>Staple grains - higher nutrient density, higher cost (≥50% whole grains)</t>
  </si>
  <si>
    <t>Naan Indian flatbread, whole wheat tortilla, whole wheat hamburger or hot dog bun, gluten-free bread, Injera Ethiopian bread</t>
  </si>
  <si>
    <t>Staple grains - lower nutrient density, higher cost (&gt;50% refined grains)</t>
  </si>
  <si>
    <t xml:space="preserve">white hoagie roll, French bread, white roll, pita bread, bagels (wheat, with raisins), sourdough bread, rye bread, english muffin, </t>
  </si>
  <si>
    <t>Staple grains - higher nutrient density, lower cost (≥50% whole grains)</t>
  </si>
  <si>
    <t>whole-wheat bread, whole-grain white bread, whole-wheat spaghetti, brown rice, quinoa</t>
  </si>
  <si>
    <t>Meat, lower nutrient density, lower cost (&gt;4.5 g saturated fat/100 g AND/
OR &gt;0 g added sugars/100 g)</t>
  </si>
  <si>
    <t>pork roast, pork spareribs with barbecue sauce, ground pork, pork steak/cutlet (baked, broiled), pork chop (breaded and baked, broiled, fried), beef steak (breaded and baked, fried), beef pot roast</t>
  </si>
  <si>
    <t>Meat, lower nutrient density, higher cost (&gt;4.5 g saturated fat/100 g AND/
OR &gt;0 g added sugars/100 g)</t>
  </si>
  <si>
    <t>ground beef, lamp chop</t>
  </si>
  <si>
    <t>Meat, higher nutrient density, lower cost (≤4.5 g saturated fat/100 g AND
0 g added sugars/100 g)</t>
  </si>
  <si>
    <t>pork chop (baked, broiled, stewed, fried), pork (cut not specified, fried), pork roast, pork steak/cutlet (baked, broiled, fried), beef liver, gizzard</t>
  </si>
  <si>
    <t>Meat, higher nutrient density, higher cost (≤4.5 g saturated fat/100 g AND
0 g added sugars/100 g)</t>
  </si>
  <si>
    <t>beef steak (breaded and baked, fried) lean only eaten</t>
  </si>
  <si>
    <t>bacon, Canadian bacon, jerky, cured pork and ham, prosciutto, frankfurters, sausage, lunch meats, pepperoni, liverwurst, corned beef, bacon bits</t>
  </si>
  <si>
    <t>Mixed Dishes - Beans, peas, lentils - higher nutrient density, higher cost (&lt; median sodium content/100 g)</t>
  </si>
  <si>
    <t>beans cooked with ground beef, beans and tomatoes</t>
  </si>
  <si>
    <t>Mixed Dishes - Beans, peas, lentils - lower nutrient density, higher cost (&gt; median sodium content/100 g)</t>
  </si>
  <si>
    <t>vegetarian baked beans, chili with beans without meat</t>
  </si>
  <si>
    <t>Mixed Dishes - Beans, peas, lentils - higher nutrient density, lower cost (&lt; median sodium content/100 g)</t>
  </si>
  <si>
    <t>refried beans (canned, traditional style; or made with oil)</t>
  </si>
  <si>
    <t>Mixed Dishes - Beans, peas, lentils - lower nutrient density, lower cost (&gt; median sodium content/100 g)</t>
  </si>
  <si>
    <t>baked beans, pork and beans, Boston baked beans, chile beans or barbecue beans or ranch style beans or Mexicanstyle beans</t>
  </si>
  <si>
    <t>Mixed Dishes - Eggs - higher nutrient density (&lt; median sodium content/100 g)</t>
  </si>
  <si>
    <t>eggs, omelets, egg salad, deviled eggs, soufflé, huevos rancheros, egg substitute</t>
  </si>
  <si>
    <t>Mixed Dishes - Eggs - lower nutrient density (&gt; median sodium content/100 g )</t>
  </si>
  <si>
    <t>eggs, omelets, egg salad, eggs Benedict, egg substitute</t>
  </si>
  <si>
    <t>Mixed Dishes - Grain based - higher nutrient density, lower cost (&lt; median sodium content/100 g)</t>
  </si>
  <si>
    <t>macaroni and cheese (from box mix), wholegrain or regular pasta with tomato/meat/poultry sauce and/ or vegetables, pasta with vegetables (no sauce), meat-filled ravioli (canned), flavored pasta, pasta salad, flavored rice mixture, Spanish rice, rice and beans, dirty rice, rice with beans and tomatoes, brown rice with vegetables, white rice with vegetables or lentils</t>
  </si>
  <si>
    <t>Mixed Dishes - Grain based - lower nutrient density, lower cost (&gt; median sodium content/100 g )</t>
  </si>
  <si>
    <t>pasta with tomato meat sauce, pasta with tomato sauce and/or cheese, lasagna with meat/poultry, whole-grain or regular pasta with cream sauce, pasta with cream sauce and poultry or seafood, cheese-filled ravioli, pasta salad with meat, regular or cornmeal dressing with poultry and vegetables, soft taco with meat/chicken and beans, burrito with meat/ chicken and beans, meatless burrito with beans, tamale with meat, gordita with meat, fajita with chicken and vegetables, chimichanga with meat, taco or tostada with beans, rice pilaf, flavored rice with cheese, flavored rice and pasta, vegetable or cheese dumpling, biscuit with gravy, bread stuffing</t>
  </si>
  <si>
    <t>Mixed Dishes - Grain based - higher nutrient density, higher cost (&lt; median sodium content/100 g)</t>
  </si>
  <si>
    <t>nachos with cheese, macaroni or pasta salad with cheese, spinach quiche</t>
  </si>
  <si>
    <t>Mixed Dishes - Grain based - lower nutrient density, higher cost (&gt; median sodium content/100 g)</t>
  </si>
  <si>
    <t>meat burrito, meat and bean burrito, meat taco or tostada, fried rice (meatless, chicken)</t>
  </si>
  <si>
    <t>Mixed Dishes - Meat, Poultry, Seafood - lower nutrient density, lower cost (&gt; median sodium content/100 g)</t>
  </si>
  <si>
    <t>tuna salad with egg, chicken or turkey salad (with or without egg), ham/pork salad, chicken or turkey or beef pot pie, meat loaf, beef and macaroni with cheese sauce, chili con carne with beans (canned), chili con carne with or without poultry and with or without beans, poultry with mushroom soup mixture, beef and noodles mixture, chopped sirloin with mashed potatoes and vegetable (frozen meal), chicken and noodles with vegetable and dessert (frozen meal), pork and vegetables, corned beef hash, codfish ball/cake, chicken or turkey with dumplings, chicken or turkey cacciatore, chicken or turkey parmigiana, chicken or turkey a la king, gumbo with rice</t>
  </si>
  <si>
    <t>Mixed Dishes - Meat, Poultry, Seafood - higher nutrient density, higher cost (&lt; median sodium content/100 g)</t>
  </si>
  <si>
    <t>Shepherd's pie with beef, chicken or turkey noodles with cream or white sauce</t>
  </si>
  <si>
    <t>Mixed Dishes - Meat, Poultry, Seafood - lower nutrient density, higher cost (&gt; median sodium content/100 g)</t>
  </si>
  <si>
    <t>orange chicken, chicken or turkey with teriyaki, tuna salad with mayonnaise, meatloaf (with beef and pork)</t>
  </si>
  <si>
    <t>Mixed Dishes - Meat, Poultry, Seafood - higher nutrient density, lower cost (&lt; median sodium content/100 g)</t>
  </si>
  <si>
    <t>beef stew, beef/poultry with vegetables, poultry with rice/noodles and vegetables, beef/poultry and rice/ noodles, beef or chicken curry, sausage gravy</t>
  </si>
  <si>
    <t>Pizza - lower nutrient density, lower cost (&gt; median sodium content/100 g)</t>
  </si>
  <si>
    <t>pizza rolls, pizza with meat and fruit and thick crust, pizza with extra cheese or meat and thick crust, pizza with pepperoni and thin crust, pizza with meat and vegetables and thick crust (frozen), pizza with meat (not pepperoni) and thick crust (frozen), pizza with extra meat and thin or regular crust</t>
  </si>
  <si>
    <t>Pizza - higher nutrient density, lower cost (&lt; median sodium content/100 g)</t>
  </si>
  <si>
    <t>thin or medium crust frozen pizza with meat, cheese pizza with thin crust (frozen), cheese pizza with whole wheat thin crust, pizza with meat and vegetables and thin or thick crust (frozen)</t>
  </si>
  <si>
    <t>Pizza - lower nutrient density, higher cost (&gt; median sodium content/100 g)</t>
  </si>
  <si>
    <t>fast food or restaurant pizza with pepperoni (medium, thick crust), fast food or restaurant pizza with cheese (medium crust)</t>
  </si>
  <si>
    <t>Pizza - higher nutrient density, higher cost (&lt; median sodium content/100 g)</t>
  </si>
  <si>
    <t>calzone with meat and cheese, pizza with meat and vegetables (frozen)</t>
  </si>
  <si>
    <t>Mixed Dishes - Sandwiches - lower nutrient density, lower cost (&gt; median sodium content/100 g)</t>
  </si>
  <si>
    <t>hot dog (beef, beef and pork, meat and poultry, chicken or turkey) on white bun/bread, hot dog with chili on white bun, grilled American cheese sandwich on wheat or whole wheat or white bread, chicken fillet sandwich, pig in a blanket, corn dog, egg and bacon on biscuit, steak sandwich on biscuit, fish sandwich on bun, burrito/taco/quesadilla with egg and breakfast meat</t>
  </si>
  <si>
    <t>Mixed Dishes - Sandwiches - lower nutrient density, higher cost (&gt; median sodium content/100 g)</t>
  </si>
  <si>
    <t>fast food or restaurant cheeseburger (with or without bacon), breaded chicken sandwich with lettuce tomato and spread, chicken bacon club sandwich</t>
  </si>
  <si>
    <t>Mixed Dishes - Sandwiches - higher nutrient density, higher cost (&lt; median sodium content/100 g)</t>
  </si>
  <si>
    <t>turkey submarine sandwich, bagel with egg cheese and bacon</t>
  </si>
  <si>
    <t>Mixed Dishes - Sandwiches - higher nutrient density, lower cost (&lt; median sodium content/100 g)</t>
  </si>
  <si>
    <t>peanut butter and regular or reduced sugar jelly sandwich on wheat or whole-wheat or white bread, peanut butter sandwich on wheat or whole-wheat or white bread, peanut butter and jelly sandwich (frozen, without crust), cheddar cheese sandwich on whole-wheat or white bread, grilled cheddar cheese sandwich on wheat or whole-wheat or white bread, vegetable sub sandwich, pepperoni and salami sub sandwich; burrito/taco/quesadilla with egg, potato or beans, and breakfast meat; burrito/taco/quesadilla with egg, burrito/ taco/quesadilla with egg and potato</t>
  </si>
  <si>
    <t>Soups - higher nutrient density, lower cost (&lt; median sodium content/100 g)</t>
  </si>
  <si>
    <t>tomato soup (canned), tomato noodle soup (canned), instant ramen noodle soup (regular or reduced fat and sodium), chicken noodle soup (from dry mix), chunky chicken/ turkey noodle soup (canned), chicken or turkey noodle soup (reduced sodium, canned), split pea and ham soup, vegetable noodle soup (reduced sodium, canned), vegetable beef soup with or without noodles, bean soup with macaroni (canned), pepperpot soup, sopa de tortilla, pozole, vegetable broth, chicken or turkey broth</t>
  </si>
  <si>
    <t>Soups - lower nutrient density, higher cost (&gt; median sodium content/100 g)</t>
  </si>
  <si>
    <t>pho, soybean soup with miso borth, broccoli cheese soup (home recipe, canned), chicken or turkey vegetable soup with rice</t>
  </si>
  <si>
    <t>Soups - lower nutrient density, lower cost (&gt; median sodium content/100 g)</t>
  </si>
  <si>
    <t>chicken/turkey/beef noodle soup (canned or home recipe), vegetable beef soup (canned), Manhattan clam chowder (canned), bean soup (canned), chunky chicken or turkey vegetable soup with noodles (canned), chunky vegetable beef soup (canned), cream of potato or vegetable soup (canned), French onion soup, onion soup (from dry mix), chicken or turkey gumbo soup (canned), beef broth</t>
  </si>
  <si>
    <t>Soups - higher nutrient density, higher cost (&lt; median sodium content/100 g)</t>
  </si>
  <si>
    <t>lentil soup, vegetable soup (home recipe), New England clam chowder</t>
  </si>
  <si>
    <t>Mixed Dishes - Vegetables - lower nutrient density, higher cost (&gt; median sodium content/100 g)</t>
  </si>
  <si>
    <t>hummus (flavored), scalloped potatoes, eggplant parmesan, guacamole with tomatoes, pea salad with cheese</t>
  </si>
  <si>
    <t>Mixed Dishes - Vegetables - lower nutrient density, lower cost (&gt; median sodium content/100 g)</t>
  </si>
  <si>
    <t>baked potato with meat or cheese, scalloped potatoes (from fresh or dry mix), spaghetti sauce with or without meat, homemade spaghetti sauce with vegetables, green bean salad, green beans with mushroom sauce, creamed corn (canned), vegetables with soy or tomato sauce, coleslaw with fat free dressing</t>
  </si>
  <si>
    <t>Mixed Dishes - Vegetables - higher nutrient density, higher cost (&lt; median sodium content/100 g)</t>
  </si>
  <si>
    <t>hummus (plain), fast food or restaurant cabbage salad or coleslaw, basked potato (with vegetables or with meat)</t>
  </si>
  <si>
    <t>Mixed Dishes - Vegetables - higher nutrient density, lower cost (&lt; median sodium content/100 g)</t>
  </si>
  <si>
    <t>potato salad with or without egg, baked potato with sour cream, mashed potatoes (from fresh or dry mix), home fries with peppers and onions, green beans (creamed or with cheese sauce), candied sweet potato, coleslaw with coleslaw dressing, vegetable curry, stewed potatoes with tomatoes, vegetables with tomato sauce, okra (batter-dipped, fried)</t>
  </si>
  <si>
    <t>Nuts &amp; Seeds, lower nutrient density (&gt;0 g added sugars/100 g)</t>
  </si>
  <si>
    <t>honey-roasted nuts, sweetened coconut, marzipan, nut mixtures with chocolate</t>
  </si>
  <si>
    <t>Nuts &amp; Seeds, higher nutrient density (0 g added sugars/100 g)</t>
  </si>
  <si>
    <t>nuts and seeds without added sugars, unsalted and salted nuts</t>
  </si>
  <si>
    <t>peanut, almond, cashew, and sesame butters</t>
  </si>
  <si>
    <t>Poultry, lower nutrient density, lower cost (&gt;4.5 g saturated fat/100 g AND/
OR &gt;0 g added sugars/100 g)</t>
  </si>
  <si>
    <t>chicken breast with sauce (grilled), chicken wings (plain), chicken thigh (coated and fried), chicken thigh with sauce (grilled), chicken drumstick/leg with sauce, chicken with barbecue sauce</t>
  </si>
  <si>
    <t>Poultry, higher nutrient density, higher cost (≤4.5 g saturated fat/100 g AND
0 g added sugars/100 g)</t>
  </si>
  <si>
    <t>fast food or restaurant breaded chicken tenders or strips</t>
  </si>
  <si>
    <t>Poultry, lower nutrient density, higher cost (&gt;4.5 g saturated fat/100 g AND/
OR &gt;0 g added sugars/100 g)</t>
  </si>
  <si>
    <t>fast food or restaurant chickn wings (with hot sauce or other sauces or seasonings)</t>
  </si>
  <si>
    <t>Poultry, higher nutrient density, lower cost (≤4.5 g saturated fat/100 g AND
0 g added sugars/100 g)</t>
  </si>
  <si>
    <t>chicken breast (baked, broiled, grilled, sauteed, fried), chicken drumstick (baked, broiled, grilled, stewed, sauteed), chicken leg (baked, broiled, fried), chicken nuggets/ patty</t>
  </si>
  <si>
    <t>regular, reduced-fat, and fat-free white potato chips; potato puffs and sticks; hash browns; home and French fries; tater tots; fried plantains</t>
  </si>
  <si>
    <t>tofu, soyburger, meatless bacon, meatless patties/links/balls, meatless chicken, meatless hot dogs, meatless lunch meat, meatless sandwich spread, vegetarian burgers/pot pies/chili/ stew/loaf and other mixtures</t>
  </si>
  <si>
    <t>Seafood, lower cost</t>
  </si>
  <si>
    <t>canned tuna, canned mackerel, fish stick/patty/ nugget, cod, haddock, tilapia, catfish, whiting, restructured seafood, sardines, squid</t>
  </si>
  <si>
    <t>Seafood, higher cost</t>
  </si>
  <si>
    <t>salmon, shrimp (fried or baked)</t>
  </si>
  <si>
    <t>cakes, pies, cookies, brownies, doughnuts, pastries, cinnamon bun, coffee cake, cheesecake, fritters, Pannetone, Pan Dulce, tiramisu, Pocky, sopaipilla, baklava, basbousa, Danish, moon cake, doughnuts, graham crackers, mochi</t>
  </si>
  <si>
    <t>protein bars, granola bars, chewy bars, meal replacement bars, nutrition bars</t>
  </si>
  <si>
    <t xml:space="preserve">chocolate, caramels, candy bars, fudge, marshmallows, hard candy, chocolate-, sugar-, and yogurt-covered nuts and raisins, gumdrops, gummies, fruit snacks/leather, low-calorie candy </t>
  </si>
  <si>
    <t>regular and lower fat tortilla chips; corn chips/puffs/twists; cheese puffs/twists; onion-flavored rings; shrimp, vegetable, plantain, taro, rice, and sweet potato chips</t>
  </si>
  <si>
    <t>Crackers, higher nutrient density (≥50% whole grains)</t>
  </si>
  <si>
    <t>wheat, whole-wheat, multigrain, corn, and gluten-free crackers; toast thins; rice/popcorn cakes</t>
  </si>
  <si>
    <t>Crackers, lower nutrient density (0 g whole grains OR &gt;50%
refined grains)</t>
  </si>
  <si>
    <t>cheese, rice, saltine, oyster, water, and sandwich (peanut butter/cheese) crackers; bread sticks; croutons; matzo; crispbread; pita/bagel chips; crunchy chow mein noodles</t>
  </si>
  <si>
    <t>regular and lower fat ice cream, frozen yogurt, sundae, frozen novelties, sherbet, frozen juice bars, pudding, custard, flan, Barfi, haupia, zabaglione, gelatin dessert, ice pops, snow cone, cottage cheese with gelatin, rice dessert</t>
  </si>
  <si>
    <t>hard/soft salted/unsalted/cheese-filled pretzels, snack mixes (e.g., party mix), wasabi peas, soy nuts</t>
  </si>
  <si>
    <t>Popcorn, higher nutrient density (0 g added sugars/100 g AND &lt;7
g saturated fat/100 g)</t>
  </si>
  <si>
    <t>air-popped popcorn, popcorn popped in oil, low-fat popcorn</t>
  </si>
  <si>
    <t>Popcorn, lower nutrient density (&gt;0 g added sugars/100 g OR ≥7
g saturated fat/100 g)</t>
  </si>
  <si>
    <t>buttered popcorn, regular or fat-free caramel-coated popcorn with/without nuts</t>
  </si>
  <si>
    <t>white, brown, maple, cinnamon, and powdered sugar; honey; molasses; sugar substitutes, pancake and maple syrup; fruit syrup; chocolate syrup; butterscotch/marshmallow topping; pie filling; jelly/jam/preserves; peanut butter and jelly (jarred, striped product)</t>
  </si>
  <si>
    <t>Dark green vegetables, lower cost</t>
  </si>
  <si>
    <t>broccoli, spinach, collards, mustard greens, turnip greens, cilantro</t>
  </si>
  <si>
    <t>Dark green vegetables, higher cost</t>
  </si>
  <si>
    <t>mixed salad greens, kale</t>
  </si>
  <si>
    <t>Other vegetables + vegetable combinations, lower cost</t>
  </si>
  <si>
    <t>iceberg lettuce, green beans, onions, celery, green peppers, cucumbers, mixed vegetables, summer squash, radish, green beans and potatoes, stew type vegetables, cabbage (red, green, Chinese), sauerkraut, jicama, turnip, rutabaga, cactus</t>
  </si>
  <si>
    <t>Other vegetables + vegetable combinations, higher cost</t>
  </si>
  <si>
    <t>avocado, asparagus, onion rings</t>
  </si>
  <si>
    <t>Red orange vegetables, higher cost</t>
  </si>
  <si>
    <t>tomatoes, red bell pepper</t>
  </si>
  <si>
    <t>Red orange vegetables, lower cost</t>
  </si>
  <si>
    <t>carrots, sweet potato</t>
  </si>
  <si>
    <t>Starchy vegetables, lower cost</t>
  </si>
  <si>
    <t>potato, corn, lima beans, plantain, cassava</t>
  </si>
  <si>
    <t>Starchy vegetables, higher cost</t>
  </si>
  <si>
    <t>green peas</t>
  </si>
  <si>
    <r>
      <rPr>
        <sz val="11"/>
        <color rgb="FF000000"/>
        <rFont val="Calibri"/>
      </rPr>
      <t xml:space="preserve">Use this reference sheet to help you adjust your model diet to meet challenging TFP constraints. Click the filter arrows in the </t>
    </r>
    <r>
      <rPr>
        <b/>
        <sz val="11"/>
        <color rgb="FF2F75B5"/>
        <rFont val="Calibri"/>
      </rPr>
      <t>blue cells</t>
    </r>
    <r>
      <rPr>
        <sz val="11"/>
        <color rgb="FF000000"/>
        <rFont val="Calibri"/>
      </rPr>
      <t xml:space="preserve"> in row 8 to sort and rank TFP categories based on various macronutrient, food group, and micronutrient characteristics. If you rank the "per $" row from "Sort Largest to Smallest" the worksheet will display TFP categories that provide the highest amount of that nutrient at the lowest cost at the top of the list. If you rank the "per 1,000 kcal" row from "Sort from Largest to Smallest" the worksheet will display TFP categories that provide the highest amount of that nutrient with the most calories at the top of the list. </t>
    </r>
  </si>
  <si>
    <t>Macronutrients</t>
  </si>
  <si>
    <t>Food Groups</t>
  </si>
  <si>
    <t>Micronutrients</t>
  </si>
  <si>
    <t>Cost</t>
  </si>
  <si>
    <t>Energy</t>
  </si>
  <si>
    <t>Fat</t>
  </si>
  <si>
    <t>Saturated Fat</t>
  </si>
  <si>
    <t>Carbohydrates</t>
  </si>
  <si>
    <t>Protein</t>
  </si>
  <si>
    <t>Vegetables</t>
  </si>
  <si>
    <t>Fruits</t>
  </si>
  <si>
    <t>Grains</t>
  </si>
  <si>
    <t>Dairy</t>
  </si>
  <si>
    <t>Protein Foods</t>
  </si>
  <si>
    <t>Oils</t>
  </si>
  <si>
    <t>Added sugars</t>
  </si>
  <si>
    <t>Calcium</t>
  </si>
  <si>
    <t>Fiber</t>
  </si>
  <si>
    <t>Folate</t>
  </si>
  <si>
    <t>Iron</t>
  </si>
  <si>
    <t>Potassium</t>
  </si>
  <si>
    <t>Vitamin A</t>
  </si>
  <si>
    <t>Vitamin B6</t>
  </si>
  <si>
    <t>Vitamin B12</t>
  </si>
  <si>
    <t>Vitamin C</t>
  </si>
  <si>
    <t>Sodium</t>
  </si>
  <si>
    <t>per $</t>
  </si>
  <si>
    <t>g</t>
  </si>
  <si>
    <t>per 1000 kcal</t>
  </si>
  <si>
    <t>cup eq</t>
  </si>
  <si>
    <t>oz eq</t>
  </si>
  <si>
    <t>mg</t>
  </si>
  <si>
    <t>mcg</t>
  </si>
  <si>
    <t>Reference Column</t>
  </si>
  <si>
    <t>Foods ID</t>
  </si>
  <si>
    <t>TFP Foods</t>
  </si>
  <si>
    <t>Calories (kcal/day/group)</t>
  </si>
  <si>
    <t>Calories (kcal/100g)</t>
  </si>
  <si>
    <t>Quantity (100g/day/group)</t>
  </si>
  <si>
    <t>Quantity (g/day/group)</t>
  </si>
  <si>
    <t>Cost 
($/100 g)</t>
  </si>
  <si>
    <t>Cost ($/day/group)</t>
  </si>
  <si>
    <t>Calories from protein (cal/day/group)</t>
  </si>
  <si>
    <t>Calories from carbohydrates (cal/day/group)</t>
  </si>
  <si>
    <t>Calories from fat (cal/day/group)</t>
  </si>
  <si>
    <t>Calories from 18:2 linoleic acid (cal/day/group)</t>
  </si>
  <si>
    <t>Calories from 18:3 linolenic acid (cal/day/group)</t>
  </si>
  <si>
    <t>Calories from saturated fat (cal/day/group)</t>
  </si>
  <si>
    <t>Calcium (mg/day/group)</t>
  </si>
  <si>
    <t>Choline (mg/day/group)</t>
  </si>
  <si>
    <t>Cholesterol (mg/day/group)</t>
  </si>
  <si>
    <t>Copper (mg/day/group)</t>
  </si>
  <si>
    <t>Fiber (g/day/group)</t>
  </si>
  <si>
    <t>Folic Acid (mcg/day/group)</t>
  </si>
  <si>
    <t>Folate (mcg/day/group)</t>
  </si>
  <si>
    <t>Iron (mg/day/group)</t>
  </si>
  <si>
    <t>Magnesium (mg/day/group)</t>
  </si>
  <si>
    <t>Niacin (mg/day/group)</t>
  </si>
  <si>
    <t>Phosphorus (mg/day/group)</t>
  </si>
  <si>
    <t>Potassium (mg/day/group)</t>
  </si>
  <si>
    <t>Riboflavin (mg/day/group)</t>
  </si>
  <si>
    <t>Sodium (mg/day/group)</t>
  </si>
  <si>
    <t>Thiamin (mg/day/group)</t>
  </si>
  <si>
    <t>Vitamin B12 (mcg/day/group)</t>
  </si>
  <si>
    <t>Vitamin B6 (mg/day/group)</t>
  </si>
  <si>
    <t>Vitamin C (mg/day/group)</t>
  </si>
  <si>
    <t>Vitamin E (mg/day/group)</t>
  </si>
  <si>
    <t>Vitamin K (mcg/day/group)</t>
  </si>
  <si>
    <t>Vitamin A (mcg/day/group)</t>
  </si>
  <si>
    <t>Zinc (mg/day/group)</t>
  </si>
  <si>
    <t>Servings of grains (serv/day/group)</t>
  </si>
  <si>
    <t>Servings of vegetables (serv/day/group)</t>
  </si>
  <si>
    <t>Servings of fruit (serv/day/group)</t>
  </si>
  <si>
    <t>Servings of dairy (serv/day/group)</t>
  </si>
  <si>
    <t>Servings of protein foods (serv/day/group)</t>
  </si>
  <si>
    <t>Servings of fats and oils (serv/day/group)</t>
  </si>
  <si>
    <t>Added Sugar (kcal/day/group)</t>
  </si>
  <si>
    <t>Servings of whole grains (serv/day/group)</t>
  </si>
  <si>
    <t>Servings of dark green vegetables (serv/day/group)</t>
  </si>
  <si>
    <t>Servings of red/orange vegetables (serv/day/group)</t>
  </si>
  <si>
    <t>Servings of legumes vegetables-beans, peas, lentils (serv/day/group)</t>
  </si>
  <si>
    <t>Servings of starchy vegetables (serv/day/group)</t>
  </si>
  <si>
    <t>Servings of other vegetables (serv/day/group)</t>
  </si>
  <si>
    <t>Servings of refined grains (serv/day/group)</t>
  </si>
  <si>
    <t>Servings of meat (serv/day/group)</t>
  </si>
  <si>
    <t>Servings of poultry (serv/day/group)</t>
  </si>
  <si>
    <t>Servings of eggs (serv/day/group)</t>
  </si>
  <si>
    <t>Servings of soy (serv/day/group)</t>
  </si>
  <si>
    <t>Servings of nuts and seeds (serv/day/group)</t>
  </si>
  <si>
    <t>Servings of meat, poultry, eggs (serv/day/group)</t>
  </si>
  <si>
    <t>Servings of seafood (serv/day/group)</t>
  </si>
  <si>
    <t>Servings of nuts, seeds, soy (serv/day/group)</t>
  </si>
  <si>
    <t>Total (per day/p)</t>
  </si>
  <si>
    <t>Reference Range (AMDR)</t>
  </si>
  <si>
    <t>Low</t>
  </si>
  <si>
    <t>High</t>
  </si>
  <si>
    <t>In Range</t>
  </si>
  <si>
    <t>Source: tfpdesc</t>
  </si>
  <si>
    <t>Source: Calculated</t>
  </si>
  <si>
    <t>Total Daily Kcal</t>
  </si>
  <si>
    <t>Total Daily Cost</t>
  </si>
  <si>
    <t>Calories
(kcal/day/group)</t>
  </si>
  <si>
    <t>*includes 5% plate waste adjustment</t>
  </si>
  <si>
    <t>Calories
(kcal/100g)</t>
  </si>
  <si>
    <t>Quantity 
(100g/day/group)</t>
  </si>
  <si>
    <t>Quantity
(g/day/group)</t>
  </si>
  <si>
    <t>Cost
($/100g)</t>
  </si>
  <si>
    <t>Cost
($/day/group)</t>
  </si>
  <si>
    <t>Nutrient Content per 100 g of food</t>
  </si>
  <si>
    <t>source: TFP in_nutrient_composition</t>
  </si>
  <si>
    <t>Choline</t>
  </si>
  <si>
    <t>Cholesterol</t>
  </si>
  <si>
    <t>Copper</t>
  </si>
  <si>
    <t>Energy/Calories</t>
  </si>
  <si>
    <t>Folic Acid</t>
  </si>
  <si>
    <t>Magnesium</t>
  </si>
  <si>
    <t>Niacin</t>
  </si>
  <si>
    <t>Phosphorus</t>
  </si>
  <si>
    <t>Riboflavin</t>
  </si>
  <si>
    <t>Thiamin</t>
  </si>
  <si>
    <t>Vitamin E</t>
  </si>
  <si>
    <t>Vitamin K</t>
  </si>
  <si>
    <t>Zinc</t>
  </si>
  <si>
    <t>Calories from protein</t>
  </si>
  <si>
    <t>Calories from carbohydrates</t>
  </si>
  <si>
    <t>Calories from fat</t>
  </si>
  <si>
    <t>Calories from 18:2 linoleic acid</t>
  </si>
  <si>
    <t>Calories from 18:3 linolenic acid</t>
  </si>
  <si>
    <t>Calories from saturated fat</t>
  </si>
  <si>
    <t>Servings of grains</t>
  </si>
  <si>
    <t>Servings of whole grains</t>
  </si>
  <si>
    <t>Servings of refined grains</t>
  </si>
  <si>
    <t>Servings of vegetables</t>
  </si>
  <si>
    <t>Servings of dark green vegetables</t>
  </si>
  <si>
    <t>Servings of red/orange vegetables</t>
  </si>
  <si>
    <t>Servings of legumes -beans, peas, lentils (vegetables)</t>
  </si>
  <si>
    <t xml:space="preserve">Servings of starchy vegetables </t>
  </si>
  <si>
    <t>Servings of other vegetables</t>
  </si>
  <si>
    <t>Servings of fruit</t>
  </si>
  <si>
    <t>Servings of dairy</t>
  </si>
  <si>
    <t>Servings of protein foods</t>
  </si>
  <si>
    <t>Servings of meat</t>
  </si>
  <si>
    <t>Servings of poultry</t>
  </si>
  <si>
    <t>Servings of eggs</t>
  </si>
  <si>
    <t>Servings of soy</t>
  </si>
  <si>
    <t>Servings of nuts and seeds</t>
  </si>
  <si>
    <t>Servings of meat, poultry, eggs</t>
  </si>
  <si>
    <t>Servings of seafood</t>
  </si>
  <si>
    <t>Servings of nuts, seeds, soy</t>
  </si>
  <si>
    <t>Servings of fats and oils</t>
  </si>
  <si>
    <t>Added Sugar (kcal)</t>
  </si>
  <si>
    <t>CA</t>
  </si>
  <si>
    <t>CHOLN</t>
  </si>
  <si>
    <t>CHOLE</t>
  </si>
  <si>
    <t>CU</t>
  </si>
  <si>
    <t>ENERC_KCAL</t>
  </si>
  <si>
    <t>FIBTG</t>
  </si>
  <si>
    <t>FOLAC</t>
  </si>
  <si>
    <t>FOLDFE</t>
  </si>
  <si>
    <t>FE</t>
  </si>
  <si>
    <t>MG</t>
  </si>
  <si>
    <t>NIA</t>
  </si>
  <si>
    <t>P</t>
  </si>
  <si>
    <t>K</t>
  </si>
  <si>
    <t>RIBF</t>
  </si>
  <si>
    <t>NA</t>
  </si>
  <si>
    <t>THIA</t>
  </si>
  <si>
    <t>VITB12</t>
  </si>
  <si>
    <t>VITB6A</t>
  </si>
  <si>
    <t>VITC</t>
  </si>
  <si>
    <t>VITA_RAE</t>
  </si>
  <si>
    <t>TOCPHA</t>
  </si>
  <si>
    <t>VITK</t>
  </si>
  <si>
    <t>ZN</t>
  </si>
  <si>
    <t>protein_kcal</t>
  </si>
  <si>
    <t>carbs_kcal</t>
  </si>
  <si>
    <t>tfat_kcal</t>
  </si>
  <si>
    <t>F18D2</t>
  </si>
  <si>
    <t>F18D3</t>
  </si>
  <si>
    <t>sfat_kcal</t>
  </si>
  <si>
    <t>G_TOTAL</t>
  </si>
  <si>
    <t>G_WHOLE</t>
  </si>
  <si>
    <t>G_REFINED</t>
  </si>
  <si>
    <t>V_TOTAL</t>
  </si>
  <si>
    <t>V_DRKGR</t>
  </si>
  <si>
    <t>V_REDOR_TOTAL</t>
  </si>
  <si>
    <t>V_LEGUMES</t>
  </si>
  <si>
    <t>V_STARCHY_TOTAL</t>
  </si>
  <si>
    <t>V_OTHER</t>
  </si>
  <si>
    <t>F_TOTAL</t>
  </si>
  <si>
    <t>D_TOTAL</t>
  </si>
  <si>
    <t>PF_TOTAL</t>
  </si>
  <si>
    <t>PF_MEAT</t>
  </si>
  <si>
    <t>PF_POULTRY</t>
  </si>
  <si>
    <t>PF_EGGS</t>
  </si>
  <si>
    <t>PF_SOY</t>
  </si>
  <si>
    <t>PF_NUTSDS</t>
  </si>
  <si>
    <t>T_MEAT_POULTRY_EGG</t>
  </si>
  <si>
    <t>T_SEAFOOD</t>
  </si>
  <si>
    <t>T_NUT_SEED_SOY</t>
  </si>
  <si>
    <t>OILS</t>
  </si>
  <si>
    <t>add_sugars_kcal</t>
  </si>
  <si>
    <t>(mg)</t>
  </si>
  <si>
    <t>(kcal)</t>
  </si>
  <si>
    <t>(g)</t>
  </si>
  <si>
    <t>(mcg)</t>
  </si>
  <si>
    <t>(mcg DFE)</t>
  </si>
  <si>
    <t>(oz eq)</t>
  </si>
  <si>
    <t>(cup eq)</t>
  </si>
  <si>
    <t>Calculation of Objective Function</t>
  </si>
  <si>
    <t>Entry vs Current Consumption</t>
  </si>
  <si>
    <t>TFP vs Current Consumption</t>
  </si>
  <si>
    <t>objective function</t>
  </si>
  <si>
    <t>weighted objective function</t>
  </si>
  <si>
    <t>% of objective function</t>
  </si>
  <si>
    <t>Entered Quantity</t>
  </si>
  <si>
    <t>Entered Cost</t>
  </si>
  <si>
    <t>Current Consumption Quantity</t>
  </si>
  <si>
    <t xml:space="preserve">Current Consumption Cost </t>
  </si>
  <si>
    <t>Current Consumption Expenditure Share</t>
  </si>
  <si>
    <t>TFP Consumption Quantity</t>
  </si>
  <si>
    <t>TFP Consumption Cost</t>
  </si>
  <si>
    <t>((entry qty)-(current qty))^2</t>
  </si>
  <si>
    <t>share*((entry qty)-(current qty))^2</t>
  </si>
  <si>
    <t>(%)</t>
  </si>
  <si>
    <t>(g/day/group)</t>
  </si>
  <si>
    <t>($/day/group)</t>
  </si>
  <si>
    <t>(100g/day/group)</t>
  </si>
  <si>
    <t>(food group/total)</t>
  </si>
  <si>
    <t>Total</t>
  </si>
  <si>
    <t>TFP Foods price in dollars/100g</t>
  </si>
  <si>
    <t>source: TFP in_prices (already adjusted to 2021)</t>
  </si>
  <si>
    <t>TFP Report 2021: "To better reflect current food prices, USDA adjusted the 2015-16 national average prices to June 2021"</t>
  </si>
  <si>
    <t>CPI Indexes: Consumer Price Index for TFP Inflation Adjustment</t>
  </si>
  <si>
    <t>CPI_Match crosswalk: TFP Modeling Category Variable Names, Descriptions, and CPI Matches</t>
  </si>
  <si>
    <t>$/100g with 5% food waste adjustment</t>
  </si>
  <si>
    <t>$/100 g</t>
  </si>
  <si>
    <t>CPI_match</t>
  </si>
  <si>
    <r>
      <rPr>
        <sz val="11"/>
        <color rgb="FF000000"/>
        <rFont val="Calibri"/>
        <family val="2"/>
      </rPr>
      <t>Inflation Factor (CPI</t>
    </r>
    <r>
      <rPr>
        <vertAlign val="subscript"/>
        <sz val="11"/>
        <color rgb="FF000000"/>
        <rFont val="Calibri"/>
        <family val="2"/>
      </rPr>
      <t>June2023</t>
    </r>
    <r>
      <rPr>
        <sz val="11"/>
        <color rgb="FF000000"/>
        <rFont val="Calibri"/>
        <family val="2"/>
      </rPr>
      <t>/CPI</t>
    </r>
    <r>
      <rPr>
        <vertAlign val="subscript"/>
        <sz val="11"/>
        <color rgb="FF000000"/>
        <rFont val="Calibri"/>
        <family val="2"/>
      </rPr>
      <t>June2021</t>
    </r>
    <r>
      <rPr>
        <sz val="11"/>
        <color rgb="FF000000"/>
        <rFont val="Calibri"/>
        <family val="2"/>
      </rPr>
      <t>)</t>
    </r>
  </si>
  <si>
    <t>Original TFP 2021 USDA Data (June 2021)</t>
  </si>
  <si>
    <r>
      <t>Inflation Factor (CPI</t>
    </r>
    <r>
      <rPr>
        <vertAlign val="subscript"/>
        <sz val="11"/>
        <rFont val="Calibri"/>
        <family val="2"/>
      </rPr>
      <t>June2024</t>
    </r>
    <r>
      <rPr>
        <sz val="11"/>
        <rFont val="Calibri"/>
        <family val="2"/>
      </rPr>
      <t>/CPI</t>
    </r>
    <r>
      <rPr>
        <vertAlign val="subscript"/>
        <sz val="11"/>
        <rFont val="Calibri"/>
        <family val="2"/>
      </rPr>
      <t>June2021</t>
    </r>
    <r>
      <rPr>
        <sz val="11"/>
        <rFont val="Calibri"/>
        <family val="2"/>
      </rPr>
      <t>)</t>
    </r>
  </si>
  <si>
    <t>Dried beans, peas, and lentils</t>
  </si>
  <si>
    <t>Beverage materials including coffee and tea</t>
  </si>
  <si>
    <t>Carbonated drinks</t>
  </si>
  <si>
    <t>Nonfrozen noncarbonated juices and drinks</t>
  </si>
  <si>
    <t>Nonalcoholic beverages and beverage materials</t>
  </si>
  <si>
    <t>Fresh biscuits, rolls, muffins</t>
  </si>
  <si>
    <t>Spices, seasonings, condiments, sauces</t>
  </si>
  <si>
    <t>Breakfast cereal</t>
  </si>
  <si>
    <t>Cheese and related products</t>
  </si>
  <si>
    <t>Milk</t>
  </si>
  <si>
    <t>Fats and oils</t>
  </si>
  <si>
    <t>Fresh fruits</t>
  </si>
  <si>
    <t>Processed fruits and vegetables</t>
  </si>
  <si>
    <t>Cereals and bakery products</t>
  </si>
  <si>
    <t>Meats</t>
  </si>
  <si>
    <t>Food at home</t>
  </si>
  <si>
    <t>Snacks</t>
  </si>
  <si>
    <t>Other fats and oils including peanut butter</t>
  </si>
  <si>
    <t>Poultry</t>
  </si>
  <si>
    <t>Potatoes</t>
  </si>
  <si>
    <t>Other miscellaneous foods</t>
  </si>
  <si>
    <t>Fish and seafood</t>
  </si>
  <si>
    <t>Other bakery products</t>
  </si>
  <si>
    <t>Candy and chewing gum</t>
  </si>
  <si>
    <t>Crackers, bread, and cracker products</t>
  </si>
  <si>
    <t>Ice cream and related products</t>
  </si>
  <si>
    <t>Sugar and sugar substitutes</t>
  </si>
  <si>
    <t>Fresh vegetables</t>
  </si>
  <si>
    <t>Weekly and Daily Cost Constraint, USDA (June 2023)</t>
  </si>
  <si>
    <t>source: June 2021 - TFP Report , June 2024 - FNS Official USDA TFP June 2024, Cost of Food Report for Thrifty Food Plan</t>
  </si>
  <si>
    <t>Cost Time Frame</t>
  </si>
  <si>
    <t>Monthly Cost ($)</t>
  </si>
  <si>
    <t>Weekly Cost ($)</t>
  </si>
  <si>
    <t>Daily Cost ($)</t>
  </si>
  <si>
    <t>Per Day Lower Nutrition Limits, by age-sex group</t>
  </si>
  <si>
    <t>source: TFP in_nutrient_constraints</t>
  </si>
  <si>
    <t>Calories from Protein</t>
  </si>
  <si>
    <t>Calories from Carbohydrates</t>
  </si>
  <si>
    <t>Calories from Fat</t>
  </si>
  <si>
    <t>Calories from 18:2 linoleic acid (g)</t>
  </si>
  <si>
    <t>Calories from 18:3 linoleic acid (g)</t>
  </si>
  <si>
    <t>Calories from Saturated Fat</t>
  </si>
  <si>
    <t>Added sugar (kcal)</t>
  </si>
  <si>
    <t>Servings of orange vegetables</t>
  </si>
  <si>
    <t>Servings of legumes vegetables</t>
  </si>
  <si>
    <t>Servings of starchy vegetables</t>
  </si>
  <si>
    <t>TFP Variable Names</t>
  </si>
  <si>
    <t>PROCNT</t>
  </si>
  <si>
    <t>CHOCDF</t>
  </si>
  <si>
    <t>FAT</t>
  </si>
  <si>
    <t>FATSAT</t>
  </si>
  <si>
    <t>(from TFP Report)</t>
  </si>
  <si>
    <t>T_MEAT_POULTRY_EGGS</t>
  </si>
  <si>
    <t>Family of Four Average</t>
  </si>
  <si>
    <t>*Limit is 85% of RDA b/c hard to achieve by food alone (matches TFP)</t>
  </si>
  <si>
    <t>Energy (AMDR) for Output Display</t>
  </si>
  <si>
    <t>Sat Fat</t>
  </si>
  <si>
    <t>18:2 Linoleic</t>
  </si>
  <si>
    <t>18:3 Linolenic</t>
  </si>
  <si>
    <t>Carbohydrate</t>
  </si>
  <si>
    <t>25% to 35%</t>
  </si>
  <si>
    <t>less than 10%</t>
  </si>
  <si>
    <t>5% to 10%</t>
  </si>
  <si>
    <t>0.6% to 1.2%</t>
  </si>
  <si>
    <t>45% to 65%</t>
  </si>
  <si>
    <t>10% to 30%</t>
  </si>
  <si>
    <t>20% to 35%</t>
  </si>
  <si>
    <t>10% to 35%</t>
  </si>
  <si>
    <t>Energy (AMDR) Lower</t>
  </si>
  <si>
    <t>Energy (AMDR) Upper</t>
  </si>
  <si>
    <t>Per Day Upper Nutrition Limits, by age-sex group</t>
  </si>
  <si>
    <t>Calories from 18:3 linolenic acid (g)</t>
  </si>
  <si>
    <t>FASAT</t>
  </si>
  <si>
    <t>(From TFP Report)</t>
  </si>
  <si>
    <t>*used median intake from TFP Report</t>
  </si>
  <si>
    <t>*from TFP Report</t>
  </si>
  <si>
    <t>Dietary Pattern Servings References</t>
  </si>
  <si>
    <t>TFP: in_nutrient_constraints</t>
  </si>
  <si>
    <t>DGA: Appendix 3</t>
  </si>
  <si>
    <t>*1,800 kcal</t>
  </si>
  <si>
    <t>*2,200 kcal</t>
  </si>
  <si>
    <t>*3,000 kcal</t>
  </si>
  <si>
    <t>Food Group (sev/day)</t>
  </si>
  <si>
    <t>*refined grains is an upper limit</t>
  </si>
  <si>
    <r>
      <rPr>
        <u/>
        <sz val="11"/>
        <color rgb="FF000000"/>
        <rFont val="Calibri"/>
        <family val="2"/>
      </rPr>
      <t>3. Refer to Remaining Columns</t>
    </r>
    <r>
      <rPr>
        <sz val="11"/>
        <color rgb="FF000000"/>
        <rFont val="Calibri"/>
        <family val="2"/>
      </rPr>
      <t xml:space="preserve"> - Based on your calorie entry and selected age-sex group and cost reference period, column J displays the distance between your model diet and the USDA's current consumption estimate. If your model diet matches current consumption, the values will be zero. If your model diet differs greatly from current consumption, these values will be large positive numbers. Refer to the values in columns L through T for current and TFP-modeled consumption references. You may find it helpful to refer to these values to assist with creating your model diet. </t>
    </r>
  </si>
  <si>
    <t>The Calculator uses nearly the same price, nutrient composition, consumption, and dietary guidance data that the USDA used to reevaluate the food plan in 2021.</t>
  </si>
  <si>
    <t>Thrifty Food Plan (TFP) Calculator: Explore the Cost and Nutritional Tradeoffs of the TFP Model Diet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</si>
</sst>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000000"/>
    <numFmt numFmtId="167" formatCode="0.0"/>
  </numFmts>
  <fonts count="30" x14ac:knownFonts="1">
    <font>
      <sz val="11"/>
      <name val="Calibri"/>
    </font>
    <font>
      <sz val="11"/>
      <name val="Calibri"/>
      <family val="2"/>
    </font>
    <font>
      <b/>
      <sz val="11"/>
      <name val="Calibri"/>
      <family val="2"/>
    </font>
    <font>
      <b/>
      <sz val="14"/>
      <name val="Calibri"/>
      <family val="2"/>
    </font>
    <font>
      <sz val="10"/>
      <name val="Calibri"/>
      <family val="2"/>
    </font>
    <font>
      <sz val="9"/>
      <name val="Calibri"/>
      <family val="2"/>
    </font>
    <font>
      <sz val="8"/>
      <name val="Calibri"/>
      <family val="2"/>
    </font>
    <font>
      <sz val="10"/>
      <name val="Arial"/>
      <family val="2"/>
    </font>
    <font>
      <b/>
      <sz val="16"/>
      <name val="Calibri"/>
      <family val="2"/>
    </font>
    <font>
      <b/>
      <sz val="12"/>
      <name val="Calibri"/>
      <family val="2"/>
    </font>
    <font>
      <b/>
      <sz val="10"/>
      <name val="Calibri"/>
      <family val="2"/>
    </font>
    <font>
      <sz val="11"/>
      <color rgb="FF000000"/>
      <name val="Calibri"/>
      <family val="2"/>
    </font>
    <font>
      <u/>
      <sz val="11"/>
      <color theme="10"/>
      <name val="Calibri"/>
      <family val="2"/>
    </font>
    <font>
      <b/>
      <sz val="14"/>
      <color theme="8" tint="-0.249977111117893"/>
      <name val="Wingdings 3"/>
      <family val="1"/>
      <charset val="2"/>
    </font>
    <font>
      <sz val="12"/>
      <name val="Calibri"/>
      <family val="2"/>
    </font>
    <font>
      <b/>
      <sz val="9"/>
      <name val="Calibri"/>
      <family val="2"/>
    </font>
    <font>
      <b/>
      <sz val="11"/>
      <color rgb="FFBF8F00"/>
      <name val="Calibri"/>
      <family val="2"/>
    </font>
    <font>
      <b/>
      <sz val="11"/>
      <color rgb="FF2F75B5"/>
      <name val="Calibri"/>
      <family val="2"/>
    </font>
    <font>
      <b/>
      <sz val="12"/>
      <color rgb="FF000000"/>
      <name val="Calibri"/>
      <family val="2"/>
    </font>
    <font>
      <b/>
      <sz val="11"/>
      <color rgb="FF808080"/>
      <name val="Calibri"/>
      <family val="2"/>
    </font>
    <font>
      <u/>
      <sz val="11"/>
      <color rgb="FF000000"/>
      <name val="Calibri"/>
      <family val="2"/>
    </font>
    <font>
      <vertAlign val="subscript"/>
      <sz val="11"/>
      <color rgb="FF000000"/>
      <name val="Calibri"/>
      <family val="2"/>
    </font>
    <font>
      <vertAlign val="subscript"/>
      <sz val="11"/>
      <name val="Calibri"/>
      <family val="2"/>
    </font>
    <font>
      <b/>
      <sz val="11"/>
      <color rgb="FF7B7B7B"/>
      <name val="Calibri"/>
      <family val="2"/>
    </font>
    <font>
      <b/>
      <sz val="11"/>
      <color rgb="FF000000"/>
      <name val="Calibri"/>
      <family val="2"/>
    </font>
    <font>
      <b/>
      <sz val="11"/>
      <color rgb="FF74D687"/>
      <name val="Calibri"/>
      <family val="2"/>
    </font>
    <font>
      <sz val="11"/>
      <color rgb="FF74D687"/>
      <name val="Calibri"/>
      <family val="2"/>
    </font>
    <font>
      <sz val="11"/>
      <color rgb="FF000000"/>
      <name val="Calibri"/>
    </font>
    <font>
      <b/>
      <sz val="11"/>
      <color rgb="FF2F75B5"/>
      <name val="Calibri"/>
    </font>
    <font>
      <u/>
      <sz val="11"/>
      <color rgb="FF000000"/>
      <name val="Calibri"/>
    </font>
  </fonts>
  <fills count="6">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BDD7EE"/>
        <bgColor indexed="64"/>
      </patternFill>
    </fill>
  </fills>
  <borders count="100">
    <border>
      <left/>
      <right/>
      <top/>
      <bottom/>
      <diagonal/>
    </border>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rgb="FF000000"/>
      </top>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right style="medium">
        <color rgb="FF000000"/>
      </right>
      <top/>
      <bottom/>
      <diagonal/>
    </border>
    <border>
      <left style="medium">
        <color rgb="FF000000"/>
      </left>
      <right style="thin">
        <color indexed="64"/>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indexed="64"/>
      </right>
      <top style="medium">
        <color indexed="64"/>
      </top>
      <bottom/>
      <diagonal/>
    </border>
    <border>
      <left style="medium">
        <color indexed="64"/>
      </left>
      <right/>
      <top/>
      <bottom style="thin">
        <color rgb="FF000000"/>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1"/>
    <xf numFmtId="0" fontId="12" fillId="0" borderId="0" applyNumberFormat="0" applyFill="0" applyBorder="0" applyAlignment="0" applyProtection="0"/>
  </cellStyleXfs>
  <cellXfs count="373">
    <xf numFmtId="0" fontId="0" fillId="0" borderId="0" xfId="0"/>
    <xf numFmtId="0" fontId="1" fillId="0" borderId="0" xfId="0" applyFont="1"/>
    <xf numFmtId="2" fontId="0" fillId="0" borderId="0" xfId="0" applyNumberFormat="1"/>
    <xf numFmtId="0" fontId="2" fillId="0" borderId="0" xfId="0" applyFont="1"/>
    <xf numFmtId="0" fontId="0" fillId="0" borderId="1" xfId="0" applyBorder="1"/>
    <xf numFmtId="0" fontId="0" fillId="0" borderId="3" xfId="0" applyBorder="1"/>
    <xf numFmtId="0" fontId="0" fillId="0" borderId="11" xfId="0" applyBorder="1"/>
    <xf numFmtId="0" fontId="0" fillId="0" borderId="0" xfId="0" applyAlignment="1">
      <alignment horizontal="center"/>
    </xf>
    <xf numFmtId="0" fontId="3" fillId="0" borderId="0" xfId="0" applyFont="1"/>
    <xf numFmtId="0" fontId="1" fillId="0" borderId="1" xfId="0" applyFont="1" applyBorder="1"/>
    <xf numFmtId="0" fontId="6" fillId="0" borderId="11" xfId="0" applyFont="1" applyBorder="1"/>
    <xf numFmtId="2" fontId="0" fillId="0" borderId="13" xfId="0" applyNumberFormat="1" applyBorder="1"/>
    <xf numFmtId="2" fontId="0" fillId="0" borderId="11" xfId="0" applyNumberFormat="1" applyBorder="1"/>
    <xf numFmtId="0" fontId="5" fillId="0" borderId="22" xfId="0" applyFont="1" applyBorder="1"/>
    <xf numFmtId="11" fontId="0" fillId="0" borderId="0" xfId="0" applyNumberFormat="1"/>
    <xf numFmtId="2" fontId="0" fillId="0" borderId="22" xfId="0" applyNumberFormat="1" applyBorder="1"/>
    <xf numFmtId="2" fontId="0" fillId="0" borderId="1" xfId="0" applyNumberFormat="1" applyBorder="1"/>
    <xf numFmtId="0" fontId="0" fillId="0" borderId="5" xfId="0" applyBorder="1"/>
    <xf numFmtId="0" fontId="1" fillId="0" borderId="5" xfId="0" applyFont="1" applyBorder="1"/>
    <xf numFmtId="0" fontId="1" fillId="0" borderId="5" xfId="0" applyFont="1" applyBorder="1" applyAlignment="1">
      <alignment horizontal="center"/>
    </xf>
    <xf numFmtId="0" fontId="1" fillId="0" borderId="5" xfId="0" applyFont="1" applyBorder="1" applyAlignment="1">
      <alignment horizontal="center" wrapText="1"/>
    </xf>
    <xf numFmtId="0" fontId="4" fillId="0" borderId="5" xfId="0" applyFont="1" applyBorder="1" applyAlignment="1">
      <alignment horizontal="center" wrapText="1"/>
    </xf>
    <xf numFmtId="0" fontId="5" fillId="0" borderId="5" xfId="0" applyFont="1" applyBorder="1" applyAlignment="1">
      <alignment horizontal="center" wrapText="1"/>
    </xf>
    <xf numFmtId="0" fontId="5" fillId="0" borderId="5" xfId="0" quotePrefix="1" applyFont="1" applyBorder="1" applyAlignment="1">
      <alignment horizontal="center" wrapText="1"/>
    </xf>
    <xf numFmtId="0" fontId="0" fillId="0" borderId="5" xfId="0" applyBorder="1" applyAlignment="1">
      <alignment horizontal="center"/>
    </xf>
    <xf numFmtId="2" fontId="7" fillId="0" borderId="0" xfId="0" applyNumberFormat="1" applyFont="1"/>
    <xf numFmtId="0" fontId="4" fillId="0" borderId="5" xfId="0" quotePrefix="1" applyFont="1" applyBorder="1" applyAlignment="1">
      <alignment horizontal="center" wrapText="1"/>
    </xf>
    <xf numFmtId="0" fontId="4" fillId="0" borderId="1" xfId="0" applyFont="1" applyBorder="1" applyAlignment="1">
      <alignment horizontal="center" wrapText="1"/>
    </xf>
    <xf numFmtId="0" fontId="4" fillId="0" borderId="1" xfId="0" quotePrefix="1" applyFont="1" applyBorder="1" applyAlignment="1">
      <alignment horizontal="center" wrapText="1"/>
    </xf>
    <xf numFmtId="0" fontId="5" fillId="0" borderId="1" xfId="0" applyFont="1" applyBorder="1" applyAlignment="1">
      <alignment horizontal="center" wrapText="1"/>
    </xf>
    <xf numFmtId="0" fontId="5" fillId="0" borderId="1" xfId="0" quotePrefix="1" applyFont="1" applyBorder="1" applyAlignment="1">
      <alignment horizontal="center" wrapText="1"/>
    </xf>
    <xf numFmtId="0" fontId="6" fillId="0" borderId="0" xfId="0" applyFont="1" applyAlignment="1">
      <alignment wrapText="1"/>
    </xf>
    <xf numFmtId="2" fontId="0" fillId="0" borderId="6" xfId="0" applyNumberFormat="1" applyBorder="1"/>
    <xf numFmtId="165" fontId="1" fillId="0" borderId="0" xfId="0" applyNumberFormat="1" applyFont="1"/>
    <xf numFmtId="165" fontId="0" fillId="0" borderId="0" xfId="0" applyNumberFormat="1"/>
    <xf numFmtId="0" fontId="6" fillId="0" borderId="0" xfId="0" applyFont="1"/>
    <xf numFmtId="2" fontId="7" fillId="0" borderId="5" xfId="0" applyNumberFormat="1" applyFont="1" applyBorder="1"/>
    <xf numFmtId="2" fontId="1" fillId="0" borderId="1" xfId="0" applyNumberFormat="1" applyFont="1" applyBorder="1"/>
    <xf numFmtId="2" fontId="0" fillId="0" borderId="5" xfId="0" applyNumberFormat="1" applyBorder="1"/>
    <xf numFmtId="0" fontId="0" fillId="0" borderId="7" xfId="0" applyBorder="1"/>
    <xf numFmtId="0" fontId="1" fillId="0" borderId="7" xfId="0" applyFont="1" applyBorder="1"/>
    <xf numFmtId="2" fontId="1" fillId="0" borderId="11" xfId="0" applyNumberFormat="1" applyFont="1" applyBorder="1"/>
    <xf numFmtId="2" fontId="1" fillId="0" borderId="11" xfId="0" applyNumberFormat="1" applyFont="1" applyBorder="1" applyAlignment="1">
      <alignment horizontal="right"/>
    </xf>
    <xf numFmtId="0" fontId="1" fillId="0" borderId="1" xfId="0" applyFont="1" applyBorder="1" applyAlignment="1">
      <alignment horizontal="left" indent="1"/>
    </xf>
    <xf numFmtId="0" fontId="1" fillId="0" borderId="1" xfId="0" applyFont="1" applyBorder="1" applyAlignment="1">
      <alignment horizontal="left"/>
    </xf>
    <xf numFmtId="0" fontId="8" fillId="0" borderId="0" xfId="0" applyFont="1"/>
    <xf numFmtId="2" fontId="0" fillId="0" borderId="11" xfId="0" applyNumberFormat="1" applyBorder="1" applyAlignment="1">
      <alignment horizontal="right"/>
    </xf>
    <xf numFmtId="0" fontId="0" fillId="0" borderId="20" xfId="0" applyBorder="1"/>
    <xf numFmtId="166" fontId="0" fillId="0" borderId="0" xfId="0" applyNumberFormat="1"/>
    <xf numFmtId="2" fontId="0" fillId="0" borderId="3" xfId="0" applyNumberFormat="1" applyBorder="1"/>
    <xf numFmtId="0" fontId="1" fillId="0" borderId="1" xfId="0" applyFont="1" applyBorder="1" applyAlignment="1">
      <alignment horizontal="center" wrapText="1"/>
    </xf>
    <xf numFmtId="0" fontId="1" fillId="0" borderId="1" xfId="0" quotePrefix="1" applyFont="1" applyBorder="1" applyAlignment="1">
      <alignment horizontal="center" wrapText="1"/>
    </xf>
    <xf numFmtId="0" fontId="1" fillId="0" borderId="3" xfId="0" applyFont="1" applyBorder="1" applyAlignment="1">
      <alignment horizontal="right"/>
    </xf>
    <xf numFmtId="164" fontId="0" fillId="0" borderId="1" xfId="0" applyNumberFormat="1" applyBorder="1"/>
    <xf numFmtId="0" fontId="1" fillId="0" borderId="39" xfId="0" applyFont="1" applyBorder="1"/>
    <xf numFmtId="0" fontId="1" fillId="0" borderId="39" xfId="0" applyFont="1" applyBorder="1" applyAlignment="1">
      <alignment horizontal="center"/>
    </xf>
    <xf numFmtId="2" fontId="0" fillId="0" borderId="1" xfId="0" applyNumberFormat="1" applyBorder="1" applyAlignment="1">
      <alignment horizontal="right"/>
    </xf>
    <xf numFmtId="2" fontId="1" fillId="0" borderId="1" xfId="0" applyNumberFormat="1" applyFont="1" applyBorder="1" applyAlignment="1">
      <alignment horizontal="right"/>
    </xf>
    <xf numFmtId="0" fontId="0" fillId="0" borderId="2" xfId="0" applyBorder="1"/>
    <xf numFmtId="0" fontId="0" fillId="0" borderId="4" xfId="0" applyBorder="1"/>
    <xf numFmtId="0" fontId="0" fillId="0" borderId="6" xfId="0" applyBorder="1"/>
    <xf numFmtId="164" fontId="0" fillId="0" borderId="3" xfId="0" applyNumberFormat="1" applyBorder="1"/>
    <xf numFmtId="164" fontId="0" fillId="0" borderId="6" xfId="0" applyNumberFormat="1" applyBorder="1"/>
    <xf numFmtId="0" fontId="0" fillId="0" borderId="49" xfId="0" applyBorder="1"/>
    <xf numFmtId="164" fontId="0" fillId="0" borderId="5" xfId="0" applyNumberFormat="1" applyBorder="1"/>
    <xf numFmtId="0" fontId="1" fillId="0" borderId="39" xfId="0" applyFont="1" applyBorder="1" applyAlignment="1">
      <alignment horizontal="center" wrapText="1"/>
    </xf>
    <xf numFmtId="0" fontId="1" fillId="0" borderId="18" xfId="0" applyFont="1" applyBorder="1" applyAlignment="1">
      <alignment horizontal="center" wrapText="1"/>
    </xf>
    <xf numFmtId="0" fontId="0" fillId="0" borderId="55" xfId="0" applyBorder="1" applyAlignment="1">
      <alignment horizontal="center"/>
    </xf>
    <xf numFmtId="0" fontId="0" fillId="0" borderId="55" xfId="0" applyBorder="1" applyAlignment="1">
      <alignment horizontal="center" wrapText="1"/>
    </xf>
    <xf numFmtId="0" fontId="1" fillId="0" borderId="59" xfId="0" applyFont="1" applyBorder="1" applyAlignment="1">
      <alignment horizontal="center"/>
    </xf>
    <xf numFmtId="0" fontId="1" fillId="0" borderId="3" xfId="0" applyFont="1" applyBorder="1" applyAlignment="1">
      <alignment horizontal="center"/>
    </xf>
    <xf numFmtId="2" fontId="0" fillId="0" borderId="2" xfId="0" applyNumberFormat="1" applyBorder="1"/>
    <xf numFmtId="2" fontId="1" fillId="0" borderId="2" xfId="0" applyNumberFormat="1" applyFont="1" applyBorder="1" applyAlignment="1">
      <alignment horizontal="right"/>
    </xf>
    <xf numFmtId="2" fontId="0" fillId="0" borderId="4" xfId="0" applyNumberFormat="1" applyBorder="1"/>
    <xf numFmtId="2" fontId="1" fillId="0" borderId="3" xfId="0" applyNumberFormat="1" applyFont="1" applyBorder="1" applyAlignment="1">
      <alignment horizontal="right"/>
    </xf>
    <xf numFmtId="2" fontId="0" fillId="0" borderId="37" xfId="0" applyNumberFormat="1" applyBorder="1"/>
    <xf numFmtId="0" fontId="1" fillId="0" borderId="15" xfId="0" applyFont="1" applyBorder="1" applyAlignment="1">
      <alignment horizontal="center"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center"/>
    </xf>
    <xf numFmtId="0" fontId="0" fillId="0" borderId="13" xfId="0" applyBorder="1"/>
    <xf numFmtId="166" fontId="0" fillId="0" borderId="5" xfId="0" applyNumberFormat="1" applyBorder="1"/>
    <xf numFmtId="0" fontId="1" fillId="0" borderId="15" xfId="0" applyFont="1" applyBorder="1" applyAlignment="1">
      <alignment horizontal="center"/>
    </xf>
    <xf numFmtId="167" fontId="0" fillId="5" borderId="10" xfId="0" applyNumberFormat="1" applyFill="1" applyBorder="1" applyProtection="1">
      <protection locked="0"/>
    </xf>
    <xf numFmtId="0" fontId="2" fillId="4" borderId="24" xfId="0" applyFont="1" applyFill="1" applyBorder="1" applyAlignment="1" applyProtection="1">
      <alignment horizontal="center"/>
      <protection locked="0"/>
    </xf>
    <xf numFmtId="0" fontId="14" fillId="4" borderId="2" xfId="0" applyFont="1" applyFill="1" applyBorder="1" applyAlignment="1" applyProtection="1">
      <alignment horizontal="center"/>
      <protection locked="0"/>
    </xf>
    <xf numFmtId="0" fontId="14" fillId="4" borderId="1" xfId="0" applyFont="1" applyFill="1" applyBorder="1" applyAlignment="1" applyProtection="1">
      <alignment horizontal="center"/>
      <protection locked="0"/>
    </xf>
    <xf numFmtId="0" fontId="1" fillId="4" borderId="40" xfId="0"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0" borderId="36" xfId="0" applyFont="1" applyBorder="1" applyAlignment="1">
      <alignment horizontal="center"/>
    </xf>
    <xf numFmtId="0" fontId="1" fillId="0" borderId="22" xfId="0" applyFont="1" applyBorder="1"/>
    <xf numFmtId="0" fontId="1" fillId="0" borderId="38" xfId="0" applyFont="1" applyBorder="1" applyAlignment="1">
      <alignment horizontal="center"/>
    </xf>
    <xf numFmtId="0" fontId="1" fillId="0" borderId="97" xfId="0" applyFont="1" applyBorder="1" applyAlignment="1">
      <alignment horizontal="center"/>
    </xf>
    <xf numFmtId="0" fontId="11" fillId="0" borderId="98" xfId="0" applyFont="1" applyBorder="1" applyAlignment="1">
      <alignment horizontal="center"/>
    </xf>
    <xf numFmtId="0" fontId="11" fillId="0" borderId="5" xfId="0" applyFont="1" applyBorder="1" applyAlignment="1">
      <alignment horizontal="center" wrapText="1"/>
    </xf>
    <xf numFmtId="0" fontId="1" fillId="0" borderId="18" xfId="0" applyFont="1" applyBorder="1" applyAlignment="1">
      <alignment horizontal="center"/>
    </xf>
    <xf numFmtId="0" fontId="1" fillId="0" borderId="2" xfId="0" applyFont="1" applyBorder="1"/>
    <xf numFmtId="0" fontId="1" fillId="0" borderId="3" xfId="0" applyFont="1" applyBorder="1"/>
    <xf numFmtId="0" fontId="1" fillId="0" borderId="4" xfId="0" applyFont="1" applyBorder="1"/>
    <xf numFmtId="0" fontId="1" fillId="0" borderId="6" xfId="0" applyFont="1" applyBorder="1"/>
    <xf numFmtId="167" fontId="0" fillId="5" borderId="12" xfId="0" applyNumberFormat="1" applyFill="1" applyBorder="1" applyProtection="1">
      <protection locked="0"/>
    </xf>
    <xf numFmtId="0" fontId="1" fillId="0" borderId="2"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1" xfId="0" applyFont="1" applyBorder="1" applyAlignment="1">
      <alignment horizontal="center"/>
    </xf>
    <xf numFmtId="0" fontId="3" fillId="0" borderId="1" xfId="0" applyFont="1" applyBorder="1" applyProtection="1">
      <protection locked="0"/>
    </xf>
    <xf numFmtId="0" fontId="3" fillId="0" borderId="0" xfId="0" applyFont="1" applyProtection="1">
      <protection locked="0"/>
    </xf>
    <xf numFmtId="0" fontId="0" fillId="0" borderId="0" xfId="0" applyProtection="1">
      <protection locked="0"/>
    </xf>
    <xf numFmtId="0" fontId="0" fillId="0" borderId="1" xfId="0" applyBorder="1" applyProtection="1">
      <protection locked="0"/>
    </xf>
    <xf numFmtId="0" fontId="3" fillId="0" borderId="94" xfId="0" applyFont="1" applyBorder="1"/>
    <xf numFmtId="0" fontId="1" fillId="0" borderId="95" xfId="0" applyFont="1" applyBorder="1"/>
    <xf numFmtId="0" fontId="0" fillId="0" borderId="95" xfId="0" applyBorder="1"/>
    <xf numFmtId="0" fontId="9" fillId="0" borderId="95" xfId="0" applyFont="1" applyBorder="1"/>
    <xf numFmtId="0" fontId="1" fillId="0" borderId="95" xfId="0" applyFont="1" applyBorder="1" applyAlignment="1">
      <alignment wrapText="1"/>
    </xf>
    <xf numFmtId="0" fontId="0" fillId="0" borderId="95" xfId="0" applyBorder="1" applyAlignment="1">
      <alignment wrapText="1"/>
    </xf>
    <xf numFmtId="0" fontId="17" fillId="0" borderId="95" xfId="0" applyFont="1" applyBorder="1"/>
    <xf numFmtId="0" fontId="27" fillId="0" borderId="95" xfId="0" applyFont="1" applyBorder="1" applyAlignment="1">
      <alignment wrapText="1"/>
    </xf>
    <xf numFmtId="0" fontId="11" fillId="0" borderId="95" xfId="0" applyFont="1" applyBorder="1" applyAlignment="1">
      <alignment wrapText="1"/>
    </xf>
    <xf numFmtId="0" fontId="16" fillId="0" borderId="95" xfId="0" applyFont="1" applyBorder="1"/>
    <xf numFmtId="0" fontId="11" fillId="0" borderId="95" xfId="0" applyFont="1" applyBorder="1"/>
    <xf numFmtId="0" fontId="0" fillId="0" borderId="96" xfId="0" applyBorder="1"/>
    <xf numFmtId="0" fontId="2" fillId="0" borderId="1" xfId="0" applyFont="1" applyBorder="1" applyProtection="1">
      <protection locked="0"/>
    </xf>
    <xf numFmtId="0" fontId="1" fillId="0" borderId="1" xfId="0" applyFont="1" applyBorder="1" applyProtection="1">
      <protection locked="0"/>
    </xf>
    <xf numFmtId="2" fontId="0" fillId="0" borderId="1" xfId="0" applyNumberFormat="1" applyBorder="1" applyProtection="1">
      <protection locked="0"/>
    </xf>
    <xf numFmtId="0" fontId="1" fillId="0" borderId="0" xfId="0" applyFont="1" applyProtection="1">
      <protection locked="0"/>
    </xf>
    <xf numFmtId="0" fontId="1" fillId="0" borderId="1" xfId="0" applyFont="1" applyBorder="1" applyAlignment="1" applyProtection="1">
      <alignment horizontal="left" wrapText="1"/>
      <protection locked="0"/>
    </xf>
    <xf numFmtId="0" fontId="9" fillId="0" borderId="1" xfId="0" applyFont="1" applyBorder="1" applyAlignment="1" applyProtection="1">
      <alignment wrapText="1"/>
      <protection locked="0"/>
    </xf>
    <xf numFmtId="0" fontId="1" fillId="0" borderId="1" xfId="0" applyFont="1" applyBorder="1" applyAlignment="1" applyProtection="1">
      <alignment horizontal="left" indent="1"/>
      <protection locked="0"/>
    </xf>
    <xf numFmtId="0" fontId="13" fillId="0" borderId="1" xfId="2" applyFont="1" applyFill="1" applyBorder="1" applyProtection="1">
      <protection locked="0"/>
    </xf>
    <xf numFmtId="0" fontId="2" fillId="0" borderId="1" xfId="0" applyFont="1" applyBorder="1" applyAlignment="1" applyProtection="1">
      <alignment wrapText="1"/>
      <protection locked="0"/>
    </xf>
    <xf numFmtId="0" fontId="9" fillId="0" borderId="1" xfId="0" applyFont="1" applyBorder="1" applyAlignment="1" applyProtection="1">
      <alignment horizontal="center"/>
      <protection locked="0"/>
    </xf>
    <xf numFmtId="0" fontId="2" fillId="0" borderId="1" xfId="0" applyFont="1" applyBorder="1" applyAlignment="1" applyProtection="1">
      <alignment horizontal="center" wrapText="1"/>
      <protection locked="0"/>
    </xf>
    <xf numFmtId="0" fontId="2" fillId="0" borderId="0" xfId="0" applyFont="1" applyProtection="1">
      <protection locked="0"/>
    </xf>
    <xf numFmtId="0" fontId="2" fillId="0" borderId="1" xfId="0" applyFont="1" applyBorder="1" applyAlignment="1" applyProtection="1">
      <alignment horizontal="right"/>
      <protection locked="0"/>
    </xf>
    <xf numFmtId="2" fontId="0" fillId="0" borderId="1" xfId="0" applyNumberFormat="1" applyBorder="1" applyAlignment="1" applyProtection="1">
      <alignment horizontal="center"/>
      <protection locked="0"/>
    </xf>
    <xf numFmtId="49" fontId="1" fillId="0" borderId="0" xfId="0" applyNumberFormat="1" applyFont="1" applyProtection="1">
      <protection locked="0"/>
    </xf>
    <xf numFmtId="2" fontId="1" fillId="0" borderId="1" xfId="0" applyNumberFormat="1" applyFont="1" applyBorder="1" applyProtection="1">
      <protection locked="0"/>
    </xf>
    <xf numFmtId="0" fontId="1" fillId="0" borderId="1" xfId="0" applyFont="1" applyBorder="1" applyAlignment="1" applyProtection="1">
      <alignment wrapText="1"/>
      <protection locked="0"/>
    </xf>
    <xf numFmtId="0" fontId="4" fillId="0" borderId="0" xfId="0" applyFont="1" applyAlignment="1" applyProtection="1">
      <alignment horizontal="center"/>
      <protection locked="0"/>
    </xf>
    <xf numFmtId="0" fontId="1"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1" xfId="0" applyFont="1" applyBorder="1" applyAlignment="1" applyProtection="1">
      <alignment horizontal="left"/>
      <protection locked="0"/>
    </xf>
    <xf numFmtId="2" fontId="1" fillId="0" borderId="1" xfId="0" applyNumberFormat="1" applyFont="1" applyBorder="1" applyAlignment="1" applyProtection="1">
      <alignment horizontal="left" indent="1"/>
      <protection locked="0"/>
    </xf>
    <xf numFmtId="0" fontId="0" fillId="0" borderId="1" xfId="0" applyBorder="1" applyAlignment="1" applyProtection="1">
      <alignment horizontal="right"/>
      <protection locked="0"/>
    </xf>
    <xf numFmtId="0" fontId="9" fillId="0" borderId="1" xfId="0" applyFont="1" applyBorder="1" applyProtection="1">
      <protection locked="0"/>
    </xf>
    <xf numFmtId="0" fontId="3" fillId="0" borderId="1" xfId="0" applyFont="1" applyBorder="1" applyAlignment="1" applyProtection="1">
      <alignment horizontal="center"/>
      <protection locked="0"/>
    </xf>
    <xf numFmtId="2" fontId="0" fillId="0" borderId="1" xfId="0" applyNumberFormat="1" applyBorder="1" applyAlignment="1" applyProtection="1">
      <alignment horizontal="center" vertical="center"/>
      <protection locked="0"/>
    </xf>
    <xf numFmtId="0" fontId="2" fillId="2" borderId="47" xfId="0" applyFont="1" applyFill="1" applyBorder="1" applyAlignment="1">
      <alignment horizontal="center" wrapText="1"/>
    </xf>
    <xf numFmtId="0" fontId="2" fillId="2" borderId="59" xfId="0" applyFont="1" applyFill="1" applyBorder="1" applyAlignment="1">
      <alignment horizontal="center"/>
    </xf>
    <xf numFmtId="0" fontId="2" fillId="2" borderId="48" xfId="0" applyFont="1" applyFill="1" applyBorder="1" applyAlignment="1">
      <alignment horizontal="center" wrapText="1"/>
    </xf>
    <xf numFmtId="0" fontId="2" fillId="2" borderId="59" xfId="0" applyFont="1" applyFill="1" applyBorder="1" applyAlignment="1">
      <alignment horizontal="center" wrapText="1"/>
    </xf>
    <xf numFmtId="0" fontId="2" fillId="2" borderId="75" xfId="0" applyFont="1" applyFill="1" applyBorder="1" applyAlignment="1">
      <alignment horizontal="center"/>
    </xf>
    <xf numFmtId="0" fontId="0" fillId="2" borderId="87" xfId="0" applyFill="1" applyBorder="1" applyAlignment="1">
      <alignment horizontal="center" vertical="center"/>
    </xf>
    <xf numFmtId="0" fontId="0" fillId="2" borderId="84" xfId="0" applyFill="1" applyBorder="1" applyAlignment="1">
      <alignment vertical="center"/>
    </xf>
    <xf numFmtId="0" fontId="0" fillId="2" borderId="84" xfId="0" applyFill="1" applyBorder="1" applyAlignment="1">
      <alignment horizontal="center" vertical="center" wrapText="1"/>
    </xf>
    <xf numFmtId="0" fontId="0" fillId="0" borderId="88" xfId="0" applyBorder="1" applyAlignment="1">
      <alignment horizontal="center" vertical="center" wrapText="1"/>
    </xf>
    <xf numFmtId="0" fontId="0" fillId="2" borderId="87" xfId="0" applyFill="1" applyBorder="1" applyAlignment="1">
      <alignment horizontal="center"/>
    </xf>
    <xf numFmtId="0" fontId="0" fillId="2" borderId="84" xfId="0" applyFill="1" applyBorder="1"/>
    <xf numFmtId="0" fontId="1" fillId="0" borderId="88" xfId="0" applyFont="1" applyBorder="1" applyAlignment="1">
      <alignment horizontal="center" vertical="center" wrapText="1"/>
    </xf>
    <xf numFmtId="0" fontId="11" fillId="0" borderId="88" xfId="0" applyFont="1" applyBorder="1" applyAlignment="1">
      <alignment horizontal="center" vertical="center" wrapText="1"/>
    </xf>
    <xf numFmtId="0" fontId="0" fillId="2" borderId="89" xfId="0" applyFill="1" applyBorder="1" applyAlignment="1">
      <alignment horizontal="center"/>
    </xf>
    <xf numFmtId="0" fontId="0" fillId="2" borderId="90" xfId="0" applyFill="1" applyBorder="1"/>
    <xf numFmtId="0" fontId="0" fillId="2" borderId="90" xfId="0" applyFill="1" applyBorder="1" applyAlignment="1">
      <alignment horizontal="center" vertical="center" wrapText="1"/>
    </xf>
    <xf numFmtId="0" fontId="11" fillId="0" borderId="91" xfId="0" applyFont="1" applyBorder="1" applyAlignment="1">
      <alignment horizontal="center" vertical="center"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4" borderId="54" xfId="0" applyFont="1" applyFill="1" applyBorder="1" applyAlignment="1" applyProtection="1">
      <alignment horizontal="center"/>
      <protection locked="0"/>
    </xf>
    <xf numFmtId="0" fontId="1" fillId="4" borderId="52" xfId="0" applyFont="1" applyFill="1" applyBorder="1" applyAlignment="1" applyProtection="1">
      <alignment horizontal="center"/>
      <protection locked="0"/>
    </xf>
    <xf numFmtId="0" fontId="1" fillId="4" borderId="65" xfId="0" applyFont="1"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1" fillId="0" borderId="9" xfId="0" applyFont="1" applyBorder="1" applyAlignment="1">
      <alignment horizontal="left" wrapText="1"/>
    </xf>
    <xf numFmtId="0" fontId="9" fillId="0" borderId="1" xfId="0" applyFont="1" applyBorder="1" applyAlignment="1" applyProtection="1">
      <alignment horizontal="center"/>
      <protection locked="0"/>
    </xf>
    <xf numFmtId="0" fontId="1" fillId="0" borderId="2"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47" xfId="0" applyFont="1" applyBorder="1" applyAlignment="1">
      <alignment horizontal="center"/>
    </xf>
    <xf numFmtId="0" fontId="1" fillId="0" borderId="48" xfId="0" applyFont="1" applyBorder="1" applyAlignment="1">
      <alignment horizontal="center"/>
    </xf>
    <xf numFmtId="0" fontId="1" fillId="0" borderId="49" xfId="0" applyFont="1" applyBorder="1" applyAlignment="1">
      <alignment horizontal="center"/>
    </xf>
    <xf numFmtId="0" fontId="1" fillId="0" borderId="1" xfId="0" applyFont="1" applyBorder="1" applyAlignment="1">
      <alignment horizontal="center"/>
    </xf>
    <xf numFmtId="0" fontId="9" fillId="0" borderId="9"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17" fontId="0" fillId="0" borderId="0" xfId="0" applyNumberFormat="1" applyAlignment="1">
      <alignment horizontal="center"/>
    </xf>
    <xf numFmtId="0" fontId="0" fillId="0" borderId="0" xfId="0" applyAlignment="1">
      <alignment horizontal="center"/>
    </xf>
    <xf numFmtId="49" fontId="1" fillId="0" borderId="1" xfId="0" applyNumberFormat="1" applyFont="1" applyBorder="1" applyAlignment="1">
      <alignment horizontal="center"/>
    </xf>
    <xf numFmtId="49" fontId="1" fillId="0" borderId="22" xfId="0" applyNumberFormat="1" applyFont="1" applyBorder="1" applyAlignment="1">
      <alignment horizontal="center"/>
    </xf>
    <xf numFmtId="49" fontId="1" fillId="0" borderId="37" xfId="0" applyNumberFormat="1" applyFont="1" applyBorder="1" applyAlignment="1">
      <alignment horizontal="center"/>
    </xf>
    <xf numFmtId="0" fontId="0" fillId="0" borderId="39" xfId="0" applyBorder="1" applyAlignment="1">
      <alignment horizontal="center"/>
    </xf>
    <xf numFmtId="0" fontId="0" fillId="0" borderId="61" xfId="0" applyBorder="1" applyAlignment="1">
      <alignment horizontal="center"/>
    </xf>
    <xf numFmtId="0" fontId="1" fillId="0" borderId="9"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9" fillId="2" borderId="62" xfId="0" applyFont="1" applyFill="1" applyBorder="1" applyAlignment="1" applyProtection="1">
      <alignment horizontal="center" wrapText="1"/>
      <protection locked="0"/>
    </xf>
    <xf numFmtId="0" fontId="9" fillId="2" borderId="63" xfId="0" applyFont="1" applyFill="1" applyBorder="1" applyAlignment="1" applyProtection="1">
      <alignment horizontal="center" wrapText="1"/>
      <protection locked="0"/>
    </xf>
    <xf numFmtId="0" fontId="9" fillId="2" borderId="64" xfId="0" applyFont="1" applyFill="1" applyBorder="1" applyAlignment="1" applyProtection="1">
      <alignment horizontal="center" wrapText="1"/>
      <protection locked="0"/>
    </xf>
    <xf numFmtId="0" fontId="9" fillId="2" borderId="29" xfId="0" applyFont="1" applyFill="1" applyBorder="1" applyAlignment="1" applyProtection="1">
      <alignment horizontal="center"/>
      <protection locked="0"/>
    </xf>
    <xf numFmtId="0" fontId="9" fillId="2" borderId="42" xfId="0" applyFont="1" applyFill="1" applyBorder="1" applyAlignment="1" applyProtection="1">
      <alignment horizontal="center"/>
      <protection locked="0"/>
    </xf>
    <xf numFmtId="0" fontId="9" fillId="2" borderId="30"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3" fillId="2" borderId="59" xfId="0" applyFont="1" applyFill="1" applyBorder="1" applyAlignment="1" applyProtection="1">
      <alignment horizontal="center"/>
      <protection locked="0"/>
    </xf>
    <xf numFmtId="0" fontId="18" fillId="2" borderId="75" xfId="0" applyFont="1" applyFill="1" applyBorder="1" applyAlignment="1" applyProtection="1">
      <alignment horizontal="center" wrapText="1"/>
      <protection locked="0"/>
    </xf>
    <xf numFmtId="0" fontId="3" fillId="2" borderId="45" xfId="0" applyFont="1" applyFill="1" applyBorder="1" applyAlignment="1" applyProtection="1">
      <alignment horizontal="center"/>
      <protection locked="0"/>
    </xf>
    <xf numFmtId="0" fontId="9" fillId="2" borderId="45"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15" fillId="2" borderId="76" xfId="0" applyFont="1" applyFill="1" applyBorder="1" applyAlignment="1" applyProtection="1">
      <alignment horizontal="center" wrapText="1"/>
      <protection locked="0"/>
    </xf>
    <xf numFmtId="0" fontId="2" fillId="2" borderId="26" xfId="0" applyFont="1" applyFill="1" applyBorder="1" applyAlignment="1" applyProtection="1">
      <alignment horizontal="center" wrapText="1"/>
      <protection locked="0"/>
    </xf>
    <xf numFmtId="0" fontId="2" fillId="2" borderId="46" xfId="0" applyFont="1" applyFill="1" applyBorder="1" applyAlignment="1" applyProtection="1">
      <alignment horizontal="center" wrapText="1"/>
      <protection locked="0"/>
    </xf>
    <xf numFmtId="0" fontId="2" fillId="2" borderId="43" xfId="0" applyFont="1" applyFill="1" applyBorder="1" applyAlignment="1" applyProtection="1">
      <alignment horizontal="center" wrapText="1"/>
      <protection locked="0"/>
    </xf>
    <xf numFmtId="0" fontId="3" fillId="2" borderId="40" xfId="0" applyFont="1" applyFill="1" applyBorder="1" applyAlignment="1" applyProtection="1">
      <alignment horizontal="center" wrapText="1"/>
      <protection locked="0"/>
    </xf>
    <xf numFmtId="0" fontId="9" fillId="2" borderId="40" xfId="0" applyFont="1" applyFill="1" applyBorder="1" applyAlignment="1" applyProtection="1">
      <alignment horizontal="center" vertical="center" wrapText="1"/>
      <protection locked="0"/>
    </xf>
    <xf numFmtId="0" fontId="3" fillId="2" borderId="40" xfId="0" applyFont="1" applyFill="1" applyBorder="1" applyAlignment="1" applyProtection="1">
      <alignment wrapText="1"/>
      <protection locked="0"/>
    </xf>
    <xf numFmtId="0" fontId="2" fillId="2" borderId="28" xfId="0" applyFont="1" applyFill="1" applyBorder="1" applyAlignment="1" applyProtection="1">
      <alignment horizontal="center" wrapText="1"/>
      <protection locked="0"/>
    </xf>
    <xf numFmtId="0" fontId="2" fillId="2" borderId="33" xfId="0" applyFont="1" applyFill="1" applyBorder="1" applyAlignment="1" applyProtection="1">
      <alignment horizontal="center" wrapText="1"/>
      <protection locked="0"/>
    </xf>
    <xf numFmtId="0" fontId="9" fillId="2" borderId="12" xfId="0" applyFont="1" applyFill="1" applyBorder="1" applyAlignment="1" applyProtection="1">
      <alignment horizontal="center" wrapText="1"/>
      <protection locked="0"/>
    </xf>
    <xf numFmtId="0" fontId="9" fillId="2" borderId="13" xfId="0" applyFont="1" applyFill="1" applyBorder="1" applyAlignment="1" applyProtection="1">
      <alignment horizontal="center"/>
      <protection locked="0"/>
    </xf>
    <xf numFmtId="0" fontId="15" fillId="2" borderId="74" xfId="0" applyFont="1" applyFill="1" applyBorder="1" applyAlignment="1" applyProtection="1">
      <alignment horizontal="center" wrapText="1"/>
      <protection locked="0"/>
    </xf>
    <xf numFmtId="0" fontId="10" fillId="2" borderId="19" xfId="0" applyFont="1" applyFill="1" applyBorder="1" applyAlignment="1" applyProtection="1">
      <alignment horizontal="center" wrapText="1"/>
      <protection locked="0"/>
    </xf>
    <xf numFmtId="0" fontId="10" fillId="2" borderId="20" xfId="0" applyFont="1" applyFill="1" applyBorder="1" applyAlignment="1" applyProtection="1">
      <alignment horizontal="center" wrapText="1"/>
      <protection locked="0"/>
    </xf>
    <xf numFmtId="0" fontId="10" fillId="2" borderId="1" xfId="0" applyFont="1" applyFill="1" applyBorder="1" applyAlignment="1" applyProtection="1">
      <alignment horizontal="center" wrapText="1"/>
      <protection locked="0"/>
    </xf>
    <xf numFmtId="0" fontId="2" fillId="2" borderId="40" xfId="0" applyFont="1" applyFill="1" applyBorder="1" applyAlignment="1" applyProtection="1">
      <alignment horizontal="center" wrapText="1"/>
      <protection locked="0"/>
    </xf>
    <xf numFmtId="0" fontId="9" fillId="2" borderId="41"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wrapText="1"/>
      <protection locked="0"/>
    </xf>
    <xf numFmtId="0" fontId="10" fillId="2" borderId="44" xfId="0" applyFont="1" applyFill="1" applyBorder="1" applyAlignment="1" applyProtection="1">
      <alignment horizontal="center" wrapText="1"/>
      <protection locked="0"/>
    </xf>
    <xf numFmtId="0" fontId="10" fillId="2" borderId="31" xfId="0" applyFont="1" applyFill="1" applyBorder="1" applyAlignment="1" applyProtection="1">
      <alignment horizontal="center" wrapText="1"/>
      <protection locked="0"/>
    </xf>
    <xf numFmtId="0" fontId="10" fillId="2" borderId="21" xfId="0" applyFont="1" applyFill="1" applyBorder="1" applyAlignment="1" applyProtection="1">
      <alignment horizontal="center" wrapText="1"/>
      <protection locked="0"/>
    </xf>
    <xf numFmtId="0" fontId="10" fillId="2" borderId="33" xfId="0" applyFont="1" applyFill="1" applyBorder="1" applyAlignment="1" applyProtection="1">
      <alignment horizontal="center" wrapText="1"/>
      <protection locked="0"/>
    </xf>
    <xf numFmtId="0" fontId="0" fillId="0" borderId="32" xfId="0" applyBorder="1" applyProtection="1">
      <protection locked="0"/>
    </xf>
    <xf numFmtId="0" fontId="2" fillId="0" borderId="14" xfId="0" applyFont="1" applyBorder="1" applyAlignment="1" applyProtection="1">
      <alignment horizontal="right"/>
      <protection locked="0"/>
    </xf>
    <xf numFmtId="167" fontId="2" fillId="3" borderId="40" xfId="0" applyNumberFormat="1" applyFon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Protection="1">
      <protection locked="0"/>
    </xf>
    <xf numFmtId="0" fontId="0" fillId="2" borderId="37" xfId="0" applyFill="1" applyBorder="1" applyProtection="1">
      <protection locked="0"/>
    </xf>
    <xf numFmtId="2" fontId="0" fillId="3" borderId="40" xfId="0" applyNumberFormat="1" applyFill="1" applyBorder="1" applyProtection="1">
      <protection locked="0"/>
    </xf>
    <xf numFmtId="2" fontId="1" fillId="3" borderId="40" xfId="0" applyNumberFormat="1" applyFont="1" applyFill="1" applyBorder="1" applyProtection="1">
      <protection locked="0"/>
    </xf>
    <xf numFmtId="2" fontId="1" fillId="0" borderId="22" xfId="0" applyNumberFormat="1" applyFont="1" applyBorder="1" applyProtection="1">
      <protection locked="0"/>
    </xf>
    <xf numFmtId="0" fontId="0" fillId="2" borderId="12" xfId="0" applyFill="1" applyBorder="1" applyAlignment="1" applyProtection="1">
      <alignment horizontal="center"/>
      <protection locked="0"/>
    </xf>
    <xf numFmtId="0" fontId="0" fillId="2" borderId="13" xfId="0" applyFill="1" applyBorder="1" applyProtection="1">
      <protection locked="0"/>
    </xf>
    <xf numFmtId="0" fontId="0" fillId="2" borderId="38" xfId="0" applyFill="1" applyBorder="1" applyProtection="1">
      <protection locked="0"/>
    </xf>
    <xf numFmtId="2" fontId="0" fillId="3" borderId="41" xfId="0" applyNumberFormat="1" applyFill="1" applyBorder="1" applyProtection="1">
      <protection locked="0"/>
    </xf>
    <xf numFmtId="2" fontId="1" fillId="3" borderId="41" xfId="0" applyNumberFormat="1" applyFont="1" applyFill="1" applyBorder="1" applyProtection="1">
      <protection locked="0"/>
    </xf>
    <xf numFmtId="2" fontId="1" fillId="0" borderId="36" xfId="0" applyNumberFormat="1" applyFont="1" applyBorder="1" applyProtection="1">
      <protection locked="0"/>
    </xf>
    <xf numFmtId="167" fontId="2" fillId="0" borderId="32" xfId="0" applyNumberFormat="1" applyFont="1" applyBorder="1" applyAlignment="1" applyProtection="1">
      <alignment horizontal="center"/>
    </xf>
    <xf numFmtId="167" fontId="2" fillId="0" borderId="14" xfId="0" applyNumberFormat="1" applyFont="1" applyBorder="1" applyAlignment="1" applyProtection="1">
      <alignment horizontal="center"/>
    </xf>
    <xf numFmtId="2" fontId="2" fillId="0" borderId="14" xfId="0" applyNumberFormat="1" applyFont="1" applyBorder="1" applyAlignment="1" applyProtection="1">
      <alignment horizontal="center"/>
    </xf>
    <xf numFmtId="167" fontId="2" fillId="0" borderId="7" xfId="0" applyNumberFormat="1" applyFont="1" applyBorder="1" applyAlignment="1" applyProtection="1">
      <alignment horizontal="center"/>
    </xf>
    <xf numFmtId="167" fontId="2" fillId="0" borderId="8" xfId="0" applyNumberFormat="1" applyFont="1" applyBorder="1" applyAlignment="1" applyProtection="1">
      <alignment horizontal="center"/>
    </xf>
    <xf numFmtId="167" fontId="2" fillId="0" borderId="50" xfId="0" applyNumberFormat="1" applyFont="1" applyBorder="1" applyAlignment="1" applyProtection="1">
      <alignment horizontal="center"/>
    </xf>
    <xf numFmtId="167" fontId="0" fillId="0" borderId="11" xfId="0" applyNumberFormat="1" applyBorder="1" applyProtection="1"/>
    <xf numFmtId="2" fontId="0" fillId="0" borderId="11" xfId="0" applyNumberFormat="1" applyBorder="1" applyProtection="1"/>
    <xf numFmtId="167" fontId="0" fillId="0" borderId="1" xfId="0" applyNumberFormat="1" applyBorder="1" applyProtection="1"/>
    <xf numFmtId="167" fontId="0" fillId="0" borderId="13" xfId="0" applyNumberFormat="1" applyBorder="1" applyProtection="1"/>
    <xf numFmtId="2" fontId="0" fillId="0" borderId="13" xfId="0" applyNumberFormat="1" applyBorder="1" applyProtection="1"/>
    <xf numFmtId="167" fontId="0" fillId="0" borderId="5" xfId="0" applyNumberFormat="1" applyBorder="1" applyProtection="1"/>
    <xf numFmtId="167" fontId="0" fillId="0" borderId="3" xfId="0" applyNumberFormat="1" applyBorder="1" applyProtection="1"/>
    <xf numFmtId="167" fontId="0" fillId="0" borderId="6" xfId="0" applyNumberFormat="1" applyBorder="1" applyProtection="1"/>
    <xf numFmtId="167" fontId="1" fillId="0" borderId="1" xfId="0" applyNumberFormat="1" applyFont="1" applyBorder="1" applyProtection="1"/>
    <xf numFmtId="167" fontId="1" fillId="0" borderId="11" xfId="0" applyNumberFormat="1" applyFont="1" applyBorder="1" applyProtection="1"/>
    <xf numFmtId="2" fontId="1" fillId="0" borderId="22" xfId="0" applyNumberFormat="1" applyFont="1" applyBorder="1" applyProtection="1"/>
    <xf numFmtId="167" fontId="1" fillId="0" borderId="5" xfId="0" applyNumberFormat="1" applyFont="1" applyBorder="1" applyProtection="1"/>
    <xf numFmtId="167" fontId="1" fillId="0" borderId="13" xfId="0" applyNumberFormat="1" applyFont="1" applyBorder="1" applyProtection="1"/>
    <xf numFmtId="2" fontId="1" fillId="0" borderId="36" xfId="0" applyNumberFormat="1" applyFont="1" applyBorder="1" applyProtection="1"/>
    <xf numFmtId="167" fontId="1" fillId="0" borderId="2" xfId="0" applyNumberFormat="1" applyFont="1" applyBorder="1" applyProtection="1"/>
    <xf numFmtId="2" fontId="1" fillId="0" borderId="11" xfId="0" applyNumberFormat="1" applyFont="1" applyBorder="1" applyProtection="1"/>
    <xf numFmtId="167" fontId="1" fillId="0" borderId="3" xfId="0" applyNumberFormat="1" applyFont="1" applyBorder="1" applyProtection="1"/>
    <xf numFmtId="167" fontId="1" fillId="0" borderId="4" xfId="0" applyNumberFormat="1" applyFont="1" applyBorder="1" applyProtection="1"/>
    <xf numFmtId="2" fontId="1" fillId="0" borderId="13" xfId="0" applyNumberFormat="1" applyFont="1" applyBorder="1" applyProtection="1"/>
    <xf numFmtId="167" fontId="1" fillId="0" borderId="6" xfId="0" applyNumberFormat="1" applyFont="1" applyBorder="1" applyProtection="1"/>
    <xf numFmtId="167" fontId="0" fillId="5" borderId="10" xfId="0" applyNumberFormat="1" applyFill="1" applyBorder="1" applyProtection="1"/>
    <xf numFmtId="0" fontId="1" fillId="0" borderId="9" xfId="0" applyFont="1" applyBorder="1" applyAlignment="1" applyProtection="1">
      <alignment horizontal="left" wrapText="1"/>
      <protection locked="0"/>
    </xf>
    <xf numFmtId="0" fontId="9" fillId="2" borderId="51" xfId="0" applyFont="1" applyFill="1" applyBorder="1" applyAlignment="1" applyProtection="1">
      <alignment horizontal="center"/>
      <protection locked="0"/>
    </xf>
    <xf numFmtId="0" fontId="9" fillId="2" borderId="85" xfId="0" applyFont="1" applyFill="1" applyBorder="1" applyAlignment="1" applyProtection="1">
      <alignment horizontal="center"/>
      <protection locked="0"/>
    </xf>
    <xf numFmtId="0" fontId="9" fillId="2" borderId="66" xfId="0" applyFont="1" applyFill="1" applyBorder="1" applyAlignment="1" applyProtection="1">
      <alignment horizontal="center"/>
      <protection locked="0"/>
    </xf>
    <xf numFmtId="0" fontId="9" fillId="2" borderId="67" xfId="0" applyFont="1" applyFill="1" applyBorder="1" applyAlignment="1" applyProtection="1">
      <alignment horizontal="center"/>
      <protection locked="0"/>
    </xf>
    <xf numFmtId="0" fontId="9" fillId="2" borderId="68" xfId="0" applyFont="1" applyFill="1" applyBorder="1" applyAlignment="1" applyProtection="1">
      <alignment horizontal="center"/>
      <protection locked="0"/>
    </xf>
    <xf numFmtId="0" fontId="1" fillId="2" borderId="69"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2" fillId="2" borderId="34" xfId="0" applyFont="1" applyFill="1" applyBorder="1" applyAlignment="1" applyProtection="1">
      <alignment horizontal="center"/>
      <protection locked="0"/>
    </xf>
    <xf numFmtId="0" fontId="2" fillId="2" borderId="70" xfId="0" applyFont="1" applyFill="1" applyBorder="1" applyAlignment="1" applyProtection="1">
      <alignment horizontal="center"/>
      <protection locked="0"/>
    </xf>
    <xf numFmtId="0" fontId="1" fillId="2" borderId="71" xfId="0" applyFont="1" applyFill="1" applyBorder="1" applyProtection="1">
      <protection locked="0"/>
    </xf>
    <xf numFmtId="0" fontId="9" fillId="2" borderId="9" xfId="0" applyFont="1" applyFill="1" applyBorder="1" applyAlignment="1" applyProtection="1">
      <alignment horizontal="center"/>
      <protection locked="0"/>
    </xf>
    <xf numFmtId="0" fontId="9" fillId="2" borderId="7" xfId="0" applyFont="1" applyFill="1" applyBorder="1" applyAlignment="1" applyProtection="1">
      <alignment horizontal="center"/>
      <protection locked="0"/>
    </xf>
    <xf numFmtId="0" fontId="9" fillId="2" borderId="8" xfId="0" applyFont="1" applyFill="1" applyBorder="1" applyAlignment="1" applyProtection="1">
      <alignment horizontal="center"/>
      <protection locked="0"/>
    </xf>
    <xf numFmtId="0" fontId="1" fillId="2" borderId="23" xfId="0" applyFont="1" applyFill="1" applyBorder="1" applyProtection="1">
      <protection locked="0"/>
    </xf>
    <xf numFmtId="0" fontId="2" fillId="2" borderId="42" xfId="0" applyFont="1" applyFill="1" applyBorder="1" applyAlignment="1" applyProtection="1">
      <alignment horizontal="center"/>
      <protection locked="0"/>
    </xf>
    <xf numFmtId="0" fontId="2" fillId="2" borderId="30" xfId="0" applyFont="1" applyFill="1" applyBorder="1" applyAlignment="1" applyProtection="1">
      <alignment horizontal="center"/>
      <protection locked="0"/>
    </xf>
    <xf numFmtId="0" fontId="1" fillId="2" borderId="10" xfId="0" applyFont="1" applyFill="1" applyBorder="1" applyProtection="1">
      <protection locked="0"/>
    </xf>
    <xf numFmtId="0" fontId="1" fillId="2" borderId="10" xfId="0" applyFont="1" applyFill="1" applyBorder="1" applyAlignment="1" applyProtection="1">
      <alignment horizontal="left" indent="1"/>
      <protection locked="0"/>
    </xf>
    <xf numFmtId="0" fontId="1" fillId="2" borderId="10" xfId="0" applyFont="1" applyFill="1" applyBorder="1" applyAlignment="1" applyProtection="1">
      <alignment horizontal="left"/>
      <protection locked="0"/>
    </xf>
    <xf numFmtId="0" fontId="11" fillId="0" borderId="56" xfId="0" applyFont="1" applyBorder="1" applyAlignment="1" applyProtection="1">
      <alignment horizontal="left" wrapText="1"/>
      <protection locked="0"/>
    </xf>
    <xf numFmtId="0" fontId="1" fillId="0" borderId="57" xfId="0" applyFont="1" applyBorder="1" applyAlignment="1" applyProtection="1">
      <alignment horizontal="left" wrapText="1"/>
      <protection locked="0"/>
    </xf>
    <xf numFmtId="0" fontId="1" fillId="0" borderId="58" xfId="0" applyFont="1" applyBorder="1" applyAlignment="1" applyProtection="1">
      <alignment horizontal="left" wrapText="1"/>
      <protection locked="0"/>
    </xf>
    <xf numFmtId="0" fontId="1" fillId="2" borderId="16" xfId="0" applyFont="1" applyFill="1" applyBorder="1" applyProtection="1">
      <protection locked="0"/>
    </xf>
    <xf numFmtId="0" fontId="2" fillId="2" borderId="17" xfId="0" applyFont="1" applyFill="1" applyBorder="1" applyAlignment="1" applyProtection="1">
      <alignment horizontal="center"/>
      <protection locked="0"/>
    </xf>
    <xf numFmtId="0" fontId="2" fillId="2" borderId="25"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1" fillId="2" borderId="12" xfId="0" applyFont="1" applyFill="1" applyBorder="1" applyProtection="1">
      <protection locked="0"/>
    </xf>
    <xf numFmtId="0" fontId="3" fillId="2" borderId="15" xfId="0" applyFont="1" applyFill="1" applyBorder="1" applyAlignment="1" applyProtection="1">
      <alignment horizontal="center"/>
      <protection locked="0"/>
    </xf>
    <xf numFmtId="0" fontId="2" fillId="2" borderId="39" xfId="0" applyFont="1" applyFill="1" applyBorder="1" applyAlignment="1" applyProtection="1">
      <alignment horizontal="center"/>
      <protection locked="0"/>
    </xf>
    <xf numFmtId="0" fontId="2" fillId="2" borderId="27" xfId="0" applyFont="1" applyFill="1" applyBorder="1" applyAlignment="1" applyProtection="1">
      <alignment horizontal="center"/>
      <protection locked="0"/>
    </xf>
    <xf numFmtId="0" fontId="1" fillId="2" borderId="19" xfId="0" applyFont="1" applyFill="1" applyBorder="1" applyProtection="1">
      <protection locked="0"/>
    </xf>
    <xf numFmtId="0" fontId="1" fillId="2" borderId="2" xfId="0" applyFont="1" applyFill="1" applyBorder="1" applyAlignment="1" applyProtection="1">
      <alignment horizontal="left" indent="1"/>
      <protection locked="0"/>
    </xf>
    <xf numFmtId="0" fontId="0" fillId="2" borderId="77" xfId="0" applyFill="1" applyBorder="1" applyProtection="1">
      <protection locked="0"/>
    </xf>
    <xf numFmtId="0" fontId="2" fillId="2" borderId="28" xfId="0" applyFont="1" applyFill="1" applyBorder="1" applyAlignment="1" applyProtection="1">
      <alignment horizontal="center"/>
      <protection locked="0"/>
    </xf>
    <xf numFmtId="0" fontId="2" fillId="2" borderId="21" xfId="0" applyFont="1" applyFill="1" applyBorder="1" applyAlignment="1" applyProtection="1">
      <alignment horizontal="center"/>
      <protection locked="0"/>
    </xf>
    <xf numFmtId="0" fontId="2" fillId="2" borderId="78" xfId="0" applyFont="1" applyFill="1" applyBorder="1" applyAlignment="1" applyProtection="1">
      <alignment horizontal="center"/>
      <protection locked="0"/>
    </xf>
    <xf numFmtId="0" fontId="1" fillId="2" borderId="79" xfId="0" applyFont="1" applyFill="1" applyBorder="1" applyProtection="1">
      <protection locked="0"/>
    </xf>
    <xf numFmtId="0" fontId="1" fillId="2" borderId="81" xfId="0" applyFont="1" applyFill="1" applyBorder="1" applyProtection="1">
      <protection locked="0"/>
    </xf>
    <xf numFmtId="0" fontId="1" fillId="2" borderId="53" xfId="0" applyFont="1" applyFill="1" applyBorder="1" applyProtection="1">
      <protection locked="0"/>
    </xf>
    <xf numFmtId="0" fontId="11" fillId="0" borderId="57" xfId="0" applyFont="1" applyBorder="1" applyAlignment="1" applyProtection="1">
      <alignment horizontal="left" wrapText="1"/>
      <protection locked="0"/>
    </xf>
    <xf numFmtId="0" fontId="11" fillId="0" borderId="58" xfId="0" applyFont="1" applyBorder="1" applyAlignment="1" applyProtection="1">
      <alignment horizontal="left" wrapText="1"/>
      <protection locked="0"/>
    </xf>
    <xf numFmtId="2" fontId="1" fillId="0" borderId="19" xfId="0" applyNumberFormat="1" applyFont="1" applyBorder="1" applyProtection="1">
      <protection locked="0"/>
    </xf>
    <xf numFmtId="0" fontId="1" fillId="0" borderId="12" xfId="0" applyFont="1" applyBorder="1" applyProtection="1">
      <protection locked="0"/>
    </xf>
    <xf numFmtId="0" fontId="0" fillId="0" borderId="41" xfId="0" applyBorder="1" applyAlignment="1" applyProtection="1">
      <alignment horizontal="center"/>
    </xf>
    <xf numFmtId="2" fontId="0" fillId="0" borderId="72" xfId="0" applyNumberFormat="1" applyBorder="1" applyProtection="1"/>
    <xf numFmtId="2" fontId="0" fillId="0" borderId="73" xfId="0" applyNumberFormat="1" applyBorder="1" applyProtection="1"/>
    <xf numFmtId="2" fontId="1" fillId="0" borderId="65" xfId="0" applyNumberFormat="1" applyFont="1" applyBorder="1" applyProtection="1"/>
    <xf numFmtId="2" fontId="0" fillId="0" borderId="37" xfId="0" applyNumberFormat="1" applyBorder="1" applyProtection="1"/>
    <xf numFmtId="2" fontId="0" fillId="0" borderId="3" xfId="0" applyNumberFormat="1" applyBorder="1" applyAlignment="1" applyProtection="1">
      <alignment horizontal="right"/>
    </xf>
    <xf numFmtId="2" fontId="1" fillId="0" borderId="37" xfId="0" applyNumberFormat="1" applyFont="1" applyBorder="1" applyProtection="1"/>
    <xf numFmtId="2" fontId="1" fillId="0" borderId="37" xfId="0" applyNumberFormat="1" applyFont="1" applyBorder="1" applyAlignment="1" applyProtection="1">
      <alignment horizontal="right"/>
    </xf>
    <xf numFmtId="2" fontId="0" fillId="0" borderId="11" xfId="0" applyNumberFormat="1" applyBorder="1" applyAlignment="1" applyProtection="1">
      <alignment horizontal="right"/>
    </xf>
    <xf numFmtId="2" fontId="0" fillId="0" borderId="6" xfId="0" applyNumberFormat="1" applyBorder="1" applyProtection="1"/>
    <xf numFmtId="2" fontId="1" fillId="0" borderId="20" xfId="0" applyNumberFormat="1" applyFont="1" applyBorder="1" applyAlignment="1" applyProtection="1">
      <alignment horizontal="right"/>
    </xf>
    <xf numFmtId="2" fontId="1" fillId="0" borderId="35" xfId="0" applyNumberFormat="1" applyFont="1" applyBorder="1" applyAlignment="1" applyProtection="1">
      <alignment horizontal="right"/>
    </xf>
    <xf numFmtId="2" fontId="1" fillId="0" borderId="11" xfId="0" applyNumberFormat="1" applyFont="1" applyBorder="1" applyAlignment="1" applyProtection="1">
      <alignment horizontal="right"/>
    </xf>
    <xf numFmtId="0" fontId="1" fillId="0" borderId="3" xfId="0" applyFont="1" applyBorder="1" applyAlignment="1" applyProtection="1">
      <alignment horizontal="right"/>
    </xf>
    <xf numFmtId="2" fontId="0" fillId="0" borderId="22" xfId="0" applyNumberFormat="1" applyBorder="1" applyProtection="1"/>
    <xf numFmtId="0" fontId="0" fillId="0" borderId="3" xfId="0" applyBorder="1" applyAlignment="1" applyProtection="1">
      <alignment horizontal="right"/>
    </xf>
    <xf numFmtId="2" fontId="0" fillId="0" borderId="36" xfId="0" applyNumberFormat="1" applyBorder="1" applyProtection="1"/>
    <xf numFmtId="2" fontId="1" fillId="0" borderId="13" xfId="0" applyNumberFormat="1" applyFont="1" applyBorder="1" applyAlignment="1" applyProtection="1">
      <alignment horizontal="right"/>
    </xf>
    <xf numFmtId="0" fontId="1" fillId="0" borderId="6" xfId="0" applyFont="1" applyBorder="1" applyAlignment="1" applyProtection="1">
      <alignment horizontal="right"/>
    </xf>
    <xf numFmtId="2" fontId="0" fillId="0" borderId="44" xfId="0" applyNumberFormat="1" applyBorder="1" applyProtection="1"/>
    <xf numFmtId="2" fontId="0" fillId="0" borderId="80" xfId="0" applyNumberFormat="1" applyBorder="1" applyAlignment="1" applyProtection="1">
      <alignment horizontal="right"/>
    </xf>
    <xf numFmtId="2" fontId="0" fillId="0" borderId="1" xfId="0" applyNumberFormat="1" applyBorder="1" applyProtection="1"/>
    <xf numFmtId="2" fontId="0" fillId="0" borderId="82" xfId="0" applyNumberFormat="1" applyBorder="1" applyProtection="1"/>
    <xf numFmtId="2" fontId="0" fillId="0" borderId="83" xfId="0" applyNumberFormat="1" applyBorder="1" applyAlignment="1" applyProtection="1">
      <alignment horizontal="right"/>
    </xf>
    <xf numFmtId="2" fontId="0" fillId="0" borderId="80" xfId="0" applyNumberFormat="1" applyBorder="1" applyProtection="1"/>
    <xf numFmtId="2" fontId="0" fillId="0" borderId="65" xfId="0" applyNumberFormat="1" applyBorder="1" applyProtection="1"/>
    <xf numFmtId="2" fontId="0" fillId="0" borderId="3" xfId="0" applyNumberFormat="1" applyBorder="1" applyProtection="1"/>
    <xf numFmtId="0" fontId="2" fillId="2" borderId="29" xfId="0" applyFont="1" applyFill="1" applyBorder="1" applyAlignment="1" applyProtection="1">
      <alignment horizontal="center"/>
      <protection locked="0"/>
    </xf>
    <xf numFmtId="0" fontId="2" fillId="2" borderId="42" xfId="0" applyFont="1" applyFill="1" applyBorder="1" applyAlignment="1" applyProtection="1">
      <alignment horizontal="center"/>
      <protection locked="0"/>
    </xf>
    <xf numFmtId="0" fontId="2" fillId="2" borderId="30" xfId="0" applyFont="1" applyFill="1" applyBorder="1" applyAlignment="1" applyProtection="1">
      <alignment horizontal="center"/>
      <protection locked="0"/>
    </xf>
    <xf numFmtId="0" fontId="9" fillId="2" borderId="9" xfId="0" applyFont="1" applyFill="1" applyBorder="1" applyAlignment="1" applyProtection="1">
      <alignment horizontal="center"/>
      <protection locked="0"/>
    </xf>
    <xf numFmtId="0" fontId="9" fillId="2" borderId="99" xfId="0" applyFont="1" applyFill="1" applyBorder="1" applyAlignment="1" applyProtection="1">
      <alignment horizontal="center"/>
      <protection locked="0"/>
    </xf>
    <xf numFmtId="0" fontId="10" fillId="2" borderId="41" xfId="0" applyFont="1" applyFill="1" applyBorder="1" applyAlignment="1" applyProtection="1">
      <alignment horizontal="center"/>
      <protection locked="0"/>
    </xf>
    <xf numFmtId="0" fontId="10" fillId="2" borderId="86" xfId="0"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2" borderId="12" xfId="0" applyFont="1" applyFill="1" applyBorder="1" applyAlignment="1" applyProtection="1">
      <alignment horizontal="center"/>
      <protection locked="0"/>
    </xf>
    <xf numFmtId="0" fontId="10" fillId="2" borderId="36" xfId="0" applyFont="1" applyFill="1" applyBorder="1" applyAlignment="1" applyProtection="1">
      <alignment horizontal="center"/>
      <protection locked="0"/>
    </xf>
    <xf numFmtId="0" fontId="10" fillId="2" borderId="92" xfId="0" applyFont="1" applyFill="1" applyBorder="1" applyAlignment="1" applyProtection="1">
      <alignment horizontal="center"/>
      <protection locked="0"/>
    </xf>
    <xf numFmtId="0" fontId="10" fillId="2" borderId="93"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2" fontId="1" fillId="0" borderId="10" xfId="0" applyNumberFormat="1" applyFont="1" applyBorder="1" applyProtection="1">
      <protection locked="0"/>
    </xf>
    <xf numFmtId="2" fontId="11" fillId="0" borderId="3" xfId="0" applyNumberFormat="1" applyFont="1" applyBorder="1" applyProtection="1">
      <protection locked="0"/>
    </xf>
    <xf numFmtId="2" fontId="1" fillId="0" borderId="2" xfId="0" applyNumberFormat="1" applyFont="1" applyBorder="1" applyProtection="1">
      <protection locked="0"/>
    </xf>
    <xf numFmtId="2" fontId="1" fillId="0" borderId="3" xfId="0" applyNumberFormat="1" applyFont="1" applyBorder="1" applyProtection="1">
      <protection locked="0"/>
    </xf>
    <xf numFmtId="164" fontId="1" fillId="0" borderId="22" xfId="0" applyNumberFormat="1" applyFont="1" applyBorder="1" applyProtection="1">
      <protection locked="0"/>
    </xf>
    <xf numFmtId="2" fontId="11" fillId="0" borderId="1" xfId="0" applyNumberFormat="1" applyFont="1" applyBorder="1" applyProtection="1">
      <protection locked="0"/>
    </xf>
    <xf numFmtId="2" fontId="1" fillId="0" borderId="12" xfId="0" applyNumberFormat="1" applyFont="1" applyBorder="1" applyProtection="1">
      <protection locked="0"/>
    </xf>
    <xf numFmtId="2" fontId="1" fillId="0" borderId="5" xfId="0" applyNumberFormat="1" applyFont="1" applyBorder="1" applyProtection="1">
      <protection locked="0"/>
    </xf>
    <xf numFmtId="2" fontId="11" fillId="0" borderId="6" xfId="0" applyNumberFormat="1" applyFont="1" applyBorder="1" applyProtection="1">
      <protection locked="0"/>
    </xf>
    <xf numFmtId="2" fontId="1" fillId="0" borderId="4" xfId="0" applyNumberFormat="1" applyFont="1" applyBorder="1" applyProtection="1">
      <protection locked="0"/>
    </xf>
    <xf numFmtId="2" fontId="1" fillId="0" borderId="6" xfId="0" applyNumberFormat="1" applyFont="1" applyBorder="1" applyProtection="1">
      <protection locked="0"/>
    </xf>
    <xf numFmtId="164" fontId="1" fillId="0" borderId="36" xfId="0" applyNumberFormat="1" applyFont="1" applyBorder="1" applyProtection="1">
      <protection locked="0"/>
    </xf>
    <xf numFmtId="2" fontId="11" fillId="0" borderId="5" xfId="0" applyNumberFormat="1" applyFont="1" applyBorder="1" applyProtection="1">
      <protection locked="0"/>
    </xf>
  </cellXfs>
  <cellStyles count="3">
    <cellStyle name="Hyperlink" xfId="2" builtinId="8"/>
    <cellStyle name="Normal" xfId="0" builtinId="0"/>
    <cellStyle name="Normal 2" xfId="1" xr:uid="{2812804B-BFE9-42FF-9A2F-6AB4AF6D33B4}"/>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74D687"/>
      <color rgb="FF94E0A2"/>
      <color rgb="FFAEE8B9"/>
      <color rgb="FFC6EFCE"/>
      <color rgb="FFFFE699"/>
      <color rgb="FFBDD7EE"/>
      <color rgb="FFBC8FDD"/>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363454</xdr:colOff>
      <xdr:row>5</xdr:row>
      <xdr:rowOff>20555</xdr:rowOff>
    </xdr:from>
    <xdr:ext cx="172953" cy="159084"/>
    <xdr:pic>
      <xdr:nvPicPr>
        <xdr:cNvPr id="2" name="Picture 1">
          <a:extLst>
            <a:ext uri="{FF2B5EF4-FFF2-40B4-BE49-F238E27FC236}">
              <a16:creationId xmlns:a16="http://schemas.microsoft.com/office/drawing/2014/main" id="{1A18D93A-891C-4ED7-B350-C6E6F8C39F48}"/>
            </a:ext>
          </a:extLst>
        </xdr:cNvPr>
        <xdr:cNvPicPr>
          <a:picLocks noChangeAspect="1"/>
        </xdr:cNvPicPr>
      </xdr:nvPicPr>
      <xdr:blipFill>
        <a:blip xmlns:r="http://schemas.openxmlformats.org/officeDocument/2006/relationships" r:embed="rId1"/>
        <a:stretch>
          <a:fillRect/>
        </a:stretch>
      </xdr:blipFill>
      <xdr:spPr>
        <a:xfrm>
          <a:off x="11203811" y="1100055"/>
          <a:ext cx="172953" cy="159084"/>
        </a:xfrm>
        <a:prstGeom prst="rect">
          <a:avLst/>
        </a:prstGeom>
      </xdr:spPr>
    </xdr:pic>
    <xdr:clientData/>
  </xdr:oneCellAnchor>
  <xdr:oneCellAnchor>
    <xdr:from>
      <xdr:col>11</xdr:col>
      <xdr:colOff>372525</xdr:colOff>
      <xdr:row>5</xdr:row>
      <xdr:rowOff>38697</xdr:rowOff>
    </xdr:from>
    <xdr:ext cx="172953" cy="159084"/>
    <xdr:pic>
      <xdr:nvPicPr>
        <xdr:cNvPr id="3" name="Picture 2">
          <a:extLst>
            <a:ext uri="{FF2B5EF4-FFF2-40B4-BE49-F238E27FC236}">
              <a16:creationId xmlns:a16="http://schemas.microsoft.com/office/drawing/2014/main" id="{8830FFB5-F023-439C-896C-EA2176772AE6}"/>
            </a:ext>
          </a:extLst>
        </xdr:cNvPr>
        <xdr:cNvPicPr>
          <a:picLocks noChangeAspect="1"/>
        </xdr:cNvPicPr>
      </xdr:nvPicPr>
      <xdr:blipFill>
        <a:blip xmlns:r="http://schemas.openxmlformats.org/officeDocument/2006/relationships" r:embed="rId1"/>
        <a:stretch>
          <a:fillRect/>
        </a:stretch>
      </xdr:blipFill>
      <xdr:spPr>
        <a:xfrm>
          <a:off x="9970096" y="1281483"/>
          <a:ext cx="172953" cy="15908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2695575</xdr:colOff>
      <xdr:row>12</xdr:row>
      <xdr:rowOff>28575</xdr:rowOff>
    </xdr:from>
    <xdr:to>
      <xdr:col>3</xdr:col>
      <xdr:colOff>2819400</xdr:colOff>
      <xdr:row>12</xdr:row>
      <xdr:rowOff>161925</xdr:rowOff>
    </xdr:to>
    <xdr:pic>
      <xdr:nvPicPr>
        <xdr:cNvPr id="2" name="Picture 1">
          <a:extLst>
            <a:ext uri="{FF2B5EF4-FFF2-40B4-BE49-F238E27FC236}">
              <a16:creationId xmlns:a16="http://schemas.microsoft.com/office/drawing/2014/main" id="{07E73BCB-68CA-42D8-8C25-9E179445718A}"/>
            </a:ext>
          </a:extLst>
        </xdr:cNvPr>
        <xdr:cNvPicPr>
          <a:picLocks noChangeAspect="1"/>
        </xdr:cNvPicPr>
      </xdr:nvPicPr>
      <xdr:blipFill>
        <a:blip xmlns:r="http://schemas.openxmlformats.org/officeDocument/2006/relationships" r:embed="rId1"/>
        <a:stretch>
          <a:fillRect/>
        </a:stretch>
      </xdr:blipFill>
      <xdr:spPr>
        <a:xfrm>
          <a:off x="8734425" y="1952625"/>
          <a:ext cx="123825" cy="1333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D8F4A-ED5F-4572-86D6-3D3FFAE68681}">
  <sheetPr>
    <tabColor theme="2" tint="-0.249977111117893"/>
  </sheetPr>
  <dimension ref="A1:G29"/>
  <sheetViews>
    <sheetView tabSelected="1" zoomScale="80" zoomScaleNormal="80" workbookViewId="0">
      <selection activeCell="A7" sqref="A7"/>
    </sheetView>
  </sheetViews>
  <sheetFormatPr defaultRowHeight="14.5" x14ac:dyDescent="0.35"/>
  <cols>
    <col min="1" max="1" width="187.54296875" style="109" customWidth="1"/>
    <col min="2" max="16384" width="8.7265625" style="109"/>
  </cols>
  <sheetData>
    <row r="1" spans="1:7" ht="21.5" customHeight="1" x14ac:dyDescent="0.45">
      <c r="A1" s="111" t="s">
        <v>793</v>
      </c>
      <c r="B1" s="107"/>
      <c r="C1" s="108"/>
      <c r="D1" s="108"/>
      <c r="E1" s="108"/>
      <c r="F1" s="108"/>
      <c r="G1" s="108"/>
    </row>
    <row r="2" spans="1:7" ht="17.5" customHeight="1" x14ac:dyDescent="0.35">
      <c r="A2" s="112" t="s">
        <v>0</v>
      </c>
      <c r="B2" s="110"/>
    </row>
    <row r="3" spans="1:7" ht="18.5" customHeight="1" x14ac:dyDescent="0.35">
      <c r="A3" s="112" t="s">
        <v>1</v>
      </c>
      <c r="B3" s="110"/>
    </row>
    <row r="4" spans="1:7" x14ac:dyDescent="0.35">
      <c r="A4" s="113"/>
      <c r="B4" s="110"/>
    </row>
    <row r="5" spans="1:7" ht="19.5" customHeight="1" x14ac:dyDescent="0.35">
      <c r="A5" s="114" t="s">
        <v>2</v>
      </c>
      <c r="B5" s="110"/>
    </row>
    <row r="6" spans="1:7" ht="17.5" customHeight="1" x14ac:dyDescent="0.35">
      <c r="A6" s="113" t="s">
        <v>3</v>
      </c>
      <c r="B6" s="110"/>
    </row>
    <row r="7" spans="1:7" ht="17.5" customHeight="1" x14ac:dyDescent="0.35">
      <c r="A7" s="113" t="s">
        <v>4</v>
      </c>
      <c r="B7" s="110"/>
    </row>
    <row r="8" spans="1:7" ht="31.5" customHeight="1" x14ac:dyDescent="0.35">
      <c r="A8" s="115" t="s">
        <v>5</v>
      </c>
      <c r="B8" s="110"/>
    </row>
    <row r="9" spans="1:7" ht="31.5" customHeight="1" x14ac:dyDescent="0.35">
      <c r="A9" s="115" t="s">
        <v>6</v>
      </c>
      <c r="B9" s="110"/>
    </row>
    <row r="10" spans="1:7" x14ac:dyDescent="0.35">
      <c r="A10" s="113"/>
      <c r="B10" s="110"/>
    </row>
    <row r="11" spans="1:7" ht="19.5" customHeight="1" x14ac:dyDescent="0.35">
      <c r="A11" s="114" t="s">
        <v>7</v>
      </c>
      <c r="B11" s="110"/>
    </row>
    <row r="12" spans="1:7" ht="31.5" customHeight="1" x14ac:dyDescent="0.35">
      <c r="A12" s="115" t="s">
        <v>8</v>
      </c>
      <c r="B12" s="110"/>
    </row>
    <row r="13" spans="1:7" ht="17.5" customHeight="1" x14ac:dyDescent="0.35">
      <c r="A13" s="116" t="s">
        <v>792</v>
      </c>
      <c r="B13" s="110"/>
    </row>
    <row r="14" spans="1:7" x14ac:dyDescent="0.35">
      <c r="A14" s="113"/>
      <c r="B14" s="110"/>
    </row>
    <row r="15" spans="1:7" ht="19.5" customHeight="1" x14ac:dyDescent="0.35">
      <c r="A15" s="114" t="s">
        <v>9</v>
      </c>
      <c r="B15" s="110"/>
    </row>
    <row r="16" spans="1:7" ht="19.5" customHeight="1" x14ac:dyDescent="0.35">
      <c r="A16" s="113" t="s">
        <v>10</v>
      </c>
      <c r="B16" s="110"/>
    </row>
    <row r="17" spans="1:2" ht="19.5" customHeight="1" x14ac:dyDescent="0.35">
      <c r="A17" s="117" t="s">
        <v>11</v>
      </c>
      <c r="B17" s="110"/>
    </row>
    <row r="18" spans="1:2" ht="52" customHeight="1" x14ac:dyDescent="0.35">
      <c r="A18" s="118" t="s">
        <v>12</v>
      </c>
      <c r="B18" s="110"/>
    </row>
    <row r="19" spans="1:2" ht="66" customHeight="1" x14ac:dyDescent="0.35">
      <c r="A19" s="118" t="s">
        <v>13</v>
      </c>
      <c r="B19" s="110"/>
    </row>
    <row r="20" spans="1:2" ht="52" customHeight="1" x14ac:dyDescent="0.35">
      <c r="A20" s="119" t="s">
        <v>791</v>
      </c>
      <c r="B20" s="110"/>
    </row>
    <row r="21" spans="1:2" x14ac:dyDescent="0.35">
      <c r="A21" s="113"/>
      <c r="B21" s="110"/>
    </row>
    <row r="22" spans="1:2" ht="19.5" customHeight="1" x14ac:dyDescent="0.35">
      <c r="A22" s="120" t="s">
        <v>14</v>
      </c>
      <c r="B22" s="110"/>
    </row>
    <row r="23" spans="1:2" ht="19" customHeight="1" x14ac:dyDescent="0.35">
      <c r="A23" s="121" t="s">
        <v>15</v>
      </c>
      <c r="B23" s="110"/>
    </row>
    <row r="24" spans="1:2" ht="19.5" customHeight="1" x14ac:dyDescent="0.35">
      <c r="A24" s="113" t="s">
        <v>16</v>
      </c>
      <c r="B24" s="110"/>
    </row>
    <row r="25" spans="1:2" ht="31.5" customHeight="1" x14ac:dyDescent="0.35">
      <c r="A25" s="116" t="s">
        <v>17</v>
      </c>
      <c r="B25" s="110"/>
    </row>
    <row r="26" spans="1:2" ht="19.5" customHeight="1" x14ac:dyDescent="0.35">
      <c r="A26" s="113" t="s">
        <v>18</v>
      </c>
      <c r="B26" s="110"/>
    </row>
    <row r="27" spans="1:2" ht="19.5" customHeight="1" x14ac:dyDescent="0.35">
      <c r="A27" s="113" t="s">
        <v>19</v>
      </c>
      <c r="B27" s="110"/>
    </row>
    <row r="28" spans="1:2" ht="19.5" customHeight="1" thickBot="1" x14ac:dyDescent="0.4">
      <c r="A28" s="122" t="s">
        <v>20</v>
      </c>
      <c r="B28" s="110"/>
    </row>
    <row r="29" spans="1:2" x14ac:dyDescent="0.35">
      <c r="A29" s="110"/>
    </row>
  </sheetData>
  <sheetProtection select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32EF-2537-484C-8F62-0799E207ADC8}">
  <sheetPr>
    <tabColor theme="0"/>
  </sheetPr>
  <dimension ref="A1:S103"/>
  <sheetViews>
    <sheetView zoomScale="80" zoomScaleNormal="80" workbookViewId="0">
      <selection activeCell="C22" sqref="C22"/>
    </sheetView>
  </sheetViews>
  <sheetFormatPr defaultRowHeight="14.5" x14ac:dyDescent="0.35"/>
  <cols>
    <col min="1" max="1" width="25" customWidth="1"/>
    <col min="2" max="3" width="30.81640625" customWidth="1"/>
    <col min="4" max="4" width="25.1796875" customWidth="1"/>
    <col min="5" max="5" width="22.453125" customWidth="1"/>
    <col min="6" max="6" width="21.54296875" customWidth="1"/>
    <col min="7" max="9" width="26.1796875" customWidth="1"/>
    <col min="10" max="10" width="35.54296875" customWidth="1"/>
    <col min="11" max="11" width="26.1796875" customWidth="1"/>
    <col min="12" max="12" width="29.453125" customWidth="1"/>
    <col min="13" max="18" width="26.1796875" customWidth="1"/>
    <col min="19" max="19" width="32.54296875" customWidth="1"/>
  </cols>
  <sheetData>
    <row r="1" spans="1:19" ht="18.5" x14ac:dyDescent="0.45">
      <c r="A1" s="8" t="s">
        <v>675</v>
      </c>
    </row>
    <row r="2" spans="1:19" ht="15" thickBot="1" x14ac:dyDescent="0.4"/>
    <row r="3" spans="1:19" ht="16" thickBot="1" x14ac:dyDescent="0.4">
      <c r="B3" s="183" t="s">
        <v>676</v>
      </c>
      <c r="C3" s="184"/>
      <c r="D3" s="184"/>
      <c r="E3" s="184"/>
      <c r="F3" s="184"/>
      <c r="G3" s="184"/>
      <c r="H3" s="184"/>
      <c r="I3" s="184"/>
      <c r="J3" s="185"/>
      <c r="K3" s="183" t="s">
        <v>677</v>
      </c>
      <c r="L3" s="184"/>
      <c r="M3" s="184"/>
      <c r="N3" s="184"/>
      <c r="O3" s="184"/>
      <c r="P3" s="184"/>
      <c r="Q3" s="184"/>
      <c r="R3" s="184"/>
      <c r="S3" s="185"/>
    </row>
    <row r="4" spans="1:19" x14ac:dyDescent="0.35">
      <c r="B4" s="79" t="s">
        <v>678</v>
      </c>
      <c r="C4" s="79" t="s">
        <v>679</v>
      </c>
      <c r="D4" s="79" t="s">
        <v>680</v>
      </c>
      <c r="E4" s="79" t="s">
        <v>681</v>
      </c>
      <c r="F4" s="79" t="s">
        <v>682</v>
      </c>
      <c r="G4" s="79" t="s">
        <v>683</v>
      </c>
      <c r="H4" s="79" t="s">
        <v>683</v>
      </c>
      <c r="I4" s="79" t="s">
        <v>684</v>
      </c>
      <c r="J4" s="79" t="s">
        <v>685</v>
      </c>
      <c r="K4" s="79" t="s">
        <v>678</v>
      </c>
      <c r="L4" s="79" t="s">
        <v>679</v>
      </c>
      <c r="M4" s="79" t="s">
        <v>680</v>
      </c>
      <c r="N4" s="79" t="s">
        <v>686</v>
      </c>
      <c r="O4" s="79" t="s">
        <v>687</v>
      </c>
      <c r="P4" s="79" t="s">
        <v>683</v>
      </c>
      <c r="Q4" s="79" t="s">
        <v>683</v>
      </c>
      <c r="R4" s="79" t="s">
        <v>684</v>
      </c>
      <c r="S4" s="79" t="s">
        <v>685</v>
      </c>
    </row>
    <row r="5" spans="1:19" x14ac:dyDescent="0.35">
      <c r="B5" s="79" t="s">
        <v>688</v>
      </c>
      <c r="C5" s="79" t="s">
        <v>689</v>
      </c>
      <c r="D5" s="7" t="s">
        <v>690</v>
      </c>
      <c r="E5" s="79" t="s">
        <v>691</v>
      </c>
      <c r="F5" s="79" t="s">
        <v>692</v>
      </c>
      <c r="G5" s="79" t="s">
        <v>693</v>
      </c>
      <c r="H5" s="79" t="s">
        <v>691</v>
      </c>
      <c r="I5" s="79" t="s">
        <v>692</v>
      </c>
      <c r="J5" s="79" t="s">
        <v>694</v>
      </c>
      <c r="K5" s="79" t="s">
        <v>688</v>
      </c>
      <c r="L5" s="79" t="s">
        <v>689</v>
      </c>
      <c r="M5" s="7" t="s">
        <v>690</v>
      </c>
      <c r="N5" s="79" t="s">
        <v>691</v>
      </c>
      <c r="O5" s="79" t="s">
        <v>692</v>
      </c>
      <c r="P5" s="79" t="s">
        <v>693</v>
      </c>
      <c r="Q5" s="79" t="s">
        <v>691</v>
      </c>
      <c r="R5" s="79" t="s">
        <v>692</v>
      </c>
      <c r="S5" s="79" t="s">
        <v>694</v>
      </c>
    </row>
    <row r="6" spans="1:19" x14ac:dyDescent="0.35">
      <c r="A6" s="47" t="s">
        <v>41</v>
      </c>
      <c r="B6" s="48">
        <f>(($E6)-($H6))^2</f>
        <v>0</v>
      </c>
      <c r="C6">
        <f>$J6*(($E6)-($H6))^2</f>
        <v>0</v>
      </c>
      <c r="D6" t="e">
        <f>($C6/$C$103)*100</f>
        <v>#DIV/0!</v>
      </c>
      <c r="E6">
        <f>Calculation_TFP!$F4</f>
        <v>12.586100715885598</v>
      </c>
      <c r="F6">
        <f>Calculation_TFP!$H4</f>
        <v>4.0452063650264887E-2</v>
      </c>
      <c r="G6" s="2">
        <f>CurrConsumption_Ref!$I6</f>
        <v>0.12586100715885598</v>
      </c>
      <c r="H6" s="2">
        <f>CurrConsumption_Ref!$J6</f>
        <v>12.586100715885598</v>
      </c>
      <c r="I6" s="2">
        <f>CurrConsumption_Ref!L6</f>
        <v>4.0452063650264887E-2</v>
      </c>
      <c r="J6">
        <f>($I6/$I$103)</f>
        <v>8.4444590993964837E-3</v>
      </c>
      <c r="K6">
        <f>(($N6)-($Q6))^2</f>
        <v>1704.9952190160884</v>
      </c>
      <c r="L6">
        <f>$S6*(($N6)-($Q6))^2</f>
        <v>14.397762391647909</v>
      </c>
      <c r="M6">
        <f>($L6/$L$103)*100</f>
        <v>0.32148804824312011</v>
      </c>
      <c r="N6">
        <f>TFPConsumption_Ref!$J6</f>
        <v>53.877688467098174</v>
      </c>
      <c r="O6">
        <f>TFPConsumption_Ref!$L6</f>
        <v>0.17316432884168634</v>
      </c>
      <c r="P6">
        <f>CurrConsumption_Ref!$I6</f>
        <v>0.12586100715885598</v>
      </c>
      <c r="Q6">
        <f>CurrConsumption_Ref!$J6</f>
        <v>12.586100715885598</v>
      </c>
      <c r="R6">
        <f>CurrConsumption_Ref!$L6</f>
        <v>4.0452063650264887E-2</v>
      </c>
      <c r="S6">
        <f>($R6/$R$103)</f>
        <v>8.4444590993964837E-3</v>
      </c>
    </row>
    <row r="7" spans="1:19" x14ac:dyDescent="0.35">
      <c r="A7" s="6" t="s">
        <v>43</v>
      </c>
      <c r="B7" s="48">
        <f t="shared" ref="B7:B70" si="0">(($E7)-($H7))^2</f>
        <v>0</v>
      </c>
      <c r="C7">
        <f t="shared" ref="C7:C70" si="1">$J7*(($E7)-($H7))^2</f>
        <v>0</v>
      </c>
      <c r="D7" t="e">
        <f t="shared" ref="D7:D70" si="2">($C7/$C$103)*100</f>
        <v>#DIV/0!</v>
      </c>
      <c r="E7">
        <f>Calculation_TFP!$F5</f>
        <v>38.152820969814094</v>
      </c>
      <c r="F7">
        <f>Calculation_TFP!$H5</f>
        <v>5.0242530569063047E-2</v>
      </c>
      <c r="G7" s="2">
        <f>CurrConsumption_Ref!$I7</f>
        <v>0.38152820969814094</v>
      </c>
      <c r="H7" s="2">
        <f>CurrConsumption_Ref!$J7</f>
        <v>38.152820969814094</v>
      </c>
      <c r="I7" s="2">
        <f>CurrConsumption_Ref!L7</f>
        <v>5.0242530569063047E-2</v>
      </c>
      <c r="J7">
        <f t="shared" ref="J7:J70" si="3">($I7/$I$103)</f>
        <v>1.0488241047693797E-2</v>
      </c>
      <c r="K7">
        <f t="shared" ref="K7:K70" si="4">(($N7)-($Q7))^2</f>
        <v>1455.6377479546861</v>
      </c>
      <c r="L7">
        <f t="shared" ref="L7:L70" si="5">$S7*(($N7)-($Q7))^2</f>
        <v>15.267079578670897</v>
      </c>
      <c r="M7">
        <f t="shared" ref="M7:M70" si="6">($L7/$L$103)*100</f>
        <v>0.34089905657607761</v>
      </c>
      <c r="N7">
        <f>TFPConsumption_Ref!$J7</f>
        <v>0</v>
      </c>
      <c r="O7">
        <f>TFPConsumption_Ref!$L7</f>
        <v>0</v>
      </c>
      <c r="P7">
        <f>CurrConsumption_Ref!$I7</f>
        <v>0.38152820969814094</v>
      </c>
      <c r="Q7">
        <f>CurrConsumption_Ref!$J7</f>
        <v>38.152820969814094</v>
      </c>
      <c r="R7">
        <f>CurrConsumption_Ref!$L7</f>
        <v>5.0242530569063047E-2</v>
      </c>
      <c r="S7">
        <f t="shared" ref="S7:S70" si="7">($R7/$R$103)</f>
        <v>1.0488241047693797E-2</v>
      </c>
    </row>
    <row r="8" spans="1:19" x14ac:dyDescent="0.35">
      <c r="A8" s="6" t="s">
        <v>45</v>
      </c>
      <c r="B8" s="48">
        <f t="shared" si="0"/>
        <v>0</v>
      </c>
      <c r="C8">
        <f t="shared" si="1"/>
        <v>0</v>
      </c>
      <c r="D8" t="e">
        <f t="shared" si="2"/>
        <v>#DIV/0!</v>
      </c>
      <c r="E8">
        <f>Calculation_TFP!$F6</f>
        <v>121.42888121408588</v>
      </c>
      <c r="F8">
        <f>Calculation_TFP!$H6</f>
        <v>6.6478491504121245E-2</v>
      </c>
      <c r="G8" s="2">
        <f>CurrConsumption_Ref!$I8</f>
        <v>1.2142888121408588</v>
      </c>
      <c r="H8" s="2">
        <f>CurrConsumption_Ref!$J8</f>
        <v>121.42888121408588</v>
      </c>
      <c r="I8" s="2">
        <f>CurrConsumption_Ref!L8</f>
        <v>6.6478491504121245E-2</v>
      </c>
      <c r="J8">
        <f t="shared" si="3"/>
        <v>1.3877534341624434E-2</v>
      </c>
      <c r="K8">
        <f t="shared" si="4"/>
        <v>11224.791050276313</v>
      </c>
      <c r="L8">
        <f t="shared" si="5"/>
        <v>155.77242327776813</v>
      </c>
      <c r="M8">
        <f t="shared" si="6"/>
        <v>3.4782468947203542</v>
      </c>
      <c r="N8">
        <f>TFPConsumption_Ref!$J8</f>
        <v>227.37599561686852</v>
      </c>
      <c r="O8">
        <f>TFPConsumption_Ref!$L8</f>
        <v>0.12448120283845353</v>
      </c>
      <c r="P8">
        <f>CurrConsumption_Ref!$I8</f>
        <v>1.2142888121408588</v>
      </c>
      <c r="Q8">
        <f>CurrConsumption_Ref!$J8</f>
        <v>121.42888121408588</v>
      </c>
      <c r="R8">
        <f>CurrConsumption_Ref!$L8</f>
        <v>6.6478491504121245E-2</v>
      </c>
      <c r="S8">
        <f t="shared" si="7"/>
        <v>1.3877534341624434E-2</v>
      </c>
    </row>
    <row r="9" spans="1:19" x14ac:dyDescent="0.35">
      <c r="A9" s="6" t="s">
        <v>47</v>
      </c>
      <c r="B9" s="48">
        <f t="shared" si="0"/>
        <v>0</v>
      </c>
      <c r="C9">
        <f t="shared" si="1"/>
        <v>0</v>
      </c>
      <c r="D9" t="e">
        <f t="shared" si="2"/>
        <v>#DIV/0!</v>
      </c>
      <c r="E9">
        <f>Calculation_TFP!$F7</f>
        <v>0</v>
      </c>
      <c r="F9">
        <f>Calculation_TFP!$H7</f>
        <v>0</v>
      </c>
      <c r="G9" s="2">
        <f>CurrConsumption_Ref!$I9</f>
        <v>0</v>
      </c>
      <c r="H9" s="2">
        <f>CurrConsumption_Ref!$J9</f>
        <v>0</v>
      </c>
      <c r="I9" s="2">
        <f>CurrConsumption_Ref!L9</f>
        <v>0</v>
      </c>
      <c r="J9">
        <f t="shared" si="3"/>
        <v>0</v>
      </c>
      <c r="K9">
        <f t="shared" si="4"/>
        <v>0</v>
      </c>
      <c r="L9">
        <f t="shared" si="5"/>
        <v>0</v>
      </c>
      <c r="M9">
        <f t="shared" si="6"/>
        <v>0</v>
      </c>
      <c r="N9">
        <f>TFPConsumption_Ref!$J9</f>
        <v>0</v>
      </c>
      <c r="O9">
        <f>TFPConsumption_Ref!$L9</f>
        <v>0</v>
      </c>
      <c r="P9">
        <f>CurrConsumption_Ref!$I9</f>
        <v>0</v>
      </c>
      <c r="Q9">
        <f>CurrConsumption_Ref!$J9</f>
        <v>0</v>
      </c>
      <c r="R9">
        <f>CurrConsumption_Ref!$L9</f>
        <v>0</v>
      </c>
      <c r="S9">
        <f t="shared" si="7"/>
        <v>0</v>
      </c>
    </row>
    <row r="10" spans="1:19" x14ac:dyDescent="0.35">
      <c r="A10" s="6" t="s">
        <v>49</v>
      </c>
      <c r="B10" s="48">
        <f t="shared" si="0"/>
        <v>0</v>
      </c>
      <c r="C10">
        <f t="shared" si="1"/>
        <v>0</v>
      </c>
      <c r="D10" t="e">
        <f t="shared" si="2"/>
        <v>#DIV/0!</v>
      </c>
      <c r="E10">
        <f>Calculation_TFP!$F8</f>
        <v>0.9660155221765695</v>
      </c>
      <c r="F10">
        <f>Calculation_TFP!$H8</f>
        <v>2.1226755027337345E-3</v>
      </c>
      <c r="G10" s="2">
        <f>CurrConsumption_Ref!$I10</f>
        <v>9.6601552217656945E-3</v>
      </c>
      <c r="H10" s="2">
        <f>CurrConsumption_Ref!$J10</f>
        <v>0.9660155221765695</v>
      </c>
      <c r="I10" s="2">
        <f>CurrConsumption_Ref!L10</f>
        <v>2.1226755027337345E-3</v>
      </c>
      <c r="J10">
        <f t="shared" si="3"/>
        <v>4.4311327647207719E-4</v>
      </c>
      <c r="K10">
        <f t="shared" si="4"/>
        <v>0.9331859890860702</v>
      </c>
      <c r="L10">
        <f t="shared" si="5"/>
        <v>4.1350710118176465E-4</v>
      </c>
      <c r="M10">
        <f t="shared" si="6"/>
        <v>9.2332118892802758E-6</v>
      </c>
      <c r="N10">
        <f>TFPConsumption_Ref!$J10</f>
        <v>0</v>
      </c>
      <c r="O10">
        <f>TFPConsumption_Ref!$L10</f>
        <v>0</v>
      </c>
      <c r="P10">
        <f>CurrConsumption_Ref!$I10</f>
        <v>9.6601552217656945E-3</v>
      </c>
      <c r="Q10">
        <f>CurrConsumption_Ref!$J10</f>
        <v>0.9660155221765695</v>
      </c>
      <c r="R10">
        <f>CurrConsumption_Ref!$L10</f>
        <v>2.1226755027337345E-3</v>
      </c>
      <c r="S10">
        <f t="shared" si="7"/>
        <v>4.4311327647207719E-4</v>
      </c>
    </row>
    <row r="11" spans="1:19" x14ac:dyDescent="0.35">
      <c r="A11" s="6" t="s">
        <v>52</v>
      </c>
      <c r="B11" s="48">
        <f t="shared" si="0"/>
        <v>0</v>
      </c>
      <c r="C11">
        <f t="shared" si="1"/>
        <v>0</v>
      </c>
      <c r="D11" t="e">
        <f t="shared" si="2"/>
        <v>#DIV/0!</v>
      </c>
      <c r="E11">
        <f>Calculation_TFP!$F9</f>
        <v>17.539584122735796</v>
      </c>
      <c r="F11">
        <f>Calculation_TFP!$H9</f>
        <v>1.9269518439193847E-2</v>
      </c>
      <c r="G11" s="2">
        <f>CurrConsumption_Ref!$I11</f>
        <v>0.17539584122735796</v>
      </c>
      <c r="H11" s="2">
        <f>CurrConsumption_Ref!$J11</f>
        <v>17.539584122735796</v>
      </c>
      <c r="I11" s="2">
        <f>CurrConsumption_Ref!L11</f>
        <v>1.9269518439193847E-2</v>
      </c>
      <c r="J11">
        <f t="shared" si="3"/>
        <v>4.0225552330696301E-3</v>
      </c>
      <c r="K11">
        <f t="shared" si="4"/>
        <v>307.63701119852561</v>
      </c>
      <c r="L11">
        <f t="shared" si="5"/>
        <v>1.2374868692825296</v>
      </c>
      <c r="M11">
        <f t="shared" si="6"/>
        <v>2.7631879698397682E-2</v>
      </c>
      <c r="N11">
        <f>TFPConsumption_Ref!$J11</f>
        <v>0</v>
      </c>
      <c r="O11">
        <f>TFPConsumption_Ref!$L11</f>
        <v>0</v>
      </c>
      <c r="P11">
        <f>CurrConsumption_Ref!$I11</f>
        <v>0.17539584122735796</v>
      </c>
      <c r="Q11">
        <f>CurrConsumption_Ref!$J11</f>
        <v>17.539584122735796</v>
      </c>
      <c r="R11">
        <f>CurrConsumption_Ref!$L11</f>
        <v>1.9269518439193847E-2</v>
      </c>
      <c r="S11">
        <f t="shared" si="7"/>
        <v>4.0225552330696301E-3</v>
      </c>
    </row>
    <row r="12" spans="1:19" x14ac:dyDescent="0.35">
      <c r="A12" s="6" t="s">
        <v>55</v>
      </c>
      <c r="B12" s="48">
        <f t="shared" si="0"/>
        <v>0</v>
      </c>
      <c r="C12">
        <f t="shared" si="1"/>
        <v>0</v>
      </c>
      <c r="D12" t="e">
        <f t="shared" si="2"/>
        <v>#DIV/0!</v>
      </c>
      <c r="E12">
        <f>Calculation_TFP!$F10</f>
        <v>56.838000579266293</v>
      </c>
      <c r="F12">
        <f>Calculation_TFP!$H10</f>
        <v>0.211648792983611</v>
      </c>
      <c r="G12" s="2">
        <f>CurrConsumption_Ref!$I12</f>
        <v>0.5683800057926629</v>
      </c>
      <c r="H12" s="2">
        <f>CurrConsumption_Ref!$J12</f>
        <v>56.838000579266293</v>
      </c>
      <c r="I12" s="2">
        <f>CurrConsumption_Ref!L12</f>
        <v>0.211648792983611</v>
      </c>
      <c r="J12">
        <f t="shared" si="3"/>
        <v>4.4182160673897609E-2</v>
      </c>
      <c r="K12">
        <f t="shared" si="4"/>
        <v>3230.5583098486754</v>
      </c>
      <c r="L12">
        <f t="shared" si="5"/>
        <v>142.73304631212929</v>
      </c>
      <c r="M12">
        <f t="shared" si="6"/>
        <v>3.1870902735066791</v>
      </c>
      <c r="N12">
        <f>TFPConsumption_Ref!$J12</f>
        <v>0</v>
      </c>
      <c r="O12">
        <f>TFPConsumption_Ref!$L12</f>
        <v>0</v>
      </c>
      <c r="P12">
        <f>CurrConsumption_Ref!$I12</f>
        <v>0.5683800057926629</v>
      </c>
      <c r="Q12">
        <f>CurrConsumption_Ref!$J12</f>
        <v>56.838000579266293</v>
      </c>
      <c r="R12">
        <f>CurrConsumption_Ref!$L12</f>
        <v>0.211648792983611</v>
      </c>
      <c r="S12">
        <f t="shared" si="7"/>
        <v>4.4182160673897609E-2</v>
      </c>
    </row>
    <row r="13" spans="1:19" x14ac:dyDescent="0.35">
      <c r="A13" s="6" t="s">
        <v>58</v>
      </c>
      <c r="B13" s="48">
        <f t="shared" si="0"/>
        <v>0</v>
      </c>
      <c r="C13">
        <f t="shared" si="1"/>
        <v>0</v>
      </c>
      <c r="D13" t="e">
        <f t="shared" si="2"/>
        <v>#DIV/0!</v>
      </c>
      <c r="E13">
        <f>Calculation_TFP!$F11</f>
        <v>101.49169717269162</v>
      </c>
      <c r="F13">
        <f>Calculation_TFP!$H11</f>
        <v>0.14159419241129415</v>
      </c>
      <c r="G13" s="2">
        <f>CurrConsumption_Ref!$I13</f>
        <v>1.0149169717269162</v>
      </c>
      <c r="H13" s="2">
        <f>CurrConsumption_Ref!$J13</f>
        <v>101.49169717269162</v>
      </c>
      <c r="I13" s="2">
        <f>CurrConsumption_Ref!L13</f>
        <v>0.14159419241129415</v>
      </c>
      <c r="J13">
        <f t="shared" si="3"/>
        <v>2.9558105536141657E-2</v>
      </c>
      <c r="K13">
        <f t="shared" si="4"/>
        <v>10300.564594993339</v>
      </c>
      <c r="L13">
        <f t="shared" si="5"/>
        <v>304.46517538065734</v>
      </c>
      <c r="M13">
        <f t="shared" si="6"/>
        <v>6.7984116092864362</v>
      </c>
      <c r="N13">
        <f>TFPConsumption_Ref!$J13</f>
        <v>0</v>
      </c>
      <c r="O13">
        <f>TFPConsumption_Ref!$L13</f>
        <v>0</v>
      </c>
      <c r="P13">
        <f>CurrConsumption_Ref!$I13</f>
        <v>1.0149169717269162</v>
      </c>
      <c r="Q13">
        <f>CurrConsumption_Ref!$J13</f>
        <v>101.49169717269162</v>
      </c>
      <c r="R13">
        <f>CurrConsumption_Ref!$L13</f>
        <v>0.14159419241129415</v>
      </c>
      <c r="S13">
        <f t="shared" si="7"/>
        <v>2.9558105536141657E-2</v>
      </c>
    </row>
    <row r="14" spans="1:19" x14ac:dyDescent="0.35">
      <c r="A14" s="6" t="s">
        <v>61</v>
      </c>
      <c r="B14" s="48">
        <f t="shared" si="0"/>
        <v>0</v>
      </c>
      <c r="C14">
        <f t="shared" si="1"/>
        <v>0</v>
      </c>
      <c r="D14" t="e">
        <f t="shared" si="2"/>
        <v>#DIV/0!</v>
      </c>
      <c r="E14">
        <f>Calculation_TFP!$F12</f>
        <v>8.9548996988035601</v>
      </c>
      <c r="F14">
        <f>Calculation_TFP!$H12</f>
        <v>6.5661652428260511E-2</v>
      </c>
      <c r="G14" s="2">
        <f>CurrConsumption_Ref!$I14</f>
        <v>8.9548996988035603E-2</v>
      </c>
      <c r="H14" s="2">
        <f>CurrConsumption_Ref!$J14</f>
        <v>8.9548996988035601</v>
      </c>
      <c r="I14" s="2">
        <f>CurrConsumption_Ref!L14</f>
        <v>6.5661652428260511E-2</v>
      </c>
      <c r="J14">
        <f t="shared" si="3"/>
        <v>1.3707017350784842E-2</v>
      </c>
      <c r="K14">
        <f t="shared" si="4"/>
        <v>80.190228615632094</v>
      </c>
      <c r="L14">
        <f t="shared" si="5"/>
        <v>1.0991688549978722</v>
      </c>
      <c r="M14">
        <f t="shared" si="6"/>
        <v>2.45433728013097E-2</v>
      </c>
      <c r="N14">
        <f>TFPConsumption_Ref!$J14</f>
        <v>0</v>
      </c>
      <c r="O14">
        <f>TFPConsumption_Ref!$L14</f>
        <v>0</v>
      </c>
      <c r="P14">
        <f>CurrConsumption_Ref!$I14</f>
        <v>8.9548996988035603E-2</v>
      </c>
      <c r="Q14">
        <f>CurrConsumption_Ref!$J14</f>
        <v>8.9548996988035601</v>
      </c>
      <c r="R14">
        <f>CurrConsumption_Ref!$L14</f>
        <v>6.5661652428260511E-2</v>
      </c>
      <c r="S14">
        <f t="shared" si="7"/>
        <v>1.3707017350784842E-2</v>
      </c>
    </row>
    <row r="15" spans="1:19" x14ac:dyDescent="0.35">
      <c r="A15" s="6" t="s">
        <v>63</v>
      </c>
      <c r="B15" s="48">
        <f t="shared" si="0"/>
        <v>0</v>
      </c>
      <c r="C15">
        <f t="shared" si="1"/>
        <v>0</v>
      </c>
      <c r="D15" t="e">
        <f t="shared" si="2"/>
        <v>#DIV/0!</v>
      </c>
      <c r="E15">
        <f>Calculation_TFP!$F13</f>
        <v>3.9819378478032248</v>
      </c>
      <c r="F15">
        <f>Calculation_TFP!$H13</f>
        <v>4.2330828952813225E-2</v>
      </c>
      <c r="G15" s="2">
        <f>CurrConsumption_Ref!$I15</f>
        <v>3.9819378478032248E-2</v>
      </c>
      <c r="H15" s="2">
        <f>CurrConsumption_Ref!$J15</f>
        <v>3.9819378478032248</v>
      </c>
      <c r="I15" s="2">
        <f>CurrConsumption_Ref!L15</f>
        <v>4.2330828952813225E-2</v>
      </c>
      <c r="J15">
        <f t="shared" si="3"/>
        <v>8.8366555740164079E-3</v>
      </c>
      <c r="K15">
        <f t="shared" si="4"/>
        <v>15.855829023767777</v>
      </c>
      <c r="L15">
        <f t="shared" si="5"/>
        <v>0.14011249992352867</v>
      </c>
      <c r="M15">
        <f t="shared" si="6"/>
        <v>3.1285760182436194E-3</v>
      </c>
      <c r="N15">
        <f>TFPConsumption_Ref!$J15</f>
        <v>0</v>
      </c>
      <c r="O15">
        <f>TFPConsumption_Ref!$L15</f>
        <v>0</v>
      </c>
      <c r="P15">
        <f>CurrConsumption_Ref!$I15</f>
        <v>3.9819378478032248E-2</v>
      </c>
      <c r="Q15">
        <f>CurrConsumption_Ref!$J15</f>
        <v>3.9819378478032248</v>
      </c>
      <c r="R15">
        <f>CurrConsumption_Ref!$L15</f>
        <v>4.2330828952813225E-2</v>
      </c>
      <c r="S15">
        <f t="shared" si="7"/>
        <v>8.8366555740164079E-3</v>
      </c>
    </row>
    <row r="16" spans="1:19" x14ac:dyDescent="0.35">
      <c r="A16" s="6" t="s">
        <v>66</v>
      </c>
      <c r="B16" s="48">
        <f t="shared" si="0"/>
        <v>0</v>
      </c>
      <c r="C16">
        <f t="shared" si="1"/>
        <v>0</v>
      </c>
      <c r="D16" t="e">
        <f t="shared" si="2"/>
        <v>#DIV/0!</v>
      </c>
      <c r="E16">
        <f>Calculation_TFP!$F14</f>
        <v>10.490761496133427</v>
      </c>
      <c r="F16">
        <f>Calculation_TFP!$H14</f>
        <v>5.04989168734351E-2</v>
      </c>
      <c r="G16" s="2">
        <f>CurrConsumption_Ref!$I16</f>
        <v>0.10490761496133427</v>
      </c>
      <c r="H16" s="2">
        <f>CurrConsumption_Ref!$J16</f>
        <v>10.490761496133427</v>
      </c>
      <c r="I16" s="2">
        <f>CurrConsumption_Ref!L16</f>
        <v>5.04989168734351E-2</v>
      </c>
      <c r="J16">
        <f t="shared" si="3"/>
        <v>1.0541762264303004E-2</v>
      </c>
      <c r="K16">
        <f t="shared" si="4"/>
        <v>110.05607676875566</v>
      </c>
      <c r="L16">
        <f t="shared" si="5"/>
        <v>1.1601849970381028</v>
      </c>
      <c r="M16">
        <f t="shared" si="6"/>
        <v>2.5905803982089425E-2</v>
      </c>
      <c r="N16">
        <f>TFPConsumption_Ref!$J16</f>
        <v>0</v>
      </c>
      <c r="O16">
        <f>TFPConsumption_Ref!$L16</f>
        <v>0</v>
      </c>
      <c r="P16">
        <f>CurrConsumption_Ref!$I16</f>
        <v>0.10490761496133427</v>
      </c>
      <c r="Q16">
        <f>CurrConsumption_Ref!$J16</f>
        <v>10.490761496133427</v>
      </c>
      <c r="R16">
        <f>CurrConsumption_Ref!$L16</f>
        <v>5.04989168734351E-2</v>
      </c>
      <c r="S16">
        <f t="shared" si="7"/>
        <v>1.0541762264303004E-2</v>
      </c>
    </row>
    <row r="17" spans="1:19" x14ac:dyDescent="0.35">
      <c r="A17" s="6" t="s">
        <v>68</v>
      </c>
      <c r="B17" s="48">
        <f t="shared" si="0"/>
        <v>0</v>
      </c>
      <c r="C17">
        <f t="shared" si="1"/>
        <v>0</v>
      </c>
      <c r="D17" t="e">
        <f t="shared" si="2"/>
        <v>#DIV/0!</v>
      </c>
      <c r="E17">
        <f>Calculation_TFP!$F15</f>
        <v>8.5502859796429647</v>
      </c>
      <c r="F17">
        <f>Calculation_TFP!$H15</f>
        <v>2.1368856636229439E-2</v>
      </c>
      <c r="G17" s="2">
        <f>CurrConsumption_Ref!$I17</f>
        <v>8.5502859796429645E-2</v>
      </c>
      <c r="H17" s="2">
        <f>CurrConsumption_Ref!$J17</f>
        <v>8.5502859796429647</v>
      </c>
      <c r="I17" s="2">
        <f>CurrConsumption_Ref!L17</f>
        <v>2.1368856636229439E-2</v>
      </c>
      <c r="J17">
        <f t="shared" si="3"/>
        <v>4.4607967945863997E-3</v>
      </c>
      <c r="K17">
        <f t="shared" si="4"/>
        <v>69.681463718766224</v>
      </c>
      <c r="L17">
        <f t="shared" si="5"/>
        <v>0.31083484999876088</v>
      </c>
      <c r="M17">
        <f t="shared" si="6"/>
        <v>6.9406402560173858E-3</v>
      </c>
      <c r="N17">
        <f>TFPConsumption_Ref!$J17</f>
        <v>0.20274360366389926</v>
      </c>
      <c r="O17">
        <f>TFPConsumption_Ref!$L17</f>
        <v>5.0669638546841842E-4</v>
      </c>
      <c r="P17">
        <f>CurrConsumption_Ref!$I17</f>
        <v>8.5502859796429645E-2</v>
      </c>
      <c r="Q17">
        <f>CurrConsumption_Ref!$J17</f>
        <v>8.5502859796429647</v>
      </c>
      <c r="R17">
        <f>CurrConsumption_Ref!$L17</f>
        <v>2.1368856636229439E-2</v>
      </c>
      <c r="S17">
        <f t="shared" si="7"/>
        <v>4.4607967945863997E-3</v>
      </c>
    </row>
    <row r="18" spans="1:19" x14ac:dyDescent="0.35">
      <c r="A18" s="6" t="s">
        <v>70</v>
      </c>
      <c r="B18" s="48">
        <f t="shared" si="0"/>
        <v>0</v>
      </c>
      <c r="C18">
        <f t="shared" si="1"/>
        <v>0</v>
      </c>
      <c r="D18" t="e">
        <f t="shared" si="2"/>
        <v>#DIV/0!</v>
      </c>
      <c r="E18">
        <f>Calculation_TFP!$F16</f>
        <v>6.5928136437273714</v>
      </c>
      <c r="F18">
        <f>Calculation_TFP!$H16</f>
        <v>3.8242763285648969E-2</v>
      </c>
      <c r="G18" s="2">
        <f>CurrConsumption_Ref!$I18</f>
        <v>6.5928136437273716E-2</v>
      </c>
      <c r="H18" s="2">
        <f>CurrConsumption_Ref!$J18</f>
        <v>6.5928136437273714</v>
      </c>
      <c r="I18" s="2">
        <f>CurrConsumption_Ref!L18</f>
        <v>3.8242763285648969E-2</v>
      </c>
      <c r="J18">
        <f t="shared" si="3"/>
        <v>7.9832626885389946E-3</v>
      </c>
      <c r="K18">
        <f t="shared" si="4"/>
        <v>725.4283441336953</v>
      </c>
      <c r="L18">
        <f t="shared" si="5"/>
        <v>5.7912850329311549</v>
      </c>
      <c r="M18">
        <f t="shared" si="6"/>
        <v>0.12931376914072917</v>
      </c>
      <c r="N18">
        <f>TFPConsumption_Ref!$J18</f>
        <v>33.526590655756252</v>
      </c>
      <c r="O18">
        <f>TFPConsumption_Ref!$L18</f>
        <v>0.19447682575448158</v>
      </c>
      <c r="P18">
        <f>CurrConsumption_Ref!$I18</f>
        <v>6.5928136437273716E-2</v>
      </c>
      <c r="Q18">
        <f>CurrConsumption_Ref!$J18</f>
        <v>6.5928136437273714</v>
      </c>
      <c r="R18">
        <f>CurrConsumption_Ref!$L18</f>
        <v>3.8242763285648969E-2</v>
      </c>
      <c r="S18">
        <f t="shared" si="7"/>
        <v>7.9832626885389946E-3</v>
      </c>
    </row>
    <row r="19" spans="1:19" x14ac:dyDescent="0.35">
      <c r="A19" s="6" t="s">
        <v>73</v>
      </c>
      <c r="B19" s="48">
        <f t="shared" si="0"/>
        <v>0</v>
      </c>
      <c r="C19">
        <f t="shared" si="1"/>
        <v>0</v>
      </c>
      <c r="D19" t="e">
        <f t="shared" si="2"/>
        <v>#DIV/0!</v>
      </c>
      <c r="E19">
        <f>Calculation_TFP!$F17</f>
        <v>6.6527925878788627</v>
      </c>
      <c r="F19">
        <f>Calculation_TFP!$H17</f>
        <v>8.9918410958914285E-2</v>
      </c>
      <c r="G19" s="2">
        <f>CurrConsumption_Ref!$I19</f>
        <v>6.6527925878788627E-2</v>
      </c>
      <c r="H19" s="2">
        <f>CurrConsumption_Ref!$J19</f>
        <v>6.6527925878788627</v>
      </c>
      <c r="I19" s="2">
        <f>CurrConsumption_Ref!L19</f>
        <v>8.9918410958914285E-2</v>
      </c>
      <c r="J19">
        <f t="shared" si="3"/>
        <v>1.8770670148995083E-2</v>
      </c>
      <c r="K19">
        <f t="shared" si="4"/>
        <v>44.259649217335934</v>
      </c>
      <c r="L19">
        <f t="shared" si="5"/>
        <v>0.83078327636884119</v>
      </c>
      <c r="M19">
        <f t="shared" si="6"/>
        <v>1.8550583539826963E-2</v>
      </c>
      <c r="N19">
        <f>TFPConsumption_Ref!$J19</f>
        <v>0</v>
      </c>
      <c r="O19">
        <f>TFPConsumption_Ref!$L19</f>
        <v>0</v>
      </c>
      <c r="P19">
        <f>CurrConsumption_Ref!$I19</f>
        <v>6.6527925878788627E-2</v>
      </c>
      <c r="Q19">
        <f>CurrConsumption_Ref!$J19</f>
        <v>6.6527925878788627</v>
      </c>
      <c r="R19">
        <f>CurrConsumption_Ref!$L19</f>
        <v>8.9918410958914285E-2</v>
      </c>
      <c r="S19">
        <f t="shared" si="7"/>
        <v>1.8770670148995083E-2</v>
      </c>
    </row>
    <row r="20" spans="1:19" x14ac:dyDescent="0.35">
      <c r="A20" s="6" t="s">
        <v>76</v>
      </c>
      <c r="B20" s="48">
        <f t="shared" si="0"/>
        <v>0</v>
      </c>
      <c r="C20">
        <f t="shared" si="1"/>
        <v>0</v>
      </c>
      <c r="D20" t="e">
        <f t="shared" si="2"/>
        <v>#DIV/0!</v>
      </c>
      <c r="E20">
        <f>Calculation_TFP!$F18</f>
        <v>5.403307558131262</v>
      </c>
      <c r="F20">
        <f>Calculation_TFP!$H18</f>
        <v>4.6752280208468867E-2</v>
      </c>
      <c r="G20" s="2">
        <f>CurrConsumption_Ref!$I20</f>
        <v>5.4033075581312616E-2</v>
      </c>
      <c r="H20" s="2">
        <f>CurrConsumption_Ref!$J20</f>
        <v>5.403307558131262</v>
      </c>
      <c r="I20" s="2">
        <f>CurrConsumption_Ref!L20</f>
        <v>4.6752280208468867E-2</v>
      </c>
      <c r="J20">
        <f t="shared" si="3"/>
        <v>9.7596434495216128E-3</v>
      </c>
      <c r="K20">
        <f t="shared" si="4"/>
        <v>551.26955510805783</v>
      </c>
      <c r="L20">
        <f t="shared" si="5"/>
        <v>5.3801943024310503</v>
      </c>
      <c r="M20">
        <f t="shared" si="6"/>
        <v>0.12013451246151191</v>
      </c>
      <c r="N20">
        <f>TFPConsumption_Ref!$J20</f>
        <v>28.882437761528017</v>
      </c>
      <c r="O20">
        <f>TFPConsumption_Ref!$L20</f>
        <v>0.24990615633170241</v>
      </c>
      <c r="P20">
        <f>CurrConsumption_Ref!$I20</f>
        <v>5.4033075581312616E-2</v>
      </c>
      <c r="Q20">
        <f>CurrConsumption_Ref!$J20</f>
        <v>5.403307558131262</v>
      </c>
      <c r="R20">
        <f>CurrConsumption_Ref!$L20</f>
        <v>4.6752280208468867E-2</v>
      </c>
      <c r="S20">
        <f t="shared" si="7"/>
        <v>9.7596434495216128E-3</v>
      </c>
    </row>
    <row r="21" spans="1:19" x14ac:dyDescent="0.35">
      <c r="A21" s="6" t="s">
        <v>77</v>
      </c>
      <c r="B21" s="48">
        <f t="shared" si="0"/>
        <v>0</v>
      </c>
      <c r="C21">
        <f t="shared" si="1"/>
        <v>0</v>
      </c>
      <c r="D21" t="e">
        <f t="shared" si="2"/>
        <v>#DIV/0!</v>
      </c>
      <c r="E21">
        <f>Calculation_TFP!$F19</f>
        <v>27.448702184265585</v>
      </c>
      <c r="F21">
        <f>Calculation_TFP!$H19</f>
        <v>3.7616617435850673E-2</v>
      </c>
      <c r="G21" s="2">
        <f>CurrConsumption_Ref!$I21</f>
        <v>0.27448702184265583</v>
      </c>
      <c r="H21" s="2">
        <f>CurrConsumption_Ref!$J21</f>
        <v>27.448702184265585</v>
      </c>
      <c r="I21" s="2">
        <f>CurrConsumption_Ref!L21</f>
        <v>3.7616617435850673E-2</v>
      </c>
      <c r="J21">
        <f t="shared" si="3"/>
        <v>7.8525533367345413E-3</v>
      </c>
      <c r="K21">
        <f t="shared" si="4"/>
        <v>317773.18403276976</v>
      </c>
      <c r="L21">
        <f t="shared" si="5"/>
        <v>2495.3308766012856</v>
      </c>
      <c r="M21">
        <f t="shared" si="6"/>
        <v>55.718314514254367</v>
      </c>
      <c r="N21">
        <f>TFPConsumption_Ref!$J21</f>
        <v>591.16244517158157</v>
      </c>
      <c r="O21">
        <f>TFPConsumption_Ref!$L21</f>
        <v>0.81014874193974284</v>
      </c>
      <c r="P21">
        <f>CurrConsumption_Ref!$I21</f>
        <v>0.27448702184265583</v>
      </c>
      <c r="Q21">
        <f>CurrConsumption_Ref!$J21</f>
        <v>27.448702184265585</v>
      </c>
      <c r="R21">
        <f>CurrConsumption_Ref!$L21</f>
        <v>3.7616617435850673E-2</v>
      </c>
      <c r="S21">
        <f t="shared" si="7"/>
        <v>7.8525533367345413E-3</v>
      </c>
    </row>
    <row r="22" spans="1:19" x14ac:dyDescent="0.35">
      <c r="A22" s="6" t="s">
        <v>79</v>
      </c>
      <c r="B22" s="48">
        <f t="shared" si="0"/>
        <v>0</v>
      </c>
      <c r="C22">
        <f t="shared" si="1"/>
        <v>0</v>
      </c>
      <c r="D22" t="e">
        <f t="shared" si="2"/>
        <v>#DIV/0!</v>
      </c>
      <c r="E22">
        <f>Calculation_TFP!$F20</f>
        <v>28.86449891548018</v>
      </c>
      <c r="F22">
        <f>Calculation_TFP!$H20</f>
        <v>4.5443092441530594E-2</v>
      </c>
      <c r="G22" s="2">
        <f>CurrConsumption_Ref!$I22</f>
        <v>0.2886449891548018</v>
      </c>
      <c r="H22" s="2">
        <f>CurrConsumption_Ref!$J22</f>
        <v>28.86449891548018</v>
      </c>
      <c r="I22" s="2">
        <f>CurrConsumption_Ref!L22</f>
        <v>4.5443092441530594E-2</v>
      </c>
      <c r="J22">
        <f t="shared" si="3"/>
        <v>9.4863475641269474E-3</v>
      </c>
      <c r="K22">
        <f t="shared" si="4"/>
        <v>833.15929764175644</v>
      </c>
      <c r="L22">
        <f t="shared" si="5"/>
        <v>7.9036386737135942</v>
      </c>
      <c r="M22">
        <f t="shared" si="6"/>
        <v>0.17648057400259692</v>
      </c>
      <c r="N22">
        <f>TFPConsumption_Ref!$J22</f>
        <v>0</v>
      </c>
      <c r="O22">
        <f>TFPConsumption_Ref!$L22</f>
        <v>0</v>
      </c>
      <c r="P22">
        <f>CurrConsumption_Ref!$I22</f>
        <v>0.2886449891548018</v>
      </c>
      <c r="Q22">
        <f>CurrConsumption_Ref!$J22</f>
        <v>28.86449891548018</v>
      </c>
      <c r="R22">
        <f>CurrConsumption_Ref!$L22</f>
        <v>4.5443092441530594E-2</v>
      </c>
      <c r="S22">
        <f t="shared" si="7"/>
        <v>9.4863475641269474E-3</v>
      </c>
    </row>
    <row r="23" spans="1:19" x14ac:dyDescent="0.35">
      <c r="A23" s="6" t="s">
        <v>82</v>
      </c>
      <c r="B23" s="48">
        <f t="shared" si="0"/>
        <v>0</v>
      </c>
      <c r="C23">
        <f t="shared" si="1"/>
        <v>0</v>
      </c>
      <c r="D23" t="e">
        <f t="shared" si="2"/>
        <v>#DIV/0!</v>
      </c>
      <c r="E23">
        <f>Calculation_TFP!$F21</f>
        <v>0</v>
      </c>
      <c r="F23">
        <f>Calculation_TFP!$H21</f>
        <v>0</v>
      </c>
      <c r="G23" s="2">
        <f>CurrConsumption_Ref!$I23</f>
        <v>0</v>
      </c>
      <c r="H23" s="2">
        <f>CurrConsumption_Ref!$J23</f>
        <v>0</v>
      </c>
      <c r="I23" s="2">
        <f>CurrConsumption_Ref!L23</f>
        <v>0</v>
      </c>
      <c r="J23">
        <f t="shared" si="3"/>
        <v>0</v>
      </c>
      <c r="K23">
        <f t="shared" si="4"/>
        <v>0</v>
      </c>
      <c r="L23">
        <f t="shared" si="5"/>
        <v>0</v>
      </c>
      <c r="M23">
        <f t="shared" si="6"/>
        <v>0</v>
      </c>
      <c r="N23">
        <f>TFPConsumption_Ref!$J23</f>
        <v>0</v>
      </c>
      <c r="O23">
        <f>TFPConsumption_Ref!$L23</f>
        <v>0</v>
      </c>
      <c r="P23">
        <f>CurrConsumption_Ref!$I23</f>
        <v>0</v>
      </c>
      <c r="Q23">
        <f>CurrConsumption_Ref!$J23</f>
        <v>0</v>
      </c>
      <c r="R23">
        <f>CurrConsumption_Ref!$L23</f>
        <v>0</v>
      </c>
      <c r="S23">
        <f t="shared" si="7"/>
        <v>0</v>
      </c>
    </row>
    <row r="24" spans="1:19" x14ac:dyDescent="0.35">
      <c r="A24" s="6" t="s">
        <v>84</v>
      </c>
      <c r="B24" s="48">
        <f t="shared" si="0"/>
        <v>0</v>
      </c>
      <c r="C24">
        <f t="shared" si="1"/>
        <v>0</v>
      </c>
      <c r="D24" t="e">
        <f t="shared" si="2"/>
        <v>#DIV/0!</v>
      </c>
      <c r="E24">
        <f>Calculation_TFP!$F22</f>
        <v>0</v>
      </c>
      <c r="F24">
        <f>Calculation_TFP!$H22</f>
        <v>0</v>
      </c>
      <c r="G24" s="2">
        <f>CurrConsumption_Ref!$I24</f>
        <v>0</v>
      </c>
      <c r="H24" s="2">
        <f>CurrConsumption_Ref!$J24</f>
        <v>0</v>
      </c>
      <c r="I24" s="2">
        <f>CurrConsumption_Ref!L24</f>
        <v>0</v>
      </c>
      <c r="J24">
        <f t="shared" si="3"/>
        <v>0</v>
      </c>
      <c r="K24">
        <f t="shared" si="4"/>
        <v>0</v>
      </c>
      <c r="L24">
        <f t="shared" si="5"/>
        <v>0</v>
      </c>
      <c r="M24">
        <f t="shared" si="6"/>
        <v>0</v>
      </c>
      <c r="N24">
        <f>TFPConsumption_Ref!$J24</f>
        <v>0</v>
      </c>
      <c r="O24">
        <f>TFPConsumption_Ref!$L24</f>
        <v>0</v>
      </c>
      <c r="P24">
        <f>CurrConsumption_Ref!$I24</f>
        <v>0</v>
      </c>
      <c r="Q24">
        <f>CurrConsumption_Ref!$J24</f>
        <v>0</v>
      </c>
      <c r="R24">
        <f>CurrConsumption_Ref!$L24</f>
        <v>0</v>
      </c>
      <c r="S24">
        <f t="shared" si="7"/>
        <v>0</v>
      </c>
    </row>
    <row r="25" spans="1:19" x14ac:dyDescent="0.35">
      <c r="A25" s="6" t="s">
        <v>86</v>
      </c>
      <c r="B25" s="48">
        <f t="shared" si="0"/>
        <v>0</v>
      </c>
      <c r="C25">
        <f t="shared" si="1"/>
        <v>0</v>
      </c>
      <c r="D25" t="e">
        <f t="shared" si="2"/>
        <v>#DIV/0!</v>
      </c>
      <c r="E25">
        <f>Calculation_TFP!$F23</f>
        <v>16.328899600625153</v>
      </c>
      <c r="F25">
        <f>Calculation_TFP!$H23</f>
        <v>6.168241666043011E-2</v>
      </c>
      <c r="G25" s="2">
        <f>CurrConsumption_Ref!$I25</f>
        <v>0.16328899600625152</v>
      </c>
      <c r="H25" s="2">
        <f>CurrConsumption_Ref!$J25</f>
        <v>16.328899600625153</v>
      </c>
      <c r="I25" s="2">
        <f>CurrConsumption_Ref!L25</f>
        <v>6.168241666043011E-2</v>
      </c>
      <c r="J25">
        <f t="shared" si="3"/>
        <v>1.2876342951109825E-2</v>
      </c>
      <c r="K25">
        <f t="shared" si="4"/>
        <v>170.32657813908389</v>
      </c>
      <c r="L25">
        <f t="shared" si="5"/>
        <v>2.1931834338078495</v>
      </c>
      <c r="M25">
        <f t="shared" si="6"/>
        <v>4.897165562219901E-2</v>
      </c>
      <c r="N25">
        <f>TFPConsumption_Ref!$J25</f>
        <v>29.379822102083963</v>
      </c>
      <c r="O25">
        <f>TFPConsumption_Ref!$L25</f>
        <v>0.11098227514612656</v>
      </c>
      <c r="P25">
        <f>CurrConsumption_Ref!$I25</f>
        <v>0.16328899600625152</v>
      </c>
      <c r="Q25">
        <f>CurrConsumption_Ref!$J25</f>
        <v>16.328899600625153</v>
      </c>
      <c r="R25">
        <f>CurrConsumption_Ref!$L25</f>
        <v>6.168241666043011E-2</v>
      </c>
      <c r="S25">
        <f t="shared" si="7"/>
        <v>1.2876342951109825E-2</v>
      </c>
    </row>
    <row r="26" spans="1:19" x14ac:dyDescent="0.35">
      <c r="A26" s="6" t="s">
        <v>88</v>
      </c>
      <c r="B26" s="48">
        <f t="shared" si="0"/>
        <v>0</v>
      </c>
      <c r="C26">
        <f t="shared" si="1"/>
        <v>0</v>
      </c>
      <c r="D26" t="e">
        <f t="shared" si="2"/>
        <v>#DIV/0!</v>
      </c>
      <c r="E26">
        <f>Calculation_TFP!$F24</f>
        <v>0.99999999103228576</v>
      </c>
      <c r="F26">
        <f>Calculation_TFP!$H24</f>
        <v>9.4969316193882301E-3</v>
      </c>
      <c r="G26" s="2">
        <f>CurrConsumption_Ref!$I26</f>
        <v>9.9999999103228578E-3</v>
      </c>
      <c r="H26" s="2">
        <f>CurrConsumption_Ref!$J26</f>
        <v>0.99999999103228576</v>
      </c>
      <c r="I26" s="2">
        <f>CurrConsumption_Ref!L26</f>
        <v>9.4969316193882301E-3</v>
      </c>
      <c r="J26">
        <f t="shared" si="3"/>
        <v>1.982505795576735E-3</v>
      </c>
      <c r="K26">
        <f t="shared" si="4"/>
        <v>0.99999998206457164</v>
      </c>
      <c r="L26">
        <f t="shared" si="5"/>
        <v>1.9825057600196443E-3</v>
      </c>
      <c r="M26">
        <f t="shared" si="6"/>
        <v>4.4267427818449376E-5</v>
      </c>
      <c r="N26">
        <f>TFPConsumption_Ref!$J26</f>
        <v>0</v>
      </c>
      <c r="O26">
        <f>TFPConsumption_Ref!$L26</f>
        <v>0</v>
      </c>
      <c r="P26">
        <f>CurrConsumption_Ref!$I26</f>
        <v>9.9999999103228578E-3</v>
      </c>
      <c r="Q26">
        <f>CurrConsumption_Ref!$J26</f>
        <v>0.99999999103228576</v>
      </c>
      <c r="R26">
        <f>CurrConsumption_Ref!$L26</f>
        <v>9.4969316193882301E-3</v>
      </c>
      <c r="S26">
        <f t="shared" si="7"/>
        <v>1.982505795576735E-3</v>
      </c>
    </row>
    <row r="27" spans="1:19" x14ac:dyDescent="0.35">
      <c r="A27" s="6" t="s">
        <v>90</v>
      </c>
      <c r="B27" s="48">
        <f t="shared" si="0"/>
        <v>0</v>
      </c>
      <c r="C27">
        <f t="shared" si="1"/>
        <v>0</v>
      </c>
      <c r="D27" t="e">
        <f t="shared" si="2"/>
        <v>#DIV/0!</v>
      </c>
      <c r="E27">
        <f>Calculation_TFP!$F25</f>
        <v>14.84210094274934</v>
      </c>
      <c r="F27">
        <f>Calculation_TFP!$H25</f>
        <v>8.0174854886769925E-2</v>
      </c>
      <c r="G27" s="2">
        <f>CurrConsumption_Ref!$I27</f>
        <v>0.14842100942749339</v>
      </c>
      <c r="H27" s="2">
        <f>CurrConsumption_Ref!$J27</f>
        <v>14.84210094274934</v>
      </c>
      <c r="I27" s="2">
        <f>CurrConsumption_Ref!L27</f>
        <v>8.0174854886769925E-2</v>
      </c>
      <c r="J27">
        <f t="shared" si="3"/>
        <v>1.6736680945248723E-2</v>
      </c>
      <c r="K27">
        <f t="shared" si="4"/>
        <v>4.2416017164699822</v>
      </c>
      <c r="L27">
        <f t="shared" si="5"/>
        <v>7.0990334625377433E-2</v>
      </c>
      <c r="M27">
        <f t="shared" si="6"/>
        <v>1.5851452122920056E-3</v>
      </c>
      <c r="N27">
        <f>TFPConsumption_Ref!$J27</f>
        <v>16.901615865363397</v>
      </c>
      <c r="O27">
        <f>TFPConsumption_Ref!$L27</f>
        <v>9.1300052774497834E-2</v>
      </c>
      <c r="P27">
        <f>CurrConsumption_Ref!$I27</f>
        <v>0.14842100942749339</v>
      </c>
      <c r="Q27">
        <f>CurrConsumption_Ref!$J27</f>
        <v>14.84210094274934</v>
      </c>
      <c r="R27">
        <f>CurrConsumption_Ref!$L27</f>
        <v>8.0174854886769925E-2</v>
      </c>
      <c r="S27">
        <f t="shared" si="7"/>
        <v>1.6736680945248723E-2</v>
      </c>
    </row>
    <row r="28" spans="1:19" x14ac:dyDescent="0.35">
      <c r="A28" s="6" t="s">
        <v>92</v>
      </c>
      <c r="B28" s="48">
        <f t="shared" si="0"/>
        <v>0</v>
      </c>
      <c r="C28">
        <f t="shared" si="1"/>
        <v>0</v>
      </c>
      <c r="D28" t="e">
        <f t="shared" si="2"/>
        <v>#DIV/0!</v>
      </c>
      <c r="E28">
        <f>Calculation_TFP!$F26</f>
        <v>12.046146415340282</v>
      </c>
      <c r="F28">
        <f>Calculation_TFP!$H26</f>
        <v>9.8177486767195149E-2</v>
      </c>
      <c r="G28" s="2">
        <f>CurrConsumption_Ref!$I28</f>
        <v>0.12046146415340282</v>
      </c>
      <c r="H28" s="2">
        <f>CurrConsumption_Ref!$J28</f>
        <v>12.046146415340282</v>
      </c>
      <c r="I28" s="2">
        <f>CurrConsumption_Ref!L28</f>
        <v>9.8177486767195149E-2</v>
      </c>
      <c r="J28">
        <f t="shared" si="3"/>
        <v>2.0494770765092724E-2</v>
      </c>
      <c r="K28">
        <f t="shared" si="4"/>
        <v>145.10964345981552</v>
      </c>
      <c r="L28">
        <f t="shared" si="5"/>
        <v>2.9739888785132558</v>
      </c>
      <c r="M28">
        <f t="shared" si="6"/>
        <v>6.6406282729363802E-2</v>
      </c>
      <c r="N28">
        <f>TFPConsumption_Ref!$J28</f>
        <v>0</v>
      </c>
      <c r="O28">
        <f>TFPConsumption_Ref!$L28</f>
        <v>0</v>
      </c>
      <c r="P28">
        <f>CurrConsumption_Ref!$I28</f>
        <v>0.12046146415340282</v>
      </c>
      <c r="Q28">
        <f>CurrConsumption_Ref!$J28</f>
        <v>12.046146415340282</v>
      </c>
      <c r="R28">
        <f>CurrConsumption_Ref!$L28</f>
        <v>9.8177486767195149E-2</v>
      </c>
      <c r="S28">
        <f t="shared" si="7"/>
        <v>2.0494770765092724E-2</v>
      </c>
    </row>
    <row r="29" spans="1:19" x14ac:dyDescent="0.35">
      <c r="A29" s="6" t="s">
        <v>94</v>
      </c>
      <c r="B29" s="48">
        <f t="shared" si="0"/>
        <v>0</v>
      </c>
      <c r="C29">
        <f t="shared" si="1"/>
        <v>0</v>
      </c>
      <c r="D29" t="e">
        <f t="shared" si="2"/>
        <v>#DIV/0!</v>
      </c>
      <c r="E29">
        <f>Calculation_TFP!$F27</f>
        <v>0.90891216348450565</v>
      </c>
      <c r="F29">
        <f>Calculation_TFP!$H27</f>
        <v>6.6014831634556848E-3</v>
      </c>
      <c r="G29" s="2">
        <f>CurrConsumption_Ref!$I29</f>
        <v>9.0891216348450571E-3</v>
      </c>
      <c r="H29" s="2">
        <f>CurrConsumption_Ref!$J29</f>
        <v>0.90891216348450565</v>
      </c>
      <c r="I29" s="2">
        <f>CurrConsumption_Ref!L29</f>
        <v>6.6014831634556848E-3</v>
      </c>
      <c r="J29">
        <f t="shared" si="3"/>
        <v>1.3780744302964876E-3</v>
      </c>
      <c r="K29">
        <f t="shared" si="4"/>
        <v>0.82612132093008472</v>
      </c>
      <c r="L29">
        <f t="shared" si="5"/>
        <v>1.1384566686965083E-3</v>
      </c>
      <c r="M29">
        <f t="shared" si="6"/>
        <v>2.5420631517083534E-5</v>
      </c>
      <c r="N29">
        <f>TFPConsumption_Ref!$J29</f>
        <v>0</v>
      </c>
      <c r="O29">
        <f>TFPConsumption_Ref!$L29</f>
        <v>0</v>
      </c>
      <c r="P29">
        <f>CurrConsumption_Ref!$I29</f>
        <v>9.0891216348450571E-3</v>
      </c>
      <c r="Q29">
        <f>CurrConsumption_Ref!$J29</f>
        <v>0.90891216348450565</v>
      </c>
      <c r="R29">
        <f>CurrConsumption_Ref!$L29</f>
        <v>6.6014831634556848E-3</v>
      </c>
      <c r="S29">
        <f t="shared" si="7"/>
        <v>1.3780744302964876E-3</v>
      </c>
    </row>
    <row r="30" spans="1:19" x14ac:dyDescent="0.35">
      <c r="A30" s="6" t="s">
        <v>96</v>
      </c>
      <c r="B30" s="48">
        <f t="shared" si="0"/>
        <v>0</v>
      </c>
      <c r="C30">
        <f t="shared" si="1"/>
        <v>0</v>
      </c>
      <c r="D30" t="e">
        <f t="shared" si="2"/>
        <v>#DIV/0!</v>
      </c>
      <c r="E30">
        <f>Calculation_TFP!$F28</f>
        <v>1.1113201431305599</v>
      </c>
      <c r="F30">
        <f>Calculation_TFP!$H28</f>
        <v>4.1846703021865975E-3</v>
      </c>
      <c r="G30" s="2">
        <f>CurrConsumption_Ref!$I30</f>
        <v>1.1113201431305599E-2</v>
      </c>
      <c r="H30" s="2">
        <f>CurrConsumption_Ref!$J30</f>
        <v>1.1113201431305599</v>
      </c>
      <c r="I30" s="2">
        <f>CurrConsumption_Ref!L30</f>
        <v>4.1846703021865975E-3</v>
      </c>
      <c r="J30">
        <f t="shared" si="3"/>
        <v>8.735593199098125E-4</v>
      </c>
      <c r="K30">
        <f t="shared" si="4"/>
        <v>1.2350324605277283</v>
      </c>
      <c r="L30">
        <f t="shared" si="5"/>
        <v>1.0788741162851448E-3</v>
      </c>
      <c r="M30">
        <f t="shared" si="6"/>
        <v>2.4090211000129842E-5</v>
      </c>
      <c r="N30">
        <f>TFPConsumption_Ref!$J30</f>
        <v>0</v>
      </c>
      <c r="O30">
        <f>TFPConsumption_Ref!$L30</f>
        <v>0</v>
      </c>
      <c r="P30">
        <f>CurrConsumption_Ref!$I30</f>
        <v>1.1113201431305599E-2</v>
      </c>
      <c r="Q30">
        <f>CurrConsumption_Ref!$J30</f>
        <v>1.1113201431305599</v>
      </c>
      <c r="R30">
        <f>CurrConsumption_Ref!$L30</f>
        <v>4.1846703021865975E-3</v>
      </c>
      <c r="S30">
        <f t="shared" si="7"/>
        <v>8.735593199098125E-4</v>
      </c>
    </row>
    <row r="31" spans="1:19" x14ac:dyDescent="0.35">
      <c r="A31" s="6" t="s">
        <v>97</v>
      </c>
      <c r="B31" s="48">
        <f t="shared" si="0"/>
        <v>0</v>
      </c>
      <c r="C31">
        <f t="shared" si="1"/>
        <v>0</v>
      </c>
      <c r="D31" t="e">
        <f t="shared" si="2"/>
        <v>#DIV/0!</v>
      </c>
      <c r="E31">
        <f>Calculation_TFP!$F29</f>
        <v>39.278021423077128</v>
      </c>
      <c r="F31">
        <f>Calculation_TFP!$H29</f>
        <v>0.13847600160322601</v>
      </c>
      <c r="G31" s="2">
        <f>CurrConsumption_Ref!$I31</f>
        <v>0.39278021423077131</v>
      </c>
      <c r="H31" s="2">
        <f>CurrConsumption_Ref!$J31</f>
        <v>39.278021423077128</v>
      </c>
      <c r="I31" s="2">
        <f>CurrConsumption_Ref!L31</f>
        <v>0.13847600160322601</v>
      </c>
      <c r="J31">
        <f t="shared" si="3"/>
        <v>2.8907176204810175E-2</v>
      </c>
      <c r="K31">
        <f t="shared" si="4"/>
        <v>29785.671916772306</v>
      </c>
      <c r="L31">
        <f t="shared" si="5"/>
        <v>861.01966647680308</v>
      </c>
      <c r="M31">
        <f t="shared" si="6"/>
        <v>19.225732759358824</v>
      </c>
      <c r="N31">
        <f>TFPConsumption_Ref!$J31</f>
        <v>211.86328127099202</v>
      </c>
      <c r="O31">
        <f>TFPConsumption_Ref!$L31</f>
        <v>0.74693121022917874</v>
      </c>
      <c r="P31">
        <f>CurrConsumption_Ref!$I31</f>
        <v>0.39278021423077131</v>
      </c>
      <c r="Q31">
        <f>CurrConsumption_Ref!$J31</f>
        <v>39.278021423077128</v>
      </c>
      <c r="R31">
        <f>CurrConsumption_Ref!$L31</f>
        <v>0.13847600160322601</v>
      </c>
      <c r="S31">
        <f t="shared" si="7"/>
        <v>2.8907176204810175E-2</v>
      </c>
    </row>
    <row r="32" spans="1:19" x14ac:dyDescent="0.35">
      <c r="A32" s="6" t="s">
        <v>98</v>
      </c>
      <c r="B32" s="48">
        <f t="shared" si="0"/>
        <v>0</v>
      </c>
      <c r="C32">
        <f t="shared" si="1"/>
        <v>0</v>
      </c>
      <c r="D32" t="e">
        <f t="shared" si="2"/>
        <v>#DIV/0!</v>
      </c>
      <c r="E32">
        <f>Calculation_TFP!$F30</f>
        <v>10.153899523250274</v>
      </c>
      <c r="F32">
        <f>Calculation_TFP!$H30</f>
        <v>2.1886308742575442E-2</v>
      </c>
      <c r="G32" s="2">
        <f>CurrConsumption_Ref!$I32</f>
        <v>0.10153899523250275</v>
      </c>
      <c r="H32" s="2">
        <f>CurrConsumption_Ref!$J32</f>
        <v>10.153899523250274</v>
      </c>
      <c r="I32" s="2">
        <f>CurrConsumption_Ref!L32</f>
        <v>2.1886308742575442E-2</v>
      </c>
      <c r="J32">
        <f t="shared" si="3"/>
        <v>4.5688160834343929E-3</v>
      </c>
      <c r="K32">
        <f t="shared" si="4"/>
        <v>103.10167552826215</v>
      </c>
      <c r="L32">
        <f t="shared" si="5"/>
        <v>0.47105259338255828</v>
      </c>
      <c r="M32">
        <f t="shared" si="6"/>
        <v>1.0518146830528837E-2</v>
      </c>
      <c r="N32">
        <f>TFPConsumption_Ref!$J32</f>
        <v>0</v>
      </c>
      <c r="O32">
        <f>TFPConsumption_Ref!$L32</f>
        <v>0</v>
      </c>
      <c r="P32">
        <f>CurrConsumption_Ref!$I32</f>
        <v>0.10153899523250275</v>
      </c>
      <c r="Q32">
        <f>CurrConsumption_Ref!$J32</f>
        <v>10.153899523250274</v>
      </c>
      <c r="R32">
        <f>CurrConsumption_Ref!$L32</f>
        <v>2.1886308742575442E-2</v>
      </c>
      <c r="S32">
        <f t="shared" si="7"/>
        <v>4.5688160834343929E-3</v>
      </c>
    </row>
    <row r="33" spans="1:19" x14ac:dyDescent="0.35">
      <c r="A33" s="6" t="s">
        <v>100</v>
      </c>
      <c r="B33" s="48">
        <f t="shared" si="0"/>
        <v>0</v>
      </c>
      <c r="C33">
        <f t="shared" si="1"/>
        <v>0</v>
      </c>
      <c r="D33" t="e">
        <f t="shared" si="2"/>
        <v>#DIV/0!</v>
      </c>
      <c r="E33">
        <f>Calculation_TFP!$F31</f>
        <v>44.203201929799498</v>
      </c>
      <c r="F33">
        <f>Calculation_TFP!$H31</f>
        <v>8.0118704673999036E-2</v>
      </c>
      <c r="G33" s="2">
        <f>CurrConsumption_Ref!$I33</f>
        <v>0.44203201929799496</v>
      </c>
      <c r="H33" s="2">
        <f>CurrConsumption_Ref!$J33</f>
        <v>44.203201929799498</v>
      </c>
      <c r="I33" s="2">
        <f>CurrConsumption_Ref!L33</f>
        <v>8.0118704673999036E-2</v>
      </c>
      <c r="J33">
        <f t="shared" si="3"/>
        <v>1.6724959462279015E-2</v>
      </c>
      <c r="K33">
        <f t="shared" si="4"/>
        <v>4966.8353011616719</v>
      </c>
      <c r="L33">
        <f t="shared" si="5"/>
        <v>83.070119067745338</v>
      </c>
      <c r="M33">
        <f t="shared" si="6"/>
        <v>1.8548750646076178</v>
      </c>
      <c r="N33">
        <f>TFPConsumption_Ref!$J33</f>
        <v>114.67898004655157</v>
      </c>
      <c r="O33">
        <f>TFPConsumption_Ref!$L33</f>
        <v>0.20785669212960498</v>
      </c>
      <c r="P33">
        <f>CurrConsumption_Ref!$I33</f>
        <v>0.44203201929799496</v>
      </c>
      <c r="Q33">
        <f>CurrConsumption_Ref!$J33</f>
        <v>44.203201929799498</v>
      </c>
      <c r="R33">
        <f>CurrConsumption_Ref!$L33</f>
        <v>8.0118704673999036E-2</v>
      </c>
      <c r="S33">
        <f t="shared" si="7"/>
        <v>1.6724959462279015E-2</v>
      </c>
    </row>
    <row r="34" spans="1:19" x14ac:dyDescent="0.35">
      <c r="A34" s="6" t="s">
        <v>101</v>
      </c>
      <c r="B34" s="48">
        <f t="shared" si="0"/>
        <v>0</v>
      </c>
      <c r="C34">
        <f t="shared" si="1"/>
        <v>0</v>
      </c>
      <c r="D34" t="e">
        <f t="shared" si="2"/>
        <v>#DIV/0!</v>
      </c>
      <c r="E34">
        <f>Calculation_TFP!$F32</f>
        <v>17.007357466324962</v>
      </c>
      <c r="F34">
        <f>Calculation_TFP!$H32</f>
        <v>4.5017285060528212E-2</v>
      </c>
      <c r="G34" s="2">
        <f>CurrConsumption_Ref!$I34</f>
        <v>0.1700735746632496</v>
      </c>
      <c r="H34" s="2">
        <f>CurrConsumption_Ref!$J34</f>
        <v>17.007357466324962</v>
      </c>
      <c r="I34" s="2">
        <f>CurrConsumption_Ref!L34</f>
        <v>4.5017285060528212E-2</v>
      </c>
      <c r="J34">
        <f t="shared" si="3"/>
        <v>9.3974593174312275E-3</v>
      </c>
      <c r="K34">
        <f t="shared" si="4"/>
        <v>3189.4122547143297</v>
      </c>
      <c r="L34">
        <f t="shared" si="5"/>
        <v>29.972371910194518</v>
      </c>
      <c r="M34">
        <f t="shared" si="6"/>
        <v>0.66925394964255158</v>
      </c>
      <c r="N34">
        <f>TFPConsumption_Ref!$J34</f>
        <v>73.482239092711126</v>
      </c>
      <c r="O34">
        <f>TFPConsumption_Ref!$L34</f>
        <v>0.19450234468654765</v>
      </c>
      <c r="P34">
        <f>CurrConsumption_Ref!$I34</f>
        <v>0.1700735746632496</v>
      </c>
      <c r="Q34">
        <f>CurrConsumption_Ref!$J34</f>
        <v>17.007357466324962</v>
      </c>
      <c r="R34">
        <f>CurrConsumption_Ref!$L34</f>
        <v>4.5017285060528212E-2</v>
      </c>
      <c r="S34">
        <f t="shared" si="7"/>
        <v>9.3974593174312275E-3</v>
      </c>
    </row>
    <row r="35" spans="1:19" x14ac:dyDescent="0.35">
      <c r="A35" s="6" t="s">
        <v>103</v>
      </c>
      <c r="B35" s="48">
        <f t="shared" si="0"/>
        <v>0</v>
      </c>
      <c r="C35">
        <f t="shared" si="1"/>
        <v>0</v>
      </c>
      <c r="D35" t="e">
        <f t="shared" si="2"/>
        <v>#DIV/0!</v>
      </c>
      <c r="E35">
        <f>Calculation_TFP!$F33</f>
        <v>2.6762099403544224</v>
      </c>
      <c r="F35">
        <f>Calculation_TFP!$H33</f>
        <v>1.9745062716141366E-2</v>
      </c>
      <c r="G35" s="2">
        <f>CurrConsumption_Ref!$I35</f>
        <v>2.6762099403544223E-2</v>
      </c>
      <c r="H35" s="2">
        <f>CurrConsumption_Ref!$J35</f>
        <v>2.6762099403544224</v>
      </c>
      <c r="I35" s="2">
        <f>CurrConsumption_Ref!L35</f>
        <v>1.9745062716141366E-2</v>
      </c>
      <c r="J35">
        <f t="shared" si="3"/>
        <v>4.1218261684501821E-3</v>
      </c>
      <c r="K35">
        <f t="shared" si="4"/>
        <v>7.1620996448518213</v>
      </c>
      <c r="L35">
        <f t="shared" si="5"/>
        <v>2.9520929737197991E-2</v>
      </c>
      <c r="M35">
        <f t="shared" si="6"/>
        <v>6.5917368444971315E-4</v>
      </c>
      <c r="N35">
        <f>TFPConsumption_Ref!$J35</f>
        <v>0</v>
      </c>
      <c r="O35">
        <f>TFPConsumption_Ref!$L35</f>
        <v>0</v>
      </c>
      <c r="P35">
        <f>CurrConsumption_Ref!$I35</f>
        <v>2.6762099403544223E-2</v>
      </c>
      <c r="Q35">
        <f>CurrConsumption_Ref!$J35</f>
        <v>2.6762099403544224</v>
      </c>
      <c r="R35">
        <f>CurrConsumption_Ref!$L35</f>
        <v>1.9745062716141366E-2</v>
      </c>
      <c r="S35">
        <f t="shared" si="7"/>
        <v>4.1218261684501821E-3</v>
      </c>
    </row>
    <row r="36" spans="1:19" x14ac:dyDescent="0.35">
      <c r="A36" s="6" t="s">
        <v>105</v>
      </c>
      <c r="B36" s="48">
        <f t="shared" si="0"/>
        <v>0</v>
      </c>
      <c r="C36">
        <f t="shared" si="1"/>
        <v>0</v>
      </c>
      <c r="D36" t="e">
        <f t="shared" si="2"/>
        <v>#DIV/0!</v>
      </c>
      <c r="E36">
        <f>Calculation_TFP!$F34</f>
        <v>10.024949012231415</v>
      </c>
      <c r="F36">
        <f>Calculation_TFP!$H34</f>
        <v>7.3137448288204288E-2</v>
      </c>
      <c r="G36" s="2">
        <f>CurrConsumption_Ref!$I36</f>
        <v>0.10024949012231416</v>
      </c>
      <c r="H36" s="2">
        <f>CurrConsumption_Ref!$J36</f>
        <v>10.024949012231415</v>
      </c>
      <c r="I36" s="2">
        <f>CurrConsumption_Ref!L36</f>
        <v>7.3137448288204288E-2</v>
      </c>
      <c r="J36">
        <f t="shared" si="3"/>
        <v>1.5267606519251638E-2</v>
      </c>
      <c r="K36">
        <f t="shared" si="4"/>
        <v>100.49960269783963</v>
      </c>
      <c r="L36">
        <f t="shared" si="5"/>
        <v>1.5343883893317358</v>
      </c>
      <c r="M36">
        <f t="shared" si="6"/>
        <v>3.426140223145499E-2</v>
      </c>
      <c r="N36">
        <f>TFPConsumption_Ref!$J36</f>
        <v>0</v>
      </c>
      <c r="O36">
        <f>TFPConsumption_Ref!$L36</f>
        <v>0</v>
      </c>
      <c r="P36">
        <f>CurrConsumption_Ref!$I36</f>
        <v>0.10024949012231416</v>
      </c>
      <c r="Q36">
        <f>CurrConsumption_Ref!$J36</f>
        <v>10.024949012231415</v>
      </c>
      <c r="R36">
        <f>CurrConsumption_Ref!$L36</f>
        <v>7.3137448288204288E-2</v>
      </c>
      <c r="S36">
        <f t="shared" si="7"/>
        <v>1.5267606519251638E-2</v>
      </c>
    </row>
    <row r="37" spans="1:19" x14ac:dyDescent="0.35">
      <c r="A37" s="6" t="s">
        <v>106</v>
      </c>
      <c r="B37" s="48">
        <f t="shared" si="0"/>
        <v>0</v>
      </c>
      <c r="C37">
        <f t="shared" si="1"/>
        <v>0</v>
      </c>
      <c r="D37" t="e">
        <f t="shared" si="2"/>
        <v>#DIV/0!</v>
      </c>
      <c r="E37">
        <f>Calculation_TFP!$F35</f>
        <v>3.6548833510176135</v>
      </c>
      <c r="F37">
        <f>Calculation_TFP!$H35</f>
        <v>1.616079978206323E-2</v>
      </c>
      <c r="G37" s="2">
        <f>CurrConsumption_Ref!$I37</f>
        <v>3.6548833510176133E-2</v>
      </c>
      <c r="H37" s="2">
        <f>CurrConsumption_Ref!$J37</f>
        <v>3.6548833510176135</v>
      </c>
      <c r="I37" s="2">
        <f>CurrConsumption_Ref!L37</f>
        <v>1.616079978206323E-2</v>
      </c>
      <c r="J37">
        <f t="shared" si="3"/>
        <v>3.3736032345107543E-3</v>
      </c>
      <c r="K37">
        <f t="shared" si="4"/>
        <v>12073.118326869528</v>
      </c>
      <c r="L37">
        <f t="shared" si="5"/>
        <v>40.729911038158107</v>
      </c>
      <c r="M37">
        <f t="shared" si="6"/>
        <v>0.90945934851440879</v>
      </c>
      <c r="N37">
        <f>TFPConsumption_Ref!$J37</f>
        <v>113.53262598741112</v>
      </c>
      <c r="O37">
        <f>TFPConsumption_Ref!$L37</f>
        <v>0.50200727659435984</v>
      </c>
      <c r="P37">
        <f>CurrConsumption_Ref!$I37</f>
        <v>3.6548833510176133E-2</v>
      </c>
      <c r="Q37">
        <f>CurrConsumption_Ref!$J37</f>
        <v>3.6548833510176135</v>
      </c>
      <c r="R37">
        <f>CurrConsumption_Ref!$L37</f>
        <v>1.616079978206323E-2</v>
      </c>
      <c r="S37">
        <f t="shared" si="7"/>
        <v>3.3736032345107543E-3</v>
      </c>
    </row>
    <row r="38" spans="1:19" x14ac:dyDescent="0.35">
      <c r="A38" s="6" t="s">
        <v>107</v>
      </c>
      <c r="B38" s="48">
        <f t="shared" si="0"/>
        <v>0</v>
      </c>
      <c r="C38">
        <f t="shared" si="1"/>
        <v>0</v>
      </c>
      <c r="D38" t="e">
        <f t="shared" si="2"/>
        <v>#DIV/0!</v>
      </c>
      <c r="E38">
        <f>Calculation_TFP!$F36</f>
        <v>0.76034150800137135</v>
      </c>
      <c r="F38">
        <f>Calculation_TFP!$H36</f>
        <v>7.762914977689917E-3</v>
      </c>
      <c r="G38" s="2">
        <f>CurrConsumption_Ref!$I38</f>
        <v>7.6034150800137132E-3</v>
      </c>
      <c r="H38" s="2">
        <f>CurrConsumption_Ref!$J38</f>
        <v>0.76034150800137135</v>
      </c>
      <c r="I38" s="2">
        <f>CurrConsumption_Ref!L38</f>
        <v>7.762914977689917E-3</v>
      </c>
      <c r="J38">
        <f t="shared" si="3"/>
        <v>1.6205259288611252E-3</v>
      </c>
      <c r="K38">
        <f t="shared" si="4"/>
        <v>696.89529450208022</v>
      </c>
      <c r="L38">
        <f t="shared" si="5"/>
        <v>1.1293368944419309</v>
      </c>
      <c r="M38">
        <f t="shared" si="6"/>
        <v>2.5216995816912325E-2</v>
      </c>
      <c r="N38">
        <f>TFPConsumption_Ref!$J38</f>
        <v>27.159115996641564</v>
      </c>
      <c r="O38">
        <f>TFPConsumption_Ref!$L38</f>
        <v>0.27728843701476097</v>
      </c>
      <c r="P38">
        <f>CurrConsumption_Ref!$I38</f>
        <v>7.6034150800137132E-3</v>
      </c>
      <c r="Q38">
        <f>CurrConsumption_Ref!$J38</f>
        <v>0.76034150800137135</v>
      </c>
      <c r="R38">
        <f>CurrConsumption_Ref!$L38</f>
        <v>7.762914977689917E-3</v>
      </c>
      <c r="S38">
        <f t="shared" si="7"/>
        <v>1.6205259288611252E-3</v>
      </c>
    </row>
    <row r="39" spans="1:19" x14ac:dyDescent="0.35">
      <c r="A39" s="6" t="s">
        <v>109</v>
      </c>
      <c r="B39" s="48">
        <f t="shared" si="0"/>
        <v>0</v>
      </c>
      <c r="C39">
        <f t="shared" si="1"/>
        <v>0</v>
      </c>
      <c r="D39" t="e">
        <f t="shared" si="2"/>
        <v>#DIV/0!</v>
      </c>
      <c r="E39">
        <f>Calculation_TFP!$F37</f>
        <v>2.9443229071500245</v>
      </c>
      <c r="F39">
        <f>Calculation_TFP!$H37</f>
        <v>6.2341865003279026E-2</v>
      </c>
      <c r="G39" s="2">
        <f>CurrConsumption_Ref!$I39</f>
        <v>2.9443229071500245E-2</v>
      </c>
      <c r="H39" s="2">
        <f>CurrConsumption_Ref!$J39</f>
        <v>2.9443229071500245</v>
      </c>
      <c r="I39" s="2">
        <f>CurrConsumption_Ref!L39</f>
        <v>6.2341865003279026E-2</v>
      </c>
      <c r="J39">
        <f t="shared" si="3"/>
        <v>1.3014004273100651E-2</v>
      </c>
      <c r="K39">
        <f t="shared" si="4"/>
        <v>8.6690373815683728</v>
      </c>
      <c r="L39">
        <f t="shared" si="5"/>
        <v>0.11281888952740007</v>
      </c>
      <c r="M39">
        <f t="shared" si="6"/>
        <v>2.5191362110656922E-3</v>
      </c>
      <c r="N39">
        <f>TFPConsumption_Ref!$J39</f>
        <v>0</v>
      </c>
      <c r="O39">
        <f>TFPConsumption_Ref!$L39</f>
        <v>0</v>
      </c>
      <c r="P39">
        <f>CurrConsumption_Ref!$I39</f>
        <v>2.9443229071500245E-2</v>
      </c>
      <c r="Q39">
        <f>CurrConsumption_Ref!$J39</f>
        <v>2.9443229071500245</v>
      </c>
      <c r="R39">
        <f>CurrConsumption_Ref!$L39</f>
        <v>6.2341865003279026E-2</v>
      </c>
      <c r="S39">
        <f t="shared" si="7"/>
        <v>1.3014004273100651E-2</v>
      </c>
    </row>
    <row r="40" spans="1:19" x14ac:dyDescent="0.35">
      <c r="A40" s="6" t="s">
        <v>110</v>
      </c>
      <c r="B40" s="48">
        <f t="shared" si="0"/>
        <v>0</v>
      </c>
      <c r="C40">
        <f t="shared" si="1"/>
        <v>0</v>
      </c>
      <c r="D40" t="e">
        <f t="shared" si="2"/>
        <v>#DIV/0!</v>
      </c>
      <c r="E40">
        <f>Calculation_TFP!$F38</f>
        <v>1.1132526756121606</v>
      </c>
      <c r="F40">
        <f>Calculation_TFP!$H38</f>
        <v>1.3432012981757821E-2</v>
      </c>
      <c r="G40" s="2">
        <f>CurrConsumption_Ref!$I40</f>
        <v>1.1132526756121605E-2</v>
      </c>
      <c r="H40" s="2">
        <f>CurrConsumption_Ref!$J40</f>
        <v>1.1132526756121606</v>
      </c>
      <c r="I40" s="2">
        <f>CurrConsumption_Ref!L40</f>
        <v>1.3432012981757821E-2</v>
      </c>
      <c r="J40">
        <f t="shared" si="3"/>
        <v>2.8039628639878744E-3</v>
      </c>
      <c r="K40">
        <f t="shared" si="4"/>
        <v>1.2393315197576344</v>
      </c>
      <c r="L40">
        <f t="shared" si="5"/>
        <v>3.4750395575700618E-3</v>
      </c>
      <c r="M40">
        <f t="shared" si="6"/>
        <v>7.75942576729082E-5</v>
      </c>
      <c r="N40">
        <f>TFPConsumption_Ref!$J40</f>
        <v>0</v>
      </c>
      <c r="O40">
        <f>TFPConsumption_Ref!$L40</f>
        <v>0</v>
      </c>
      <c r="P40">
        <f>CurrConsumption_Ref!$I40</f>
        <v>1.1132526756121605E-2</v>
      </c>
      <c r="Q40">
        <f>CurrConsumption_Ref!$J40</f>
        <v>1.1132526756121606</v>
      </c>
      <c r="R40">
        <f>CurrConsumption_Ref!$L40</f>
        <v>1.3432012981757821E-2</v>
      </c>
      <c r="S40">
        <f t="shared" si="7"/>
        <v>2.8039628639878744E-3</v>
      </c>
    </row>
    <row r="41" spans="1:19" x14ac:dyDescent="0.35">
      <c r="A41" s="6" t="s">
        <v>112</v>
      </c>
      <c r="B41" s="48">
        <f t="shared" si="0"/>
        <v>0</v>
      </c>
      <c r="C41">
        <f t="shared" si="1"/>
        <v>0</v>
      </c>
      <c r="D41" t="e">
        <f t="shared" si="2"/>
        <v>#DIV/0!</v>
      </c>
      <c r="E41">
        <f>Calculation_TFP!$F39</f>
        <v>4.3920828896896076</v>
      </c>
      <c r="F41">
        <f>Calculation_TFP!$H39</f>
        <v>0.1037050212552519</v>
      </c>
      <c r="G41" s="2">
        <f>CurrConsumption_Ref!$I41</f>
        <v>4.392082889689608E-2</v>
      </c>
      <c r="H41" s="2">
        <f>CurrConsumption_Ref!$J41</f>
        <v>4.3920828896896076</v>
      </c>
      <c r="I41" s="2">
        <f>CurrConsumption_Ref!L41</f>
        <v>0.1037050212552519</v>
      </c>
      <c r="J41">
        <f t="shared" si="3"/>
        <v>2.1648655998450728E-2</v>
      </c>
      <c r="K41">
        <f t="shared" si="4"/>
        <v>19.290392109904214</v>
      </c>
      <c r="L41">
        <f t="shared" si="5"/>
        <v>0.41761106286254446</v>
      </c>
      <c r="M41">
        <f t="shared" si="6"/>
        <v>9.3248493670305566E-3</v>
      </c>
      <c r="N41">
        <f>TFPConsumption_Ref!$J41</f>
        <v>0</v>
      </c>
      <c r="O41">
        <f>TFPConsumption_Ref!$L41</f>
        <v>0</v>
      </c>
      <c r="P41">
        <f>CurrConsumption_Ref!$I41</f>
        <v>4.392082889689608E-2</v>
      </c>
      <c r="Q41">
        <f>CurrConsumption_Ref!$J41</f>
        <v>4.3920828896896076</v>
      </c>
      <c r="R41">
        <f>CurrConsumption_Ref!$L41</f>
        <v>0.1037050212552519</v>
      </c>
      <c r="S41">
        <f t="shared" si="7"/>
        <v>2.1648655998450728E-2</v>
      </c>
    </row>
    <row r="42" spans="1:19" x14ac:dyDescent="0.35">
      <c r="A42" s="6" t="s">
        <v>113</v>
      </c>
      <c r="B42" s="48">
        <f t="shared" si="0"/>
        <v>0</v>
      </c>
      <c r="C42">
        <f t="shared" si="1"/>
        <v>0</v>
      </c>
      <c r="D42" t="e">
        <f t="shared" si="2"/>
        <v>#DIV/0!</v>
      </c>
      <c r="E42">
        <f>Calculation_TFP!$F40</f>
        <v>14.645000287601942</v>
      </c>
      <c r="F42">
        <f>Calculation_TFP!$H40</f>
        <v>0.20233851698396543</v>
      </c>
      <c r="G42" s="2">
        <f>CurrConsumption_Ref!$I42</f>
        <v>0.14645000287601942</v>
      </c>
      <c r="H42" s="2">
        <f>CurrConsumption_Ref!$J42</f>
        <v>14.645000287601942</v>
      </c>
      <c r="I42" s="2">
        <f>CurrConsumption_Ref!L42</f>
        <v>0.20233851698396543</v>
      </c>
      <c r="J42">
        <f t="shared" si="3"/>
        <v>4.2238619657972584E-2</v>
      </c>
      <c r="K42">
        <f t="shared" si="4"/>
        <v>214.47603342386097</v>
      </c>
      <c r="L42">
        <f t="shared" si="5"/>
        <v>9.0591716015410793</v>
      </c>
      <c r="M42">
        <f t="shared" si="6"/>
        <v>0.20228250179822552</v>
      </c>
      <c r="N42">
        <f>TFPConsumption_Ref!$J42</f>
        <v>0</v>
      </c>
      <c r="O42">
        <f>TFPConsumption_Ref!$L42</f>
        <v>0</v>
      </c>
      <c r="P42">
        <f>CurrConsumption_Ref!$I42</f>
        <v>0.14645000287601942</v>
      </c>
      <c r="Q42">
        <f>CurrConsumption_Ref!$J42</f>
        <v>14.645000287601942</v>
      </c>
      <c r="R42">
        <f>CurrConsumption_Ref!$L42</f>
        <v>0.20233851698396543</v>
      </c>
      <c r="S42">
        <f t="shared" si="7"/>
        <v>4.2238619657972584E-2</v>
      </c>
    </row>
    <row r="43" spans="1:19" x14ac:dyDescent="0.35">
      <c r="A43" s="6" t="s">
        <v>115</v>
      </c>
      <c r="B43" s="48">
        <f t="shared" si="0"/>
        <v>0</v>
      </c>
      <c r="C43">
        <f t="shared" si="1"/>
        <v>0</v>
      </c>
      <c r="D43" t="e">
        <f t="shared" si="2"/>
        <v>#DIV/0!</v>
      </c>
      <c r="E43">
        <f>Calculation_TFP!$F41</f>
        <v>0.46105847478248724</v>
      </c>
      <c r="F43">
        <f>Calculation_TFP!$H41</f>
        <v>1.5368654459116142E-3</v>
      </c>
      <c r="G43" s="2">
        <f>CurrConsumption_Ref!$I43</f>
        <v>4.6105847478248724E-3</v>
      </c>
      <c r="H43" s="2">
        <f>CurrConsumption_Ref!$J43</f>
        <v>0.46105847478248724</v>
      </c>
      <c r="I43" s="2">
        <f>CurrConsumption_Ref!L43</f>
        <v>1.5368654459116142E-3</v>
      </c>
      <c r="J43">
        <f t="shared" si="3"/>
        <v>3.2082411200278486E-4</v>
      </c>
      <c r="K43">
        <f t="shared" si="4"/>
        <v>17.072902299978384</v>
      </c>
      <c r="L43">
        <f t="shared" si="5"/>
        <v>5.477398719700868E-3</v>
      </c>
      <c r="M43">
        <f t="shared" si="6"/>
        <v>1.223049926749381E-4</v>
      </c>
      <c r="N43">
        <f>TFPConsumption_Ref!$J43</f>
        <v>4.5929953450623788</v>
      </c>
      <c r="O43">
        <f>TFPConsumption_Ref!$L43</f>
        <v>1.5310022969189293E-2</v>
      </c>
      <c r="P43">
        <f>CurrConsumption_Ref!$I43</f>
        <v>4.6105847478248724E-3</v>
      </c>
      <c r="Q43">
        <f>CurrConsumption_Ref!$J43</f>
        <v>0.46105847478248724</v>
      </c>
      <c r="R43">
        <f>CurrConsumption_Ref!$L43</f>
        <v>1.5368654459116142E-3</v>
      </c>
      <c r="S43">
        <f t="shared" si="7"/>
        <v>3.2082411200278486E-4</v>
      </c>
    </row>
    <row r="44" spans="1:19" x14ac:dyDescent="0.35">
      <c r="A44" s="6" t="s">
        <v>117</v>
      </c>
      <c r="B44" s="48">
        <f t="shared" si="0"/>
        <v>0</v>
      </c>
      <c r="C44">
        <f t="shared" si="1"/>
        <v>0</v>
      </c>
      <c r="D44" t="e">
        <f t="shared" si="2"/>
        <v>#DIV/0!</v>
      </c>
      <c r="E44">
        <f>Calculation_TFP!$F42</f>
        <v>1.1263625035998996</v>
      </c>
      <c r="F44">
        <f>Calculation_TFP!$H42</f>
        <v>3.6328316537343969E-3</v>
      </c>
      <c r="G44" s="2">
        <f>CurrConsumption_Ref!$I44</f>
        <v>1.1263625035998997E-2</v>
      </c>
      <c r="H44" s="2">
        <f>CurrConsumption_Ref!$J44</f>
        <v>1.1263625035998996</v>
      </c>
      <c r="I44" s="2">
        <f>CurrConsumption_Ref!L44</f>
        <v>3.6328316537343969E-3</v>
      </c>
      <c r="J44">
        <f t="shared" si="3"/>
        <v>7.583617632014707E-4</v>
      </c>
      <c r="K44">
        <f t="shared" si="4"/>
        <v>1.268692489515834</v>
      </c>
      <c r="L44">
        <f t="shared" si="5"/>
        <v>9.6212787330969129E-4</v>
      </c>
      <c r="M44">
        <f t="shared" si="6"/>
        <v>2.1483380801593706E-5</v>
      </c>
      <c r="N44">
        <f>TFPConsumption_Ref!$J44</f>
        <v>0</v>
      </c>
      <c r="O44">
        <f>TFPConsumption_Ref!$L44</f>
        <v>0</v>
      </c>
      <c r="P44">
        <f>CurrConsumption_Ref!$I44</f>
        <v>1.1263625035998997E-2</v>
      </c>
      <c r="Q44">
        <f>CurrConsumption_Ref!$J44</f>
        <v>1.1263625035998996</v>
      </c>
      <c r="R44">
        <f>CurrConsumption_Ref!$L44</f>
        <v>3.6328316537343969E-3</v>
      </c>
      <c r="S44">
        <f t="shared" si="7"/>
        <v>7.583617632014707E-4</v>
      </c>
    </row>
    <row r="45" spans="1:19" x14ac:dyDescent="0.35">
      <c r="A45" s="6" t="s">
        <v>119</v>
      </c>
      <c r="B45" s="48">
        <f t="shared" si="0"/>
        <v>0</v>
      </c>
      <c r="C45">
        <f t="shared" si="1"/>
        <v>0</v>
      </c>
      <c r="D45" t="e">
        <f t="shared" si="2"/>
        <v>#DIV/0!</v>
      </c>
      <c r="E45">
        <f>Calculation_TFP!$F43</f>
        <v>0.45510277979903752</v>
      </c>
      <c r="F45">
        <f>Calculation_TFP!$H43</f>
        <v>1.2926790452765767E-3</v>
      </c>
      <c r="G45" s="2">
        <f>CurrConsumption_Ref!$I45</f>
        <v>4.5510277979903752E-3</v>
      </c>
      <c r="H45" s="2">
        <f>CurrConsumption_Ref!$J45</f>
        <v>0.45510277979903752</v>
      </c>
      <c r="I45" s="2">
        <f>CurrConsumption_Ref!L45</f>
        <v>1.2926790452765767E-3</v>
      </c>
      <c r="J45">
        <f t="shared" si="3"/>
        <v>2.6984965268671691E-4</v>
      </c>
      <c r="K45">
        <f t="shared" si="4"/>
        <v>0.20711854018081122</v>
      </c>
      <c r="L45">
        <f t="shared" si="5"/>
        <v>5.5890866132771728E-5</v>
      </c>
      <c r="M45">
        <f t="shared" si="6"/>
        <v>1.2479887484506342E-6</v>
      </c>
      <c r="N45">
        <f>TFPConsumption_Ref!$J45</f>
        <v>0</v>
      </c>
      <c r="O45">
        <f>TFPConsumption_Ref!$L45</f>
        <v>0</v>
      </c>
      <c r="P45">
        <f>CurrConsumption_Ref!$I45</f>
        <v>4.5510277979903752E-3</v>
      </c>
      <c r="Q45">
        <f>CurrConsumption_Ref!$J45</f>
        <v>0.45510277979903752</v>
      </c>
      <c r="R45">
        <f>CurrConsumption_Ref!$L45</f>
        <v>1.2926790452765767E-3</v>
      </c>
      <c r="S45">
        <f t="shared" si="7"/>
        <v>2.6984965268671691E-4</v>
      </c>
    </row>
    <row r="46" spans="1:19" x14ac:dyDescent="0.35">
      <c r="A46" s="6" t="s">
        <v>120</v>
      </c>
      <c r="B46" s="48">
        <f t="shared" si="0"/>
        <v>0</v>
      </c>
      <c r="C46">
        <f t="shared" si="1"/>
        <v>0</v>
      </c>
      <c r="D46" t="e">
        <f t="shared" si="2"/>
        <v>#DIV/0!</v>
      </c>
      <c r="E46">
        <f>Calculation_TFP!$F44</f>
        <v>0.67007632482619517</v>
      </c>
      <c r="F46">
        <f>Calculation_TFP!$H44</f>
        <v>1.7204969371203305E-3</v>
      </c>
      <c r="G46" s="2">
        <f>CurrConsumption_Ref!$I46</f>
        <v>6.7007632482619511E-3</v>
      </c>
      <c r="H46" s="2">
        <f>CurrConsumption_Ref!$J46</f>
        <v>0.67007632482619517</v>
      </c>
      <c r="I46" s="2">
        <f>CurrConsumption_Ref!L46</f>
        <v>1.7204969371203305E-3</v>
      </c>
      <c r="J46">
        <f t="shared" si="3"/>
        <v>3.5915759803404782E-4</v>
      </c>
      <c r="K46">
        <f t="shared" si="4"/>
        <v>0.44900228109258061</v>
      </c>
      <c r="L46">
        <f t="shared" si="5"/>
        <v>1.6126258078901962E-4</v>
      </c>
      <c r="M46">
        <f t="shared" si="6"/>
        <v>3.6008367788167495E-6</v>
      </c>
      <c r="N46">
        <f>TFPConsumption_Ref!$J46</f>
        <v>0</v>
      </c>
      <c r="O46">
        <f>TFPConsumption_Ref!$L46</f>
        <v>0</v>
      </c>
      <c r="P46">
        <f>CurrConsumption_Ref!$I46</f>
        <v>6.7007632482619511E-3</v>
      </c>
      <c r="Q46">
        <f>CurrConsumption_Ref!$J46</f>
        <v>0.67007632482619517</v>
      </c>
      <c r="R46">
        <f>CurrConsumption_Ref!$L46</f>
        <v>1.7204969371203305E-3</v>
      </c>
      <c r="S46">
        <f t="shared" si="7"/>
        <v>3.5915759803404782E-4</v>
      </c>
    </row>
    <row r="47" spans="1:19" x14ac:dyDescent="0.35">
      <c r="A47" s="6" t="s">
        <v>121</v>
      </c>
      <c r="B47" s="48">
        <f t="shared" si="0"/>
        <v>0</v>
      </c>
      <c r="C47">
        <f t="shared" si="1"/>
        <v>0</v>
      </c>
      <c r="D47" t="e">
        <f t="shared" si="2"/>
        <v>#DIV/0!</v>
      </c>
      <c r="E47">
        <f>Calculation_TFP!$F45</f>
        <v>3.4005244513547939</v>
      </c>
      <c r="F47">
        <f>Calculation_TFP!$H45</f>
        <v>1.3637828608870627E-2</v>
      </c>
      <c r="G47" s="2">
        <f>CurrConsumption_Ref!$I47</f>
        <v>3.4005244513547937E-2</v>
      </c>
      <c r="H47" s="2">
        <f>CurrConsumption_Ref!$J47</f>
        <v>3.4005244513547939</v>
      </c>
      <c r="I47" s="2">
        <f>CurrConsumption_Ref!L47</f>
        <v>1.3637828608870627E-2</v>
      </c>
      <c r="J47">
        <f t="shared" si="3"/>
        <v>2.8469273381911413E-3</v>
      </c>
      <c r="K47">
        <f t="shared" si="4"/>
        <v>16.232730418052377</v>
      </c>
      <c r="L47">
        <f t="shared" si="5"/>
        <v>4.6213404000640224E-2</v>
      </c>
      <c r="M47">
        <f t="shared" si="6"/>
        <v>1.0319004197107148E-3</v>
      </c>
      <c r="N47">
        <f>TFPConsumption_Ref!$J47</f>
        <v>7.4295107280815316</v>
      </c>
      <c r="O47">
        <f>TFPConsumption_Ref!$L47</f>
        <v>2.9796108043561916E-2</v>
      </c>
      <c r="P47">
        <f>CurrConsumption_Ref!$I47</f>
        <v>3.4005244513547937E-2</v>
      </c>
      <c r="Q47">
        <f>CurrConsumption_Ref!$J47</f>
        <v>3.4005244513547939</v>
      </c>
      <c r="R47">
        <f>CurrConsumption_Ref!$L47</f>
        <v>1.3637828608870627E-2</v>
      </c>
      <c r="S47">
        <f t="shared" si="7"/>
        <v>2.8469273381911413E-3</v>
      </c>
    </row>
    <row r="48" spans="1:19" x14ac:dyDescent="0.35">
      <c r="A48" s="6" t="s">
        <v>123</v>
      </c>
      <c r="B48" s="48">
        <f t="shared" si="0"/>
        <v>0</v>
      </c>
      <c r="C48">
        <f t="shared" si="1"/>
        <v>0</v>
      </c>
      <c r="D48" t="e">
        <f t="shared" si="2"/>
        <v>#DIV/0!</v>
      </c>
      <c r="E48">
        <f>Calculation_TFP!$F46</f>
        <v>2.1634755304796549</v>
      </c>
      <c r="F48">
        <f>Calculation_TFP!$H46</f>
        <v>1.3197792314377338E-2</v>
      </c>
      <c r="G48" s="2">
        <f>CurrConsumption_Ref!$I48</f>
        <v>2.1634755304796551E-2</v>
      </c>
      <c r="H48" s="2">
        <f>CurrConsumption_Ref!$J48</f>
        <v>2.1634755304796549</v>
      </c>
      <c r="I48" s="2">
        <f>CurrConsumption_Ref!L48</f>
        <v>1.3197792314377338E-2</v>
      </c>
      <c r="J48">
        <f t="shared" si="3"/>
        <v>2.7550687738611551E-3</v>
      </c>
      <c r="K48">
        <f t="shared" si="4"/>
        <v>4.680626370984224</v>
      </c>
      <c r="L48">
        <f t="shared" si="5"/>
        <v>1.2895447556809695E-2</v>
      </c>
      <c r="M48">
        <f t="shared" si="6"/>
        <v>2.8794281732730806E-4</v>
      </c>
      <c r="N48">
        <f>TFPConsumption_Ref!$J48</f>
        <v>0</v>
      </c>
      <c r="O48">
        <f>TFPConsumption_Ref!$L48</f>
        <v>0</v>
      </c>
      <c r="P48">
        <f>CurrConsumption_Ref!$I48</f>
        <v>2.1634755304796551E-2</v>
      </c>
      <c r="Q48">
        <f>CurrConsumption_Ref!$J48</f>
        <v>2.1634755304796549</v>
      </c>
      <c r="R48">
        <f>CurrConsumption_Ref!$L48</f>
        <v>1.3197792314377338E-2</v>
      </c>
      <c r="S48">
        <f t="shared" si="7"/>
        <v>2.7550687738611551E-3</v>
      </c>
    </row>
    <row r="49" spans="1:19" x14ac:dyDescent="0.35">
      <c r="A49" s="6" t="s">
        <v>125</v>
      </c>
      <c r="B49" s="48">
        <f t="shared" si="0"/>
        <v>0</v>
      </c>
      <c r="C49">
        <f t="shared" si="1"/>
        <v>0</v>
      </c>
      <c r="D49" t="e">
        <f t="shared" si="2"/>
        <v>#DIV/0!</v>
      </c>
      <c r="E49">
        <f>Calculation_TFP!$F47</f>
        <v>9.7821936255069151</v>
      </c>
      <c r="F49">
        <f>Calculation_TFP!$H47</f>
        <v>2.2749049784122517E-2</v>
      </c>
      <c r="G49" s="2">
        <f>CurrConsumption_Ref!$I49</f>
        <v>9.7821936255069145E-2</v>
      </c>
      <c r="H49" s="2">
        <f>CurrConsumption_Ref!$J49</f>
        <v>9.7821936255069151</v>
      </c>
      <c r="I49" s="2">
        <f>CurrConsumption_Ref!L49</f>
        <v>2.2749049784122517E-2</v>
      </c>
      <c r="J49">
        <f t="shared" si="3"/>
        <v>4.7489152126581075E-3</v>
      </c>
      <c r="K49">
        <f t="shared" si="4"/>
        <v>1394.103458365305</v>
      </c>
      <c r="L49">
        <f t="shared" si="5"/>
        <v>6.6204791214502752</v>
      </c>
      <c r="M49">
        <f t="shared" si="6"/>
        <v>0.14782886765960629</v>
      </c>
      <c r="N49">
        <f>TFPConsumption_Ref!$J49</f>
        <v>47.119888497650599</v>
      </c>
      <c r="O49">
        <f>TFPConsumption_Ref!$L49</f>
        <v>0.10957999098078657</v>
      </c>
      <c r="P49">
        <f>CurrConsumption_Ref!$I49</f>
        <v>9.7821936255069145E-2</v>
      </c>
      <c r="Q49">
        <f>CurrConsumption_Ref!$J49</f>
        <v>9.7821936255069151</v>
      </c>
      <c r="R49">
        <f>CurrConsumption_Ref!$L49</f>
        <v>2.2749049784122517E-2</v>
      </c>
      <c r="S49">
        <f t="shared" si="7"/>
        <v>4.7489152126581075E-3</v>
      </c>
    </row>
    <row r="50" spans="1:19" x14ac:dyDescent="0.35">
      <c r="A50" s="6" t="s">
        <v>127</v>
      </c>
      <c r="B50" s="48">
        <f t="shared" si="0"/>
        <v>0</v>
      </c>
      <c r="C50">
        <f t="shared" si="1"/>
        <v>0</v>
      </c>
      <c r="D50" t="e">
        <f t="shared" si="2"/>
        <v>#DIV/0!</v>
      </c>
      <c r="E50">
        <f>Calculation_TFP!$F48</f>
        <v>11.231191706154023</v>
      </c>
      <c r="F50">
        <f>Calculation_TFP!$H48</f>
        <v>5.649392303651786E-2</v>
      </c>
      <c r="G50" s="2">
        <f>CurrConsumption_Ref!$I50</f>
        <v>0.11231191706154023</v>
      </c>
      <c r="H50" s="2">
        <f>CurrConsumption_Ref!$J50</f>
        <v>11.231191706154023</v>
      </c>
      <c r="I50" s="2">
        <f>CurrConsumption_Ref!L50</f>
        <v>5.649392303651786E-2</v>
      </c>
      <c r="J50">
        <f t="shared" si="3"/>
        <v>1.1793233259267948E-2</v>
      </c>
      <c r="K50">
        <f t="shared" si="4"/>
        <v>126.13966714038291</v>
      </c>
      <c r="L50">
        <f t="shared" si="5"/>
        <v>1.4875945178329519</v>
      </c>
      <c r="M50">
        <f t="shared" si="6"/>
        <v>3.3216540536375891E-2</v>
      </c>
      <c r="N50">
        <f>TFPConsumption_Ref!$J50</f>
        <v>0</v>
      </c>
      <c r="O50">
        <f>TFPConsumption_Ref!$L50</f>
        <v>0</v>
      </c>
      <c r="P50">
        <f>CurrConsumption_Ref!$I50</f>
        <v>0.11231191706154023</v>
      </c>
      <c r="Q50">
        <f>CurrConsumption_Ref!$J50</f>
        <v>11.231191706154023</v>
      </c>
      <c r="R50">
        <f>CurrConsumption_Ref!$L50</f>
        <v>5.649392303651786E-2</v>
      </c>
      <c r="S50">
        <f t="shared" si="7"/>
        <v>1.1793233259267948E-2</v>
      </c>
    </row>
    <row r="51" spans="1:19" x14ac:dyDescent="0.35">
      <c r="A51" s="6" t="s">
        <v>129</v>
      </c>
      <c r="B51" s="48">
        <f t="shared" si="0"/>
        <v>0</v>
      </c>
      <c r="C51">
        <f t="shared" si="1"/>
        <v>0</v>
      </c>
      <c r="D51" t="e">
        <f t="shared" si="2"/>
        <v>#DIV/0!</v>
      </c>
      <c r="E51">
        <f>Calculation_TFP!$F49</f>
        <v>7.5760897980975948</v>
      </c>
      <c r="F51">
        <f>Calculation_TFP!$H49</f>
        <v>4.7607653153820685E-2</v>
      </c>
      <c r="G51" s="2">
        <f>CurrConsumption_Ref!$I51</f>
        <v>7.5760897980975947E-2</v>
      </c>
      <c r="H51" s="2">
        <f>CurrConsumption_Ref!$J51</f>
        <v>7.5760897980975948</v>
      </c>
      <c r="I51" s="2">
        <f>CurrConsumption_Ref!L51</f>
        <v>4.7607653153820685E-2</v>
      </c>
      <c r="J51">
        <f t="shared" si="3"/>
        <v>9.9382044721236431E-3</v>
      </c>
      <c r="K51">
        <f t="shared" si="4"/>
        <v>57.397136628838453</v>
      </c>
      <c r="L51">
        <f t="shared" si="5"/>
        <v>0.57042447993181411</v>
      </c>
      <c r="M51">
        <f t="shared" si="6"/>
        <v>1.2737024527488837E-2</v>
      </c>
      <c r="N51">
        <f>TFPConsumption_Ref!$J51</f>
        <v>0</v>
      </c>
      <c r="O51">
        <f>TFPConsumption_Ref!$L51</f>
        <v>0</v>
      </c>
      <c r="P51">
        <f>CurrConsumption_Ref!$I51</f>
        <v>7.5760897980975947E-2</v>
      </c>
      <c r="Q51">
        <f>CurrConsumption_Ref!$J51</f>
        <v>7.5760897980975948</v>
      </c>
      <c r="R51">
        <f>CurrConsumption_Ref!$L51</f>
        <v>4.7607653153820685E-2</v>
      </c>
      <c r="S51">
        <f t="shared" si="7"/>
        <v>9.9382044721236431E-3</v>
      </c>
    </row>
    <row r="52" spans="1:19" x14ac:dyDescent="0.35">
      <c r="A52" s="6" t="s">
        <v>130</v>
      </c>
      <c r="B52" s="48">
        <f t="shared" si="0"/>
        <v>0</v>
      </c>
      <c r="C52">
        <f t="shared" si="1"/>
        <v>0</v>
      </c>
      <c r="D52" t="e">
        <f t="shared" si="2"/>
        <v>#DIV/0!</v>
      </c>
      <c r="E52">
        <f>Calculation_TFP!$F50</f>
        <v>14.309223820911896</v>
      </c>
      <c r="F52">
        <f>Calculation_TFP!$H50</f>
        <v>0.12567862369489807</v>
      </c>
      <c r="G52" s="2">
        <f>CurrConsumption_Ref!$I52</f>
        <v>0.14309223820911895</v>
      </c>
      <c r="H52" s="2">
        <f>CurrConsumption_Ref!$J52</f>
        <v>14.309223820911896</v>
      </c>
      <c r="I52" s="2">
        <f>CurrConsumption_Ref!L52</f>
        <v>0.12567862369489807</v>
      </c>
      <c r="J52">
        <f t="shared" si="3"/>
        <v>2.6235694837117636E-2</v>
      </c>
      <c r="K52">
        <f t="shared" si="4"/>
        <v>204.75388635695245</v>
      </c>
      <c r="L52">
        <f t="shared" si="5"/>
        <v>5.3718604791748685</v>
      </c>
      <c r="M52">
        <f t="shared" si="6"/>
        <v>0.1199484262836634</v>
      </c>
      <c r="N52">
        <f>TFPConsumption_Ref!$J52</f>
        <v>0</v>
      </c>
      <c r="O52">
        <f>TFPConsumption_Ref!$L52</f>
        <v>0</v>
      </c>
      <c r="P52">
        <f>CurrConsumption_Ref!$I52</f>
        <v>0.14309223820911895</v>
      </c>
      <c r="Q52">
        <f>CurrConsumption_Ref!$J52</f>
        <v>14.309223820911896</v>
      </c>
      <c r="R52">
        <f>CurrConsumption_Ref!$L52</f>
        <v>0.12567862369489807</v>
      </c>
      <c r="S52">
        <f t="shared" si="7"/>
        <v>2.6235694837117636E-2</v>
      </c>
    </row>
    <row r="53" spans="1:19" x14ac:dyDescent="0.35">
      <c r="A53" s="6" t="s">
        <v>131</v>
      </c>
      <c r="B53" s="48">
        <f t="shared" si="0"/>
        <v>0</v>
      </c>
      <c r="C53">
        <f t="shared" si="1"/>
        <v>0</v>
      </c>
      <c r="D53" t="e">
        <f t="shared" si="2"/>
        <v>#DIV/0!</v>
      </c>
      <c r="E53">
        <f>Calculation_TFP!$F51</f>
        <v>7.0903586018220528</v>
      </c>
      <c r="F53">
        <f>Calculation_TFP!$H51</f>
        <v>4.4193404681495872E-2</v>
      </c>
      <c r="G53" s="2">
        <f>CurrConsumption_Ref!$I53</f>
        <v>7.0903586018220527E-2</v>
      </c>
      <c r="H53" s="2">
        <f>CurrConsumption_Ref!$J53</f>
        <v>7.0903586018220528</v>
      </c>
      <c r="I53" s="2">
        <f>CurrConsumption_Ref!L53</f>
        <v>4.4193404681495872E-2</v>
      </c>
      <c r="J53">
        <f t="shared" si="3"/>
        <v>9.2254724387472679E-3</v>
      </c>
      <c r="K53">
        <f t="shared" si="4"/>
        <v>50.273185102431974</v>
      </c>
      <c r="L53">
        <f t="shared" si="5"/>
        <v>0.46379388357052592</v>
      </c>
      <c r="M53">
        <f t="shared" si="6"/>
        <v>1.0356066891524761E-2</v>
      </c>
      <c r="N53">
        <f>TFPConsumption_Ref!$J53</f>
        <v>0</v>
      </c>
      <c r="O53">
        <f>TFPConsumption_Ref!$L53</f>
        <v>0</v>
      </c>
      <c r="P53">
        <f>CurrConsumption_Ref!$I53</f>
        <v>7.0903586018220527E-2</v>
      </c>
      <c r="Q53">
        <f>CurrConsumption_Ref!$J53</f>
        <v>7.0903586018220528</v>
      </c>
      <c r="R53">
        <f>CurrConsumption_Ref!$L53</f>
        <v>4.4193404681495872E-2</v>
      </c>
      <c r="S53">
        <f t="shared" si="7"/>
        <v>9.2254724387472679E-3</v>
      </c>
    </row>
    <row r="54" spans="1:19" x14ac:dyDescent="0.35">
      <c r="A54" s="6" t="s">
        <v>133</v>
      </c>
      <c r="B54" s="48">
        <f t="shared" si="0"/>
        <v>0</v>
      </c>
      <c r="C54">
        <f t="shared" si="1"/>
        <v>0</v>
      </c>
      <c r="D54" t="e">
        <f t="shared" si="2"/>
        <v>#DIV/0!</v>
      </c>
      <c r="E54">
        <f>Calculation_TFP!$F52</f>
        <v>6.3638818302009295</v>
      </c>
      <c r="F54">
        <f>Calculation_TFP!$H52</f>
        <v>6.1728252010735798E-2</v>
      </c>
      <c r="G54" s="2">
        <f>CurrConsumption_Ref!$I54</f>
        <v>6.3638818302009292E-2</v>
      </c>
      <c r="H54" s="2">
        <f>CurrConsumption_Ref!$J54</f>
        <v>6.3638818302009295</v>
      </c>
      <c r="I54" s="2">
        <f>CurrConsumption_Ref!L54</f>
        <v>6.1728252010735798E-2</v>
      </c>
      <c r="J54">
        <f t="shared" si="3"/>
        <v>1.288591118338369E-2</v>
      </c>
      <c r="K54">
        <f t="shared" si="4"/>
        <v>40.498991948761528</v>
      </c>
      <c r="L54">
        <f t="shared" si="5"/>
        <v>0.52186641326831218</v>
      </c>
      <c r="M54">
        <f t="shared" si="6"/>
        <v>1.165277006811782E-2</v>
      </c>
      <c r="N54">
        <f>TFPConsumption_Ref!$J54</f>
        <v>0</v>
      </c>
      <c r="O54">
        <f>TFPConsumption_Ref!$L54</f>
        <v>0</v>
      </c>
      <c r="P54">
        <f>CurrConsumption_Ref!$I54</f>
        <v>6.3638818302009292E-2</v>
      </c>
      <c r="Q54">
        <f>CurrConsumption_Ref!$J54</f>
        <v>6.3638818302009295</v>
      </c>
      <c r="R54">
        <f>CurrConsumption_Ref!$L54</f>
        <v>6.1728252010735798E-2</v>
      </c>
      <c r="S54">
        <f t="shared" si="7"/>
        <v>1.288591118338369E-2</v>
      </c>
    </row>
    <row r="55" spans="1:19" x14ac:dyDescent="0.35">
      <c r="A55" s="6" t="s">
        <v>135</v>
      </c>
      <c r="B55" s="48">
        <f t="shared" si="0"/>
        <v>0</v>
      </c>
      <c r="C55">
        <f t="shared" si="1"/>
        <v>0</v>
      </c>
      <c r="D55" t="e">
        <f t="shared" si="2"/>
        <v>#DIV/0!</v>
      </c>
      <c r="E55">
        <f>Calculation_TFP!$F53</f>
        <v>8.1736273321829014</v>
      </c>
      <c r="F55">
        <f>Calculation_TFP!$H53</f>
        <v>8.2308723940810916E-2</v>
      </c>
      <c r="G55" s="2">
        <f>CurrConsumption_Ref!$I55</f>
        <v>8.1736273321829006E-2</v>
      </c>
      <c r="H55" s="2">
        <f>CurrConsumption_Ref!$J55</f>
        <v>8.1736273321829014</v>
      </c>
      <c r="I55" s="2">
        <f>CurrConsumption_Ref!L55</f>
        <v>8.2308723940810916E-2</v>
      </c>
      <c r="J55">
        <f t="shared" si="3"/>
        <v>1.7182130900685027E-2</v>
      </c>
      <c r="K55">
        <f t="shared" si="4"/>
        <v>66.808183765407378</v>
      </c>
      <c r="L55">
        <f t="shared" si="5"/>
        <v>1.1479069586942499</v>
      </c>
      <c r="M55">
        <f t="shared" si="6"/>
        <v>2.5631647312737163E-2</v>
      </c>
      <c r="N55">
        <f>TFPConsumption_Ref!$J55</f>
        <v>0</v>
      </c>
      <c r="O55">
        <f>TFPConsumption_Ref!$L55</f>
        <v>0</v>
      </c>
      <c r="P55">
        <f>CurrConsumption_Ref!$I55</f>
        <v>8.1736273321829006E-2</v>
      </c>
      <c r="Q55">
        <f>CurrConsumption_Ref!$J55</f>
        <v>8.1736273321829014</v>
      </c>
      <c r="R55">
        <f>CurrConsumption_Ref!$L55</f>
        <v>8.2308723940810916E-2</v>
      </c>
      <c r="S55">
        <f t="shared" si="7"/>
        <v>1.7182130900685027E-2</v>
      </c>
    </row>
    <row r="56" spans="1:19" x14ac:dyDescent="0.35">
      <c r="A56" s="6" t="s">
        <v>136</v>
      </c>
      <c r="B56" s="48">
        <f t="shared" si="0"/>
        <v>0</v>
      </c>
      <c r="C56">
        <f t="shared" si="1"/>
        <v>0</v>
      </c>
      <c r="D56" t="e">
        <f t="shared" si="2"/>
        <v>#DIV/0!</v>
      </c>
      <c r="E56">
        <f>Calculation_TFP!$F54</f>
        <v>2.2292320096355218</v>
      </c>
      <c r="F56">
        <f>Calculation_TFP!$H54</f>
        <v>1.0259388762409402E-2</v>
      </c>
      <c r="G56" s="2">
        <f>CurrConsumption_Ref!$I56</f>
        <v>2.2292320096355216E-2</v>
      </c>
      <c r="H56" s="2">
        <f>CurrConsumption_Ref!$J56</f>
        <v>2.2292320096355218</v>
      </c>
      <c r="I56" s="2">
        <f>CurrConsumption_Ref!L56</f>
        <v>1.0259388762409402E-2</v>
      </c>
      <c r="J56">
        <f t="shared" si="3"/>
        <v>2.1416704358519618E-3</v>
      </c>
      <c r="K56">
        <f t="shared" si="4"/>
        <v>4.9694753527836273</v>
      </c>
      <c r="L56">
        <f t="shared" si="5"/>
        <v>1.0642978444751693E-2</v>
      </c>
      <c r="M56">
        <f t="shared" si="6"/>
        <v>2.3764737009979216E-4</v>
      </c>
      <c r="N56">
        <f>TFPConsumption_Ref!$J56</f>
        <v>0</v>
      </c>
      <c r="O56">
        <f>TFPConsumption_Ref!$L56</f>
        <v>0</v>
      </c>
      <c r="P56">
        <f>CurrConsumption_Ref!$I56</f>
        <v>2.2292320096355216E-2</v>
      </c>
      <c r="Q56">
        <f>CurrConsumption_Ref!$J56</f>
        <v>2.2292320096355218</v>
      </c>
      <c r="R56">
        <f>CurrConsumption_Ref!$L56</f>
        <v>1.0259388762409402E-2</v>
      </c>
      <c r="S56">
        <f t="shared" si="7"/>
        <v>2.1416704358519618E-3</v>
      </c>
    </row>
    <row r="57" spans="1:19" x14ac:dyDescent="0.35">
      <c r="A57" s="6" t="s">
        <v>137</v>
      </c>
      <c r="B57" s="48">
        <f t="shared" si="0"/>
        <v>0</v>
      </c>
      <c r="C57">
        <f t="shared" si="1"/>
        <v>0</v>
      </c>
      <c r="D57" t="e">
        <f t="shared" si="2"/>
        <v>#DIV/0!</v>
      </c>
      <c r="E57">
        <f>Calculation_TFP!$F55</f>
        <v>0.84182946127935676</v>
      </c>
      <c r="F57">
        <f>Calculation_TFP!$H55</f>
        <v>6.0269443744464654E-3</v>
      </c>
      <c r="G57" s="2">
        <f>CurrConsumption_Ref!$I57</f>
        <v>8.4182946127935674E-3</v>
      </c>
      <c r="H57" s="2">
        <f>CurrConsumption_Ref!$J57</f>
        <v>0.84182946127935676</v>
      </c>
      <c r="I57" s="2">
        <f>CurrConsumption_Ref!L57</f>
        <v>6.0269443744464654E-3</v>
      </c>
      <c r="J57">
        <f t="shared" si="3"/>
        <v>1.2581381682864438E-3</v>
      </c>
      <c r="K57">
        <f t="shared" si="4"/>
        <v>52.629962386237665</v>
      </c>
      <c r="L57">
        <f t="shared" si="5"/>
        <v>6.6215764473605485E-2</v>
      </c>
      <c r="M57">
        <f t="shared" si="6"/>
        <v>1.4785336988124213E-3</v>
      </c>
      <c r="N57">
        <f>TFPConsumption_Ref!$J57</f>
        <v>8.0964805477367658</v>
      </c>
      <c r="O57">
        <f>TFPConsumption_Ref!$L57</f>
        <v>5.7965467038702624E-2</v>
      </c>
      <c r="P57">
        <f>CurrConsumption_Ref!$I57</f>
        <v>8.4182946127935674E-3</v>
      </c>
      <c r="Q57">
        <f>CurrConsumption_Ref!$J57</f>
        <v>0.84182946127935676</v>
      </c>
      <c r="R57">
        <f>CurrConsumption_Ref!$L57</f>
        <v>6.0269443744464654E-3</v>
      </c>
      <c r="S57">
        <f t="shared" si="7"/>
        <v>1.2581381682864438E-3</v>
      </c>
    </row>
    <row r="58" spans="1:19" x14ac:dyDescent="0.35">
      <c r="A58" s="6" t="s">
        <v>139</v>
      </c>
      <c r="B58" s="48">
        <f t="shared" si="0"/>
        <v>0</v>
      </c>
      <c r="C58">
        <f t="shared" si="1"/>
        <v>0</v>
      </c>
      <c r="D58" t="e">
        <f t="shared" si="2"/>
        <v>#DIV/0!</v>
      </c>
      <c r="E58">
        <f>Calculation_TFP!$F56</f>
        <v>0.5138904719695141</v>
      </c>
      <c r="F58">
        <f>Calculation_TFP!$H56</f>
        <v>4.4404899224033774E-3</v>
      </c>
      <c r="G58" s="2">
        <f>CurrConsumption_Ref!$I58</f>
        <v>5.1389047196951409E-3</v>
      </c>
      <c r="H58" s="2">
        <f>CurrConsumption_Ref!$J58</f>
        <v>0.5138904719695141</v>
      </c>
      <c r="I58" s="2">
        <f>CurrConsumption_Ref!L58</f>
        <v>4.4404899224033774E-3</v>
      </c>
      <c r="J58">
        <f t="shared" si="3"/>
        <v>9.2696223992943421E-4</v>
      </c>
      <c r="K58">
        <f t="shared" si="4"/>
        <v>0.26408341718104994</v>
      </c>
      <c r="L58">
        <f t="shared" si="5"/>
        <v>2.4479535591836527E-4</v>
      </c>
      <c r="M58">
        <f t="shared" si="6"/>
        <v>5.4660425038565752E-6</v>
      </c>
      <c r="N58">
        <f>TFPConsumption_Ref!$J58</f>
        <v>0</v>
      </c>
      <c r="O58">
        <f>TFPConsumption_Ref!$L58</f>
        <v>0</v>
      </c>
      <c r="P58">
        <f>CurrConsumption_Ref!$I58</f>
        <v>5.1389047196951409E-3</v>
      </c>
      <c r="Q58">
        <f>CurrConsumption_Ref!$J58</f>
        <v>0.5138904719695141</v>
      </c>
      <c r="R58">
        <f>CurrConsumption_Ref!$L58</f>
        <v>4.4404899224033774E-3</v>
      </c>
      <c r="S58">
        <f t="shared" si="7"/>
        <v>9.2696223992943421E-4</v>
      </c>
    </row>
    <row r="59" spans="1:19" x14ac:dyDescent="0.35">
      <c r="A59" s="6" t="s">
        <v>141</v>
      </c>
      <c r="B59" s="48">
        <f t="shared" si="0"/>
        <v>0</v>
      </c>
      <c r="C59">
        <f t="shared" si="1"/>
        <v>0</v>
      </c>
      <c r="D59" t="e">
        <f t="shared" si="2"/>
        <v>#DIV/0!</v>
      </c>
      <c r="E59">
        <f>Calculation_TFP!$F57</f>
        <v>3.6178334780499282</v>
      </c>
      <c r="F59">
        <f>Calculation_TFP!$H57</f>
        <v>3.2321175668190011E-2</v>
      </c>
      <c r="G59" s="2">
        <f>CurrConsumption_Ref!$I59</f>
        <v>3.6178334780499283E-2</v>
      </c>
      <c r="H59" s="2">
        <f>CurrConsumption_Ref!$J59</f>
        <v>3.6178334780499282</v>
      </c>
      <c r="I59" s="2">
        <f>CurrConsumption_Ref!L59</f>
        <v>3.2321175668190011E-2</v>
      </c>
      <c r="J59">
        <f t="shared" si="3"/>
        <v>6.747117979793155E-3</v>
      </c>
      <c r="K59">
        <f t="shared" si="4"/>
        <v>13.08871907489884</v>
      </c>
      <c r="L59">
        <f t="shared" si="5"/>
        <v>8.8311131802711593E-2</v>
      </c>
      <c r="M59">
        <f t="shared" si="6"/>
        <v>1.9719017878683832E-3</v>
      </c>
      <c r="N59">
        <f>TFPConsumption_Ref!$J59</f>
        <v>0</v>
      </c>
      <c r="O59">
        <f>TFPConsumption_Ref!$L59</f>
        <v>0</v>
      </c>
      <c r="P59">
        <f>CurrConsumption_Ref!$I59</f>
        <v>3.6178334780499283E-2</v>
      </c>
      <c r="Q59">
        <f>CurrConsumption_Ref!$J59</f>
        <v>3.6178334780499282</v>
      </c>
      <c r="R59">
        <f>CurrConsumption_Ref!$L59</f>
        <v>3.2321175668190011E-2</v>
      </c>
      <c r="S59">
        <f t="shared" si="7"/>
        <v>6.747117979793155E-3</v>
      </c>
    </row>
    <row r="60" spans="1:19" x14ac:dyDescent="0.35">
      <c r="A60" s="6" t="s">
        <v>142</v>
      </c>
      <c r="B60" s="48">
        <f t="shared" si="0"/>
        <v>0</v>
      </c>
      <c r="C60">
        <f t="shared" si="1"/>
        <v>0</v>
      </c>
      <c r="D60" t="e">
        <f t="shared" si="2"/>
        <v>#DIV/0!</v>
      </c>
      <c r="E60">
        <f>Calculation_TFP!$F58</f>
        <v>1.2609461980212149</v>
      </c>
      <c r="F60">
        <f>Calculation_TFP!$H58</f>
        <v>1.4246980003249773E-2</v>
      </c>
      <c r="G60" s="2">
        <f>CurrConsumption_Ref!$I60</f>
        <v>1.2609461980212148E-2</v>
      </c>
      <c r="H60" s="2">
        <f>CurrConsumption_Ref!$J60</f>
        <v>1.2609461980212149</v>
      </c>
      <c r="I60" s="2">
        <f>CurrConsumption_Ref!L60</f>
        <v>1.4246980003249773E-2</v>
      </c>
      <c r="J60">
        <f t="shared" si="3"/>
        <v>2.9740890592753351E-3</v>
      </c>
      <c r="K60">
        <f t="shared" si="4"/>
        <v>1.5899853143041569</v>
      </c>
      <c r="L60">
        <f t="shared" si="5"/>
        <v>4.7287579276804482E-3</v>
      </c>
      <c r="M60">
        <f t="shared" si="6"/>
        <v>1.0558857101753909E-4</v>
      </c>
      <c r="N60">
        <f>TFPConsumption_Ref!$J60</f>
        <v>0</v>
      </c>
      <c r="O60">
        <f>TFPConsumption_Ref!$L60</f>
        <v>0</v>
      </c>
      <c r="P60">
        <f>CurrConsumption_Ref!$I60</f>
        <v>1.2609461980212148E-2</v>
      </c>
      <c r="Q60">
        <f>CurrConsumption_Ref!$J60</f>
        <v>1.2609461980212149</v>
      </c>
      <c r="R60">
        <f>CurrConsumption_Ref!$L60</f>
        <v>1.4246980003249773E-2</v>
      </c>
      <c r="S60">
        <f t="shared" si="7"/>
        <v>2.9740890592753351E-3</v>
      </c>
    </row>
    <row r="61" spans="1:19" x14ac:dyDescent="0.35">
      <c r="A61" s="6" t="s">
        <v>143</v>
      </c>
      <c r="B61" s="48">
        <f t="shared" si="0"/>
        <v>0</v>
      </c>
      <c r="C61">
        <f t="shared" si="1"/>
        <v>0</v>
      </c>
      <c r="D61" t="e">
        <f t="shared" si="2"/>
        <v>#DIV/0!</v>
      </c>
      <c r="E61">
        <f>Calculation_TFP!$F59</f>
        <v>2.1698154083230747</v>
      </c>
      <c r="F61">
        <f>Calculation_TFP!$H59</f>
        <v>1.327160206962401E-2</v>
      </c>
      <c r="G61" s="2">
        <f>CurrConsumption_Ref!$I61</f>
        <v>2.1698154083230746E-2</v>
      </c>
      <c r="H61" s="2">
        <f>CurrConsumption_Ref!$J61</f>
        <v>2.1698154083230747</v>
      </c>
      <c r="I61" s="2">
        <f>CurrConsumption_Ref!L61</f>
        <v>1.327160206962401E-2</v>
      </c>
      <c r="J61">
        <f t="shared" si="3"/>
        <v>2.7704767259672746E-3</v>
      </c>
      <c r="K61">
        <f t="shared" si="4"/>
        <v>4.7080989061962315</v>
      </c>
      <c r="L61">
        <f t="shared" si="5"/>
        <v>1.3043678443168642E-2</v>
      </c>
      <c r="M61">
        <f t="shared" si="6"/>
        <v>2.9125266902846754E-4</v>
      </c>
      <c r="N61">
        <f>TFPConsumption_Ref!$J61</f>
        <v>0</v>
      </c>
      <c r="O61">
        <f>TFPConsumption_Ref!$L61</f>
        <v>0</v>
      </c>
      <c r="P61">
        <f>CurrConsumption_Ref!$I61</f>
        <v>2.1698154083230746E-2</v>
      </c>
      <c r="Q61">
        <f>CurrConsumption_Ref!$J61</f>
        <v>2.1698154083230747</v>
      </c>
      <c r="R61">
        <f>CurrConsumption_Ref!$L61</f>
        <v>1.327160206962401E-2</v>
      </c>
      <c r="S61">
        <f t="shared" si="7"/>
        <v>2.7704767259672746E-3</v>
      </c>
    </row>
    <row r="62" spans="1:19" x14ac:dyDescent="0.35">
      <c r="A62" s="6" t="s">
        <v>145</v>
      </c>
      <c r="B62" s="48">
        <f t="shared" si="0"/>
        <v>0</v>
      </c>
      <c r="C62">
        <f t="shared" si="1"/>
        <v>0</v>
      </c>
      <c r="D62" t="e">
        <f t="shared" si="2"/>
        <v>#DIV/0!</v>
      </c>
      <c r="E62">
        <f>Calculation_TFP!$F60</f>
        <v>3.8547031634270001</v>
      </c>
      <c r="F62">
        <f>Calculation_TFP!$H60</f>
        <v>4.3250919298471358E-2</v>
      </c>
      <c r="G62" s="2">
        <f>CurrConsumption_Ref!$I62</f>
        <v>3.854703163427E-2</v>
      </c>
      <c r="H62" s="2">
        <f>CurrConsumption_Ref!$J62</f>
        <v>3.8547031634270001</v>
      </c>
      <c r="I62" s="2">
        <f>CurrConsumption_Ref!L62</f>
        <v>4.3250919298471358E-2</v>
      </c>
      <c r="J62">
        <f t="shared" si="3"/>
        <v>9.0287264992189795E-3</v>
      </c>
      <c r="K62">
        <f t="shared" si="4"/>
        <v>14.858736478134123</v>
      </c>
      <c r="L62">
        <f t="shared" si="5"/>
        <v>0.13415546778504125</v>
      </c>
      <c r="M62">
        <f t="shared" si="6"/>
        <v>2.9955612772422811E-3</v>
      </c>
      <c r="N62">
        <f>TFPConsumption_Ref!$J62</f>
        <v>0</v>
      </c>
      <c r="O62">
        <f>TFPConsumption_Ref!$L62</f>
        <v>0</v>
      </c>
      <c r="P62">
        <f>CurrConsumption_Ref!$I62</f>
        <v>3.854703163427E-2</v>
      </c>
      <c r="Q62">
        <f>CurrConsumption_Ref!$J62</f>
        <v>3.8547031634270001</v>
      </c>
      <c r="R62">
        <f>CurrConsumption_Ref!$L62</f>
        <v>4.3250919298471358E-2</v>
      </c>
      <c r="S62">
        <f t="shared" si="7"/>
        <v>9.0287264992189795E-3</v>
      </c>
    </row>
    <row r="63" spans="1:19" x14ac:dyDescent="0.35">
      <c r="A63" s="6" t="s">
        <v>146</v>
      </c>
      <c r="B63" s="48">
        <f t="shared" si="0"/>
        <v>0</v>
      </c>
      <c r="C63">
        <f t="shared" si="1"/>
        <v>0</v>
      </c>
      <c r="D63" t="e">
        <f t="shared" si="2"/>
        <v>#DIV/0!</v>
      </c>
      <c r="E63">
        <f>Calculation_TFP!$F61</f>
        <v>3.5715986408072262</v>
      </c>
      <c r="F63">
        <f>Calculation_TFP!$H61</f>
        <v>5.0006369417619649E-2</v>
      </c>
      <c r="G63" s="2">
        <f>CurrConsumption_Ref!$I63</f>
        <v>3.5715986408072262E-2</v>
      </c>
      <c r="H63" s="2">
        <f>CurrConsumption_Ref!$J63</f>
        <v>3.5715986408072262</v>
      </c>
      <c r="I63" s="2">
        <f>CurrConsumption_Ref!L63</f>
        <v>5.0006369417619649E-2</v>
      </c>
      <c r="J63">
        <f t="shared" si="3"/>
        <v>1.0438941877162678E-2</v>
      </c>
      <c r="K63">
        <f t="shared" si="4"/>
        <v>12.756316851016026</v>
      </c>
      <c r="L63">
        <f t="shared" si="5"/>
        <v>0.13316245017442713</v>
      </c>
      <c r="M63">
        <f t="shared" si="6"/>
        <v>2.9733881586129184E-3</v>
      </c>
      <c r="N63">
        <f>TFPConsumption_Ref!$J63</f>
        <v>0</v>
      </c>
      <c r="O63">
        <f>TFPConsumption_Ref!$L63</f>
        <v>0</v>
      </c>
      <c r="P63">
        <f>CurrConsumption_Ref!$I63</f>
        <v>3.5715986408072262E-2</v>
      </c>
      <c r="Q63">
        <f>CurrConsumption_Ref!$J63</f>
        <v>3.5715986408072262</v>
      </c>
      <c r="R63">
        <f>CurrConsumption_Ref!$L63</f>
        <v>5.0006369417619649E-2</v>
      </c>
      <c r="S63">
        <f t="shared" si="7"/>
        <v>1.0438941877162678E-2</v>
      </c>
    </row>
    <row r="64" spans="1:19" x14ac:dyDescent="0.35">
      <c r="A64" s="6" t="s">
        <v>148</v>
      </c>
      <c r="B64" s="48">
        <f t="shared" si="0"/>
        <v>0</v>
      </c>
      <c r="C64">
        <f t="shared" si="1"/>
        <v>0</v>
      </c>
      <c r="D64" t="e">
        <f t="shared" si="2"/>
        <v>#DIV/0!</v>
      </c>
      <c r="E64">
        <f>Calculation_TFP!$F62</f>
        <v>1.5249828027366314</v>
      </c>
      <c r="F64">
        <f>Calculation_TFP!$H62</f>
        <v>8.0731267319584885E-3</v>
      </c>
      <c r="G64" s="2">
        <f>CurrConsumption_Ref!$I64</f>
        <v>1.5249828027366314E-2</v>
      </c>
      <c r="H64" s="2">
        <f>CurrConsumption_Ref!$J64</f>
        <v>1.5249828027366314</v>
      </c>
      <c r="I64" s="2">
        <f>CurrConsumption_Ref!L64</f>
        <v>8.0731267319584885E-3</v>
      </c>
      <c r="J64">
        <f t="shared" si="3"/>
        <v>1.6852833289710658E-3</v>
      </c>
      <c r="K64">
        <f t="shared" si="4"/>
        <v>2.3255725486424716</v>
      </c>
      <c r="L64">
        <f t="shared" si="5"/>
        <v>3.9192486465399103E-3</v>
      </c>
      <c r="M64">
        <f t="shared" si="6"/>
        <v>8.7513015125636638E-5</v>
      </c>
      <c r="N64">
        <f>TFPConsumption_Ref!$J64</f>
        <v>0</v>
      </c>
      <c r="O64">
        <f>TFPConsumption_Ref!$L64</f>
        <v>0</v>
      </c>
      <c r="P64">
        <f>CurrConsumption_Ref!$I64</f>
        <v>1.5249828027366314E-2</v>
      </c>
      <c r="Q64">
        <f>CurrConsumption_Ref!$J64</f>
        <v>1.5249828027366314</v>
      </c>
      <c r="R64">
        <f>CurrConsumption_Ref!$L64</f>
        <v>8.0731267319584885E-3</v>
      </c>
      <c r="S64">
        <f t="shared" si="7"/>
        <v>1.6852833289710658E-3</v>
      </c>
    </row>
    <row r="65" spans="1:19" x14ac:dyDescent="0.35">
      <c r="A65" s="6" t="s">
        <v>149</v>
      </c>
      <c r="B65" s="48">
        <f t="shared" si="0"/>
        <v>0</v>
      </c>
      <c r="C65">
        <f t="shared" si="1"/>
        <v>0</v>
      </c>
      <c r="D65" t="e">
        <f t="shared" si="2"/>
        <v>#DIV/0!</v>
      </c>
      <c r="E65">
        <f>Calculation_TFP!$F63</f>
        <v>7.1528955353272847</v>
      </c>
      <c r="F65">
        <f>Calculation_TFP!$H63</f>
        <v>8.8952147470926172E-3</v>
      </c>
      <c r="G65" s="2">
        <f>CurrConsumption_Ref!$I65</f>
        <v>7.1528955353272847E-2</v>
      </c>
      <c r="H65" s="2">
        <f>CurrConsumption_Ref!$J65</f>
        <v>7.1528955353272847</v>
      </c>
      <c r="I65" s="2">
        <f>CurrConsumption_Ref!L65</f>
        <v>8.8952147470926172E-3</v>
      </c>
      <c r="J65">
        <f t="shared" si="3"/>
        <v>1.8568960476675253E-3</v>
      </c>
      <c r="K65">
        <f t="shared" si="4"/>
        <v>640.34443040405699</v>
      </c>
      <c r="L65">
        <f t="shared" si="5"/>
        <v>1.1890530419632062</v>
      </c>
      <c r="M65">
        <f t="shared" si="6"/>
        <v>2.6550399382896279E-2</v>
      </c>
      <c r="N65">
        <f>TFPConsumption_Ref!$J65</f>
        <v>32.457923304607782</v>
      </c>
      <c r="O65">
        <f>TFPConsumption_Ref!$L65</f>
        <v>4.0364101029183808E-2</v>
      </c>
      <c r="P65">
        <f>CurrConsumption_Ref!$I65</f>
        <v>7.1528955353272847E-2</v>
      </c>
      <c r="Q65">
        <f>CurrConsumption_Ref!$J65</f>
        <v>7.1528955353272847</v>
      </c>
      <c r="R65">
        <f>CurrConsumption_Ref!$L65</f>
        <v>8.8952147470926172E-3</v>
      </c>
      <c r="S65">
        <f t="shared" si="7"/>
        <v>1.8568960476675253E-3</v>
      </c>
    </row>
    <row r="66" spans="1:19" x14ac:dyDescent="0.35">
      <c r="A66" s="6" t="s">
        <v>151</v>
      </c>
      <c r="B66" s="48">
        <f t="shared" si="0"/>
        <v>0</v>
      </c>
      <c r="C66">
        <f t="shared" si="1"/>
        <v>0</v>
      </c>
      <c r="D66" t="e">
        <f t="shared" si="2"/>
        <v>#DIV/0!</v>
      </c>
      <c r="E66">
        <f>Calculation_TFP!$F64</f>
        <v>7.1734927938985367</v>
      </c>
      <c r="F66">
        <f>Calculation_TFP!$H64</f>
        <v>3.5052297353492454E-2</v>
      </c>
      <c r="G66" s="2">
        <f>CurrConsumption_Ref!$I66</f>
        <v>7.1734927938985366E-2</v>
      </c>
      <c r="H66" s="2">
        <f>CurrConsumption_Ref!$J66</f>
        <v>7.1734927938985367</v>
      </c>
      <c r="I66" s="2">
        <f>CurrConsumption_Ref!L66</f>
        <v>3.5052297353492454E-2</v>
      </c>
      <c r="J66">
        <f t="shared" si="3"/>
        <v>7.3172457628008399E-3</v>
      </c>
      <c r="K66">
        <f t="shared" si="4"/>
        <v>51.458998864114236</v>
      </c>
      <c r="L66">
        <f t="shared" si="5"/>
        <v>0.37653814139641312</v>
      </c>
      <c r="M66">
        <f t="shared" si="6"/>
        <v>8.4077309288592625E-3</v>
      </c>
      <c r="N66">
        <f>TFPConsumption_Ref!$J66</f>
        <v>0</v>
      </c>
      <c r="O66">
        <f>TFPConsumption_Ref!$L66</f>
        <v>0</v>
      </c>
      <c r="P66">
        <f>CurrConsumption_Ref!$I66</f>
        <v>7.1734927938985366E-2</v>
      </c>
      <c r="Q66">
        <f>CurrConsumption_Ref!$J66</f>
        <v>7.1734927938985367</v>
      </c>
      <c r="R66">
        <f>CurrConsumption_Ref!$L66</f>
        <v>3.5052297353492454E-2</v>
      </c>
      <c r="S66">
        <f t="shared" si="7"/>
        <v>7.3172457628008399E-3</v>
      </c>
    </row>
    <row r="67" spans="1:19" x14ac:dyDescent="0.35">
      <c r="A67" s="6" t="s">
        <v>153</v>
      </c>
      <c r="B67" s="48">
        <f t="shared" si="0"/>
        <v>0</v>
      </c>
      <c r="C67">
        <f t="shared" si="1"/>
        <v>0</v>
      </c>
      <c r="D67" t="e">
        <f t="shared" si="2"/>
        <v>#DIV/0!</v>
      </c>
      <c r="E67">
        <f>Calculation_TFP!$F65</f>
        <v>3.7996496191219302</v>
      </c>
      <c r="F67">
        <f>Calculation_TFP!$H65</f>
        <v>1.1750906751634031E-2</v>
      </c>
      <c r="G67" s="2">
        <f>CurrConsumption_Ref!$I67</f>
        <v>3.7996496191219302E-2</v>
      </c>
      <c r="H67" s="2">
        <f>CurrConsumption_Ref!$J67</f>
        <v>3.7996496191219302</v>
      </c>
      <c r="I67" s="2">
        <f>CurrConsumption_Ref!L67</f>
        <v>1.1750906751634031E-2</v>
      </c>
      <c r="J67">
        <f t="shared" si="3"/>
        <v>2.4530281644690776E-3</v>
      </c>
      <c r="K67">
        <f t="shared" si="4"/>
        <v>14.43733722809343</v>
      </c>
      <c r="L67">
        <f t="shared" si="5"/>
        <v>3.5415194840451109E-2</v>
      </c>
      <c r="M67">
        <f t="shared" si="6"/>
        <v>7.9078689852606315E-4</v>
      </c>
      <c r="N67">
        <f>TFPConsumption_Ref!$J67</f>
        <v>0</v>
      </c>
      <c r="O67">
        <f>TFPConsumption_Ref!$L67</f>
        <v>0</v>
      </c>
      <c r="P67">
        <f>CurrConsumption_Ref!$I67</f>
        <v>3.7996496191219302E-2</v>
      </c>
      <c r="Q67">
        <f>CurrConsumption_Ref!$J67</f>
        <v>3.7996496191219302</v>
      </c>
      <c r="R67">
        <f>CurrConsumption_Ref!$L67</f>
        <v>1.1750906751634031E-2</v>
      </c>
      <c r="S67">
        <f t="shared" si="7"/>
        <v>2.4530281644690776E-3</v>
      </c>
    </row>
    <row r="68" spans="1:19" x14ac:dyDescent="0.35">
      <c r="A68" s="6" t="s">
        <v>154</v>
      </c>
      <c r="B68" s="48">
        <f t="shared" si="0"/>
        <v>0</v>
      </c>
      <c r="C68">
        <f t="shared" si="1"/>
        <v>0</v>
      </c>
      <c r="D68" t="e">
        <f t="shared" si="2"/>
        <v>#DIV/0!</v>
      </c>
      <c r="E68">
        <f>Calculation_TFP!$F66</f>
        <v>7.449563155959801</v>
      </c>
      <c r="F68">
        <f>Calculation_TFP!$H66</f>
        <v>3.3135983968788446E-2</v>
      </c>
      <c r="G68" s="2">
        <f>CurrConsumption_Ref!$I68</f>
        <v>7.4495631559598013E-2</v>
      </c>
      <c r="H68" s="2">
        <f>CurrConsumption_Ref!$J68</f>
        <v>7.449563155959801</v>
      </c>
      <c r="I68" s="2">
        <f>CurrConsumption_Ref!L68</f>
        <v>3.3135983968788446E-2</v>
      </c>
      <c r="J68">
        <f t="shared" si="3"/>
        <v>6.9172110417377751E-3</v>
      </c>
      <c r="K68">
        <f t="shared" si="4"/>
        <v>55.495991214633747</v>
      </c>
      <c r="L68">
        <f t="shared" si="5"/>
        <v>0.38387748320204712</v>
      </c>
      <c r="M68">
        <f t="shared" si="6"/>
        <v>8.5716113019546798E-3</v>
      </c>
      <c r="N68">
        <f>TFPConsumption_Ref!$J68</f>
        <v>0</v>
      </c>
      <c r="O68">
        <f>TFPConsumption_Ref!$L68</f>
        <v>0</v>
      </c>
      <c r="P68">
        <f>CurrConsumption_Ref!$I68</f>
        <v>7.4495631559598013E-2</v>
      </c>
      <c r="Q68">
        <f>CurrConsumption_Ref!$J68</f>
        <v>7.449563155959801</v>
      </c>
      <c r="R68">
        <f>CurrConsumption_Ref!$L68</f>
        <v>3.3135983968788446E-2</v>
      </c>
      <c r="S68">
        <f t="shared" si="7"/>
        <v>6.9172110417377751E-3</v>
      </c>
    </row>
    <row r="69" spans="1:19" x14ac:dyDescent="0.35">
      <c r="A69" s="6" t="s">
        <v>155</v>
      </c>
      <c r="B69" s="48">
        <f t="shared" si="0"/>
        <v>0</v>
      </c>
      <c r="C69">
        <f t="shared" si="1"/>
        <v>0</v>
      </c>
      <c r="D69" t="e">
        <f t="shared" si="2"/>
        <v>#DIV/0!</v>
      </c>
      <c r="E69">
        <f>Calculation_TFP!$F67</f>
        <v>3.0939078449449431</v>
      </c>
      <c r="F69">
        <f>Calculation_TFP!$H67</f>
        <v>2.0951005660481862E-2</v>
      </c>
      <c r="G69" s="2">
        <f>CurrConsumption_Ref!$I69</f>
        <v>3.0939078449449431E-2</v>
      </c>
      <c r="H69" s="2">
        <f>CurrConsumption_Ref!$J69</f>
        <v>3.0939078449449431</v>
      </c>
      <c r="I69" s="2">
        <f>CurrConsumption_Ref!L69</f>
        <v>2.0951005660481862E-2</v>
      </c>
      <c r="J69">
        <f t="shared" si="3"/>
        <v>4.3735694653492608E-3</v>
      </c>
      <c r="K69">
        <f t="shared" si="4"/>
        <v>9.5722657530118624</v>
      </c>
      <c r="L69">
        <f t="shared" si="5"/>
        <v>4.1864969211581129E-2</v>
      </c>
      <c r="M69">
        <f t="shared" si="6"/>
        <v>9.3480409493332803E-4</v>
      </c>
      <c r="N69">
        <f>TFPConsumption_Ref!$J69</f>
        <v>0</v>
      </c>
      <c r="O69">
        <f>TFPConsumption_Ref!$L69</f>
        <v>0</v>
      </c>
      <c r="P69">
        <f>CurrConsumption_Ref!$I69</f>
        <v>3.0939078449449431E-2</v>
      </c>
      <c r="Q69">
        <f>CurrConsumption_Ref!$J69</f>
        <v>3.0939078449449431</v>
      </c>
      <c r="R69">
        <f>CurrConsumption_Ref!$L69</f>
        <v>2.0951005660481862E-2</v>
      </c>
      <c r="S69">
        <f t="shared" si="7"/>
        <v>4.3735694653492608E-3</v>
      </c>
    </row>
    <row r="70" spans="1:19" x14ac:dyDescent="0.35">
      <c r="A70" s="6" t="s">
        <v>157</v>
      </c>
      <c r="B70" s="48">
        <f t="shared" si="0"/>
        <v>0</v>
      </c>
      <c r="C70">
        <f t="shared" si="1"/>
        <v>0</v>
      </c>
      <c r="D70" t="e">
        <f t="shared" si="2"/>
        <v>#DIV/0!</v>
      </c>
      <c r="E70">
        <f>Calculation_TFP!$F68</f>
        <v>3.9871667647679283</v>
      </c>
      <c r="F70">
        <f>Calculation_TFP!$H68</f>
        <v>1.5106640542651012E-2</v>
      </c>
      <c r="G70" s="2">
        <f>CurrConsumption_Ref!$I70</f>
        <v>3.9871667647679285E-2</v>
      </c>
      <c r="H70" s="2">
        <f>CurrConsumption_Ref!$J70</f>
        <v>3.9871667647679283</v>
      </c>
      <c r="I70" s="2">
        <f>CurrConsumption_Ref!L70</f>
        <v>1.5106640542651012E-2</v>
      </c>
      <c r="J70">
        <f t="shared" si="3"/>
        <v>3.1535451267605684E-3</v>
      </c>
      <c r="K70">
        <f t="shared" si="4"/>
        <v>195.15680103026844</v>
      </c>
      <c r="L70">
        <f t="shared" si="5"/>
        <v>0.6154357788431849</v>
      </c>
      <c r="M70">
        <f t="shared" si="6"/>
        <v>1.3742083108279044E-2</v>
      </c>
      <c r="N70">
        <f>TFPConsumption_Ref!$J70</f>
        <v>17.95702005785116</v>
      </c>
      <c r="O70">
        <f>TFPConsumption_Ref!$L70</f>
        <v>6.8035841798285299E-2</v>
      </c>
      <c r="P70">
        <f>CurrConsumption_Ref!$I70</f>
        <v>3.9871667647679285E-2</v>
      </c>
      <c r="Q70">
        <f>CurrConsumption_Ref!$J70</f>
        <v>3.9871667647679283</v>
      </c>
      <c r="R70">
        <f>CurrConsumption_Ref!$L70</f>
        <v>1.5106640542651012E-2</v>
      </c>
      <c r="S70">
        <f t="shared" si="7"/>
        <v>3.1535451267605684E-3</v>
      </c>
    </row>
    <row r="71" spans="1:19" x14ac:dyDescent="0.35">
      <c r="A71" s="6" t="s">
        <v>158</v>
      </c>
      <c r="B71" s="48">
        <f t="shared" ref="B71:B102" si="8">(($E71)-($H71))^2</f>
        <v>0</v>
      </c>
      <c r="C71">
        <f t="shared" ref="C71:C102" si="9">$J71*(($E71)-($H71))^2</f>
        <v>0</v>
      </c>
      <c r="D71" t="e">
        <f t="shared" ref="D71:D102" si="10">($C71/$C$103)*100</f>
        <v>#DIV/0!</v>
      </c>
      <c r="E71">
        <f>Calculation_TFP!$F69</f>
        <v>3.7870573053404417</v>
      </c>
      <c r="F71">
        <f>Calculation_TFP!$H69</f>
        <v>2.4991851075079039E-2</v>
      </c>
      <c r="G71" s="2">
        <f>CurrConsumption_Ref!$I71</f>
        <v>3.7870573053404417E-2</v>
      </c>
      <c r="H71" s="2">
        <f>CurrConsumption_Ref!$J71</f>
        <v>3.7870573053404417</v>
      </c>
      <c r="I71" s="2">
        <f>CurrConsumption_Ref!L71</f>
        <v>2.4991851075079039E-2</v>
      </c>
      <c r="J71">
        <f t="shared" ref="J71:J102" si="11">($I71/$I$103)</f>
        <v>5.2171050170967239E-3</v>
      </c>
      <c r="K71">
        <f t="shared" ref="K71:K102" si="12">(($N71)-($Q71))^2</f>
        <v>14.341803033932408</v>
      </c>
      <c r="L71">
        <f t="shared" ref="L71:L102" si="13">$S71*(($N71)-($Q71))^2</f>
        <v>7.4822692562541773E-2</v>
      </c>
      <c r="M71">
        <f t="shared" ref="M71:M102" si="14">($L71/$L$103)*100</f>
        <v>1.6707180422827759E-3</v>
      </c>
      <c r="N71">
        <f>TFPConsumption_Ref!$J71</f>
        <v>0</v>
      </c>
      <c r="O71">
        <f>TFPConsumption_Ref!$L71</f>
        <v>0</v>
      </c>
      <c r="P71">
        <f>CurrConsumption_Ref!$I71</f>
        <v>3.7870573053404417E-2</v>
      </c>
      <c r="Q71">
        <f>CurrConsumption_Ref!$J71</f>
        <v>3.7870573053404417</v>
      </c>
      <c r="R71">
        <f>CurrConsumption_Ref!$L71</f>
        <v>2.4991851075079039E-2</v>
      </c>
      <c r="S71">
        <f t="shared" ref="S71:S102" si="15">($R71/$R$103)</f>
        <v>5.2171050170967239E-3</v>
      </c>
    </row>
    <row r="72" spans="1:19" x14ac:dyDescent="0.35">
      <c r="A72" s="6" t="s">
        <v>160</v>
      </c>
      <c r="B72" s="48">
        <f t="shared" si="8"/>
        <v>0</v>
      </c>
      <c r="C72">
        <f t="shared" si="9"/>
        <v>0</v>
      </c>
      <c r="D72" t="e">
        <f t="shared" si="10"/>
        <v>#DIV/0!</v>
      </c>
      <c r="E72">
        <f>Calculation_TFP!$F70</f>
        <v>4.4610680635919673</v>
      </c>
      <c r="F72">
        <f>Calculation_TFP!$H70</f>
        <v>1.4441509453986801E-2</v>
      </c>
      <c r="G72" s="2">
        <f>CurrConsumption_Ref!$I72</f>
        <v>4.4610680635919671E-2</v>
      </c>
      <c r="H72" s="2">
        <f>CurrConsumption_Ref!$J72</f>
        <v>4.4610680635919673</v>
      </c>
      <c r="I72" s="2">
        <f>CurrConsumption_Ref!L72</f>
        <v>1.4441509453986801E-2</v>
      </c>
      <c r="J72">
        <f t="shared" si="11"/>
        <v>3.0146975188233846E-3</v>
      </c>
      <c r="K72">
        <f t="shared" si="12"/>
        <v>19.901128268000186</v>
      </c>
      <c r="L72">
        <f t="shared" si="13"/>
        <v>5.9995882011326079E-2</v>
      </c>
      <c r="M72">
        <f t="shared" si="14"/>
        <v>1.3396497654131741E-3</v>
      </c>
      <c r="N72">
        <f>TFPConsumption_Ref!$J72</f>
        <v>0</v>
      </c>
      <c r="O72">
        <f>TFPConsumption_Ref!$L72</f>
        <v>0</v>
      </c>
      <c r="P72">
        <f>CurrConsumption_Ref!$I72</f>
        <v>4.4610680635919671E-2</v>
      </c>
      <c r="Q72">
        <f>CurrConsumption_Ref!$J72</f>
        <v>4.4610680635919673</v>
      </c>
      <c r="R72">
        <f>CurrConsumption_Ref!$L72</f>
        <v>1.4441509453986801E-2</v>
      </c>
      <c r="S72">
        <f t="shared" si="15"/>
        <v>3.0146975188233846E-3</v>
      </c>
    </row>
    <row r="73" spans="1:19" x14ac:dyDescent="0.35">
      <c r="A73" s="6" t="s">
        <v>161</v>
      </c>
      <c r="B73" s="48">
        <f t="shared" si="8"/>
        <v>0</v>
      </c>
      <c r="C73">
        <f t="shared" si="9"/>
        <v>0</v>
      </c>
      <c r="D73" t="e">
        <f t="shared" si="10"/>
        <v>#DIV/0!</v>
      </c>
      <c r="E73">
        <f>Calculation_TFP!$F71</f>
        <v>1.1219634864695431</v>
      </c>
      <c r="F73">
        <f>Calculation_TFP!$H71</f>
        <v>1.3163211845516559E-2</v>
      </c>
      <c r="G73" s="2">
        <f>CurrConsumption_Ref!$I73</f>
        <v>1.1219634864695431E-2</v>
      </c>
      <c r="H73" s="2">
        <f>CurrConsumption_Ref!$J73</f>
        <v>1.1219634864695431</v>
      </c>
      <c r="I73" s="2">
        <f>CurrConsumption_Ref!L73</f>
        <v>1.3163211845516559E-2</v>
      </c>
      <c r="J73">
        <f t="shared" si="11"/>
        <v>2.7478500233554339E-3</v>
      </c>
      <c r="K73">
        <f t="shared" si="12"/>
        <v>1.2588020649708926</v>
      </c>
      <c r="L73">
        <f t="shared" si="13"/>
        <v>3.4589992836301358E-3</v>
      </c>
      <c r="M73">
        <f t="shared" si="14"/>
        <v>7.7236093937325004E-5</v>
      </c>
      <c r="N73">
        <f>TFPConsumption_Ref!$J73</f>
        <v>0</v>
      </c>
      <c r="O73">
        <f>TFPConsumption_Ref!$L73</f>
        <v>0</v>
      </c>
      <c r="P73">
        <f>CurrConsumption_Ref!$I73</f>
        <v>1.1219634864695431E-2</v>
      </c>
      <c r="Q73">
        <f>CurrConsumption_Ref!$J73</f>
        <v>1.1219634864695431</v>
      </c>
      <c r="R73">
        <f>CurrConsumption_Ref!$L73</f>
        <v>1.3163211845516559E-2</v>
      </c>
      <c r="S73">
        <f t="shared" si="15"/>
        <v>2.7478500233554339E-3</v>
      </c>
    </row>
    <row r="74" spans="1:19" x14ac:dyDescent="0.35">
      <c r="A74" s="6" t="s">
        <v>163</v>
      </c>
      <c r="B74" s="48">
        <f t="shared" si="8"/>
        <v>0</v>
      </c>
      <c r="C74">
        <f t="shared" si="9"/>
        <v>0</v>
      </c>
      <c r="D74" t="e">
        <f t="shared" si="10"/>
        <v>#DIV/0!</v>
      </c>
      <c r="E74">
        <f>Calculation_TFP!$F72</f>
        <v>4.4584363979849844</v>
      </c>
      <c r="F74">
        <f>Calculation_TFP!$H72</f>
        <v>6.9344638554400387E-2</v>
      </c>
      <c r="G74" s="2">
        <f>CurrConsumption_Ref!$I74</f>
        <v>4.4584363979849842E-2</v>
      </c>
      <c r="H74" s="2">
        <f>CurrConsumption_Ref!$J74</f>
        <v>4.4584363979849844</v>
      </c>
      <c r="I74" s="2">
        <f>CurrConsumption_Ref!L74</f>
        <v>6.9344638554400387E-2</v>
      </c>
      <c r="J74">
        <f t="shared" si="11"/>
        <v>1.4475848972694674E-2</v>
      </c>
      <c r="K74">
        <f t="shared" si="12"/>
        <v>19.877655114877321</v>
      </c>
      <c r="L74">
        <f t="shared" si="13"/>
        <v>0.2877459333742759</v>
      </c>
      <c r="M74">
        <f t="shared" si="14"/>
        <v>6.4250871763277427E-3</v>
      </c>
      <c r="N74">
        <f>TFPConsumption_Ref!$J74</f>
        <v>0</v>
      </c>
      <c r="O74">
        <f>TFPConsumption_Ref!$L74</f>
        <v>0</v>
      </c>
      <c r="P74">
        <f>CurrConsumption_Ref!$I74</f>
        <v>4.4584363979849842E-2</v>
      </c>
      <c r="Q74">
        <f>CurrConsumption_Ref!$J74</f>
        <v>4.4584363979849844</v>
      </c>
      <c r="R74">
        <f>CurrConsumption_Ref!$L74</f>
        <v>6.9344638554400387E-2</v>
      </c>
      <c r="S74">
        <f t="shared" si="15"/>
        <v>1.4475848972694674E-2</v>
      </c>
    </row>
    <row r="75" spans="1:19" x14ac:dyDescent="0.35">
      <c r="A75" s="6" t="s">
        <v>165</v>
      </c>
      <c r="B75" s="48">
        <f t="shared" si="8"/>
        <v>0</v>
      </c>
      <c r="C75">
        <f t="shared" si="9"/>
        <v>0</v>
      </c>
      <c r="D75" t="e">
        <f t="shared" si="10"/>
        <v>#DIV/0!</v>
      </c>
      <c r="E75">
        <f>Calculation_TFP!$F73</f>
        <v>3.152899664279269</v>
      </c>
      <c r="F75">
        <f>Calculation_TFP!$H73</f>
        <v>1.8780371517691512E-2</v>
      </c>
      <c r="G75" s="2">
        <f>CurrConsumption_Ref!$I75</f>
        <v>3.1528996642792691E-2</v>
      </c>
      <c r="H75" s="2">
        <f>CurrConsumption_Ref!$J75</f>
        <v>3.152899664279269</v>
      </c>
      <c r="I75" s="2">
        <f>CurrConsumption_Ref!L75</f>
        <v>1.8780371517691512E-2</v>
      </c>
      <c r="J75">
        <f t="shared" si="11"/>
        <v>3.9204447151011575E-3</v>
      </c>
      <c r="K75">
        <f t="shared" si="12"/>
        <v>1014.5870878297021</v>
      </c>
      <c r="L75">
        <f t="shared" si="13"/>
        <v>3.9776325864918296</v>
      </c>
      <c r="M75">
        <f t="shared" si="14"/>
        <v>8.8816671790701088E-2</v>
      </c>
      <c r="N75">
        <f>TFPConsumption_Ref!$J75</f>
        <v>35.005483355868591</v>
      </c>
      <c r="O75">
        <f>TFPConsumption_Ref!$L75</f>
        <v>0.2085115457455762</v>
      </c>
      <c r="P75">
        <f>CurrConsumption_Ref!$I75</f>
        <v>3.1528996642792691E-2</v>
      </c>
      <c r="Q75">
        <f>CurrConsumption_Ref!$J75</f>
        <v>3.152899664279269</v>
      </c>
      <c r="R75">
        <f>CurrConsumption_Ref!$L75</f>
        <v>1.8780371517691512E-2</v>
      </c>
      <c r="S75">
        <f t="shared" si="15"/>
        <v>3.9204447151011575E-3</v>
      </c>
    </row>
    <row r="76" spans="1:19" x14ac:dyDescent="0.35">
      <c r="A76" s="6" t="s">
        <v>167</v>
      </c>
      <c r="B76" s="48">
        <f t="shared" si="8"/>
        <v>0</v>
      </c>
      <c r="C76">
        <f t="shared" si="9"/>
        <v>0</v>
      </c>
      <c r="D76" t="e">
        <f t="shared" si="10"/>
        <v>#DIV/0!</v>
      </c>
      <c r="E76">
        <f>Calculation_TFP!$F74</f>
        <v>2.2652215044268638</v>
      </c>
      <c r="F76">
        <f>Calculation_TFP!$H74</f>
        <v>1.90985915179008E-2</v>
      </c>
      <c r="G76" s="2">
        <f>CurrConsumption_Ref!$I76</f>
        <v>2.2652215044268637E-2</v>
      </c>
      <c r="H76" s="2">
        <f>CurrConsumption_Ref!$J76</f>
        <v>2.2652215044268638</v>
      </c>
      <c r="I76" s="2">
        <f>CurrConsumption_Ref!L76</f>
        <v>1.90985915179008E-2</v>
      </c>
      <c r="J76">
        <f t="shared" si="11"/>
        <v>3.9868738545292444E-3</v>
      </c>
      <c r="K76">
        <f t="shared" si="12"/>
        <v>5.1312284641179042</v>
      </c>
      <c r="L76">
        <f t="shared" si="13"/>
        <v>2.0457560605207925E-2</v>
      </c>
      <c r="M76">
        <f t="shared" si="14"/>
        <v>4.5679745587403589E-4</v>
      </c>
      <c r="N76">
        <f>TFPConsumption_Ref!$J76</f>
        <v>0</v>
      </c>
      <c r="O76">
        <f>TFPConsumption_Ref!$L76</f>
        <v>0</v>
      </c>
      <c r="P76">
        <f>CurrConsumption_Ref!$I76</f>
        <v>2.2652215044268637E-2</v>
      </c>
      <c r="Q76">
        <f>CurrConsumption_Ref!$J76</f>
        <v>2.2652215044268638</v>
      </c>
      <c r="R76">
        <f>CurrConsumption_Ref!$L76</f>
        <v>1.90985915179008E-2</v>
      </c>
      <c r="S76">
        <f t="shared" si="15"/>
        <v>3.9868738545292444E-3</v>
      </c>
    </row>
    <row r="77" spans="1:19" x14ac:dyDescent="0.35">
      <c r="A77" s="6" t="s">
        <v>169</v>
      </c>
      <c r="B77" s="48">
        <f t="shared" si="8"/>
        <v>0</v>
      </c>
      <c r="C77">
        <f t="shared" si="9"/>
        <v>0</v>
      </c>
      <c r="D77" t="e">
        <f t="shared" si="10"/>
        <v>#DIV/0!</v>
      </c>
      <c r="E77">
        <f>Calculation_TFP!$F75</f>
        <v>11.430394203512076</v>
      </c>
      <c r="F77">
        <f>Calculation_TFP!$H75</f>
        <v>0.11763634595421514</v>
      </c>
      <c r="G77" s="2">
        <f>CurrConsumption_Ref!$I77</f>
        <v>0.11430394203512076</v>
      </c>
      <c r="H77" s="2">
        <f>CurrConsumption_Ref!$J77</f>
        <v>11.430394203512076</v>
      </c>
      <c r="I77" s="2">
        <f>CurrConsumption_Ref!L77</f>
        <v>0.11763634595421514</v>
      </c>
      <c r="J77">
        <f t="shared" si="11"/>
        <v>2.4556851304329438E-2</v>
      </c>
      <c r="K77">
        <f t="shared" si="12"/>
        <v>130.65391164768246</v>
      </c>
      <c r="L77">
        <f t="shared" si="13"/>
        <v>3.2084486806611343</v>
      </c>
      <c r="M77">
        <f t="shared" si="14"/>
        <v>7.1641542357465102E-2</v>
      </c>
      <c r="N77">
        <f>TFPConsumption_Ref!$J77</f>
        <v>0</v>
      </c>
      <c r="O77">
        <f>TFPConsumption_Ref!$L77</f>
        <v>0</v>
      </c>
      <c r="P77">
        <f>CurrConsumption_Ref!$I77</f>
        <v>0.11430394203512076</v>
      </c>
      <c r="Q77">
        <f>CurrConsumption_Ref!$J77</f>
        <v>11.430394203512076</v>
      </c>
      <c r="R77">
        <f>CurrConsumption_Ref!$L77</f>
        <v>0.11763634595421514</v>
      </c>
      <c r="S77">
        <f t="shared" si="15"/>
        <v>2.4556851304329438E-2</v>
      </c>
    </row>
    <row r="78" spans="1:19" x14ac:dyDescent="0.35">
      <c r="A78" s="6" t="s">
        <v>171</v>
      </c>
      <c r="B78" s="48">
        <f t="shared" si="8"/>
        <v>0</v>
      </c>
      <c r="C78">
        <f t="shared" si="9"/>
        <v>0</v>
      </c>
      <c r="D78" t="e">
        <f t="shared" si="10"/>
        <v>#DIV/0!</v>
      </c>
      <c r="E78">
        <f>Calculation_TFP!$F76</f>
        <v>2.2495263463674831</v>
      </c>
      <c r="F78">
        <f>Calculation_TFP!$H76</f>
        <v>3.5338656474098624E-2</v>
      </c>
      <c r="G78" s="2">
        <f>CurrConsumption_Ref!$I78</f>
        <v>2.2495263463674833E-2</v>
      </c>
      <c r="H78" s="2">
        <f>CurrConsumption_Ref!$J78</f>
        <v>2.2495263463674831</v>
      </c>
      <c r="I78" s="2">
        <f>CurrConsumption_Ref!L78</f>
        <v>3.5338656474098624E-2</v>
      </c>
      <c r="J78">
        <f t="shared" si="11"/>
        <v>7.3770238720860535E-3</v>
      </c>
      <c r="K78">
        <f t="shared" si="12"/>
        <v>5.0603687830014374</v>
      </c>
      <c r="L78">
        <f t="shared" si="13"/>
        <v>3.7330461313760652E-2</v>
      </c>
      <c r="M78">
        <f t="shared" si="14"/>
        <v>8.3355293838840712E-4</v>
      </c>
      <c r="N78">
        <f>TFPConsumption_Ref!$J78</f>
        <v>0</v>
      </c>
      <c r="O78">
        <f>TFPConsumption_Ref!$L78</f>
        <v>0</v>
      </c>
      <c r="P78">
        <f>CurrConsumption_Ref!$I78</f>
        <v>2.2495263463674833E-2</v>
      </c>
      <c r="Q78">
        <f>CurrConsumption_Ref!$J78</f>
        <v>2.2495263463674831</v>
      </c>
      <c r="R78">
        <f>CurrConsumption_Ref!$L78</f>
        <v>3.5338656474098624E-2</v>
      </c>
      <c r="S78">
        <f t="shared" si="15"/>
        <v>7.3770238720860535E-3</v>
      </c>
    </row>
    <row r="79" spans="1:19" x14ac:dyDescent="0.35">
      <c r="A79" s="6" t="s">
        <v>172</v>
      </c>
      <c r="B79" s="48">
        <f t="shared" si="8"/>
        <v>0</v>
      </c>
      <c r="C79">
        <f t="shared" si="9"/>
        <v>0</v>
      </c>
      <c r="D79" t="e">
        <f t="shared" si="10"/>
        <v>#DIV/0!</v>
      </c>
      <c r="E79">
        <f>Calculation_TFP!$F77</f>
        <v>2.5137569513560818</v>
      </c>
      <c r="F79">
        <f>Calculation_TFP!$H77</f>
        <v>1.8775213777072676E-2</v>
      </c>
      <c r="G79" s="2">
        <f>CurrConsumption_Ref!$I79</f>
        <v>2.5137569513560817E-2</v>
      </c>
      <c r="H79" s="2">
        <f>CurrConsumption_Ref!$J79</f>
        <v>2.5137569513560818</v>
      </c>
      <c r="I79" s="2">
        <f>CurrConsumption_Ref!L79</f>
        <v>1.8775213777072676E-2</v>
      </c>
      <c r="J79">
        <f t="shared" si="11"/>
        <v>3.9193680251681639E-3</v>
      </c>
      <c r="K79">
        <f t="shared" si="12"/>
        <v>7586.3855358672172</v>
      </c>
      <c r="L79">
        <f t="shared" si="13"/>
        <v>29.733836895876216</v>
      </c>
      <c r="M79">
        <f t="shared" si="14"/>
        <v>0.66392769448533906</v>
      </c>
      <c r="N79">
        <f>TFPConsumption_Ref!$J79</f>
        <v>89.613616514200487</v>
      </c>
      <c r="O79">
        <f>TFPConsumption_Ref!$L79</f>
        <v>0.66932278654985644</v>
      </c>
      <c r="P79">
        <f>CurrConsumption_Ref!$I79</f>
        <v>2.5137569513560817E-2</v>
      </c>
      <c r="Q79">
        <f>CurrConsumption_Ref!$J79</f>
        <v>2.5137569513560818</v>
      </c>
      <c r="R79">
        <f>CurrConsumption_Ref!$L79</f>
        <v>1.8775213777072676E-2</v>
      </c>
      <c r="S79">
        <f t="shared" si="15"/>
        <v>3.9193680251681639E-3</v>
      </c>
    </row>
    <row r="80" spans="1:19" x14ac:dyDescent="0.35">
      <c r="A80" s="6" t="s">
        <v>173</v>
      </c>
      <c r="B80" s="48">
        <f t="shared" si="8"/>
        <v>0</v>
      </c>
      <c r="C80">
        <f t="shared" si="9"/>
        <v>0</v>
      </c>
      <c r="D80" t="e">
        <f t="shared" si="10"/>
        <v>#DIV/0!</v>
      </c>
      <c r="E80">
        <f>Calculation_TFP!$F78</f>
        <v>15.872199547378946</v>
      </c>
      <c r="F80">
        <f>Calculation_TFP!$H78</f>
        <v>0.1391151450366957</v>
      </c>
      <c r="G80" s="2">
        <f>CurrConsumption_Ref!$I80</f>
        <v>0.15872199547378946</v>
      </c>
      <c r="H80" s="2">
        <f>CurrConsumption_Ref!$J80</f>
        <v>15.872199547378946</v>
      </c>
      <c r="I80" s="2">
        <f>CurrConsumption_Ref!L80</f>
        <v>0.1391151450366957</v>
      </c>
      <c r="J80">
        <f t="shared" si="11"/>
        <v>2.9040598831384809E-2</v>
      </c>
      <c r="K80">
        <f t="shared" si="12"/>
        <v>6.353548694116518</v>
      </c>
      <c r="L80">
        <f t="shared" si="13"/>
        <v>0.18451085878150664</v>
      </c>
      <c r="M80">
        <f t="shared" si="14"/>
        <v>4.1199482430505103E-3</v>
      </c>
      <c r="N80">
        <f>TFPConsumption_Ref!$J80</f>
        <v>18.392824210853561</v>
      </c>
      <c r="O80">
        <f>TFPConsumption_Ref!$L80</f>
        <v>0.16120767635824457</v>
      </c>
      <c r="P80">
        <f>CurrConsumption_Ref!$I80</f>
        <v>0.15872199547378946</v>
      </c>
      <c r="Q80">
        <f>CurrConsumption_Ref!$J80</f>
        <v>15.872199547378946</v>
      </c>
      <c r="R80">
        <f>CurrConsumption_Ref!$L80</f>
        <v>0.1391151450366957</v>
      </c>
      <c r="S80">
        <f t="shared" si="15"/>
        <v>2.9040598831384809E-2</v>
      </c>
    </row>
    <row r="81" spans="1:19" x14ac:dyDescent="0.35">
      <c r="A81" s="6" t="s">
        <v>175</v>
      </c>
      <c r="B81" s="48">
        <f t="shared" si="8"/>
        <v>0</v>
      </c>
      <c r="C81">
        <f t="shared" si="9"/>
        <v>0</v>
      </c>
      <c r="D81" t="e">
        <f t="shared" si="10"/>
        <v>#DIV/0!</v>
      </c>
      <c r="E81">
        <f>Calculation_TFP!$F79</f>
        <v>2.8119000635276952</v>
      </c>
      <c r="F81">
        <f>Calculation_TFP!$H79</f>
        <v>3.5855603463958247E-2</v>
      </c>
      <c r="G81" s="2">
        <f>CurrConsumption_Ref!$I81</f>
        <v>2.8119000635276951E-2</v>
      </c>
      <c r="H81" s="2">
        <f>CurrConsumption_Ref!$J81</f>
        <v>2.8119000635276952</v>
      </c>
      <c r="I81" s="2">
        <f>CurrConsumption_Ref!L81</f>
        <v>3.5855603463958247E-2</v>
      </c>
      <c r="J81">
        <f t="shared" si="11"/>
        <v>7.4849377167335593E-3</v>
      </c>
      <c r="K81">
        <f t="shared" si="12"/>
        <v>7.9067819672670563</v>
      </c>
      <c r="L81">
        <f t="shared" si="13"/>
        <v>5.9181770564785963E-2</v>
      </c>
      <c r="M81">
        <f t="shared" si="14"/>
        <v>1.3214714476384348E-3</v>
      </c>
      <c r="N81">
        <f>TFPConsumption_Ref!$J81</f>
        <v>0</v>
      </c>
      <c r="O81">
        <f>TFPConsumption_Ref!$L81</f>
        <v>0</v>
      </c>
      <c r="P81">
        <f>CurrConsumption_Ref!$I81</f>
        <v>2.8119000635276951E-2</v>
      </c>
      <c r="Q81">
        <f>CurrConsumption_Ref!$J81</f>
        <v>2.8119000635276952</v>
      </c>
      <c r="R81">
        <f>CurrConsumption_Ref!$L81</f>
        <v>3.5855603463958247E-2</v>
      </c>
      <c r="S81">
        <f t="shared" si="15"/>
        <v>7.4849377167335593E-3</v>
      </c>
    </row>
    <row r="82" spans="1:19" x14ac:dyDescent="0.35">
      <c r="A82" s="6" t="s">
        <v>177</v>
      </c>
      <c r="B82" s="48">
        <f t="shared" si="8"/>
        <v>0</v>
      </c>
      <c r="C82">
        <f t="shared" si="9"/>
        <v>0</v>
      </c>
      <c r="D82" t="e">
        <f t="shared" si="10"/>
        <v>#DIV/0!</v>
      </c>
      <c r="E82">
        <f>Calculation_TFP!$F80</f>
        <v>8.700402167962519</v>
      </c>
      <c r="F82">
        <f>Calculation_TFP!$H80</f>
        <v>9.9209337900801595E-2</v>
      </c>
      <c r="G82" s="2">
        <f>CurrConsumption_Ref!$I82</f>
        <v>8.700402167962519E-2</v>
      </c>
      <c r="H82" s="2">
        <f>CurrConsumption_Ref!$J82</f>
        <v>8.700402167962519</v>
      </c>
      <c r="I82" s="2">
        <f>CurrConsumption_Ref!L82</f>
        <v>9.9209337900801595E-2</v>
      </c>
      <c r="J82">
        <f t="shared" si="11"/>
        <v>2.0710172005675626E-2</v>
      </c>
      <c r="K82">
        <f t="shared" si="12"/>
        <v>1056.5663072193242</v>
      </c>
      <c r="L82">
        <f t="shared" si="13"/>
        <v>21.881669957913722</v>
      </c>
      <c r="M82">
        <f t="shared" si="14"/>
        <v>0.48859643434250588</v>
      </c>
      <c r="N82">
        <f>TFPConsumption_Ref!$J82</f>
        <v>41.205268068613826</v>
      </c>
      <c r="O82">
        <f>TFPConsumption_Ref!$L82</f>
        <v>0.46985728753611683</v>
      </c>
      <c r="P82">
        <f>CurrConsumption_Ref!$I82</f>
        <v>8.700402167962519E-2</v>
      </c>
      <c r="Q82">
        <f>CurrConsumption_Ref!$J82</f>
        <v>8.700402167962519</v>
      </c>
      <c r="R82">
        <f>CurrConsumption_Ref!$L82</f>
        <v>9.9209337900801595E-2</v>
      </c>
      <c r="S82">
        <f t="shared" si="15"/>
        <v>2.0710172005675626E-2</v>
      </c>
    </row>
    <row r="83" spans="1:19" x14ac:dyDescent="0.35">
      <c r="A83" s="6" t="s">
        <v>179</v>
      </c>
      <c r="B83" s="48">
        <f t="shared" si="8"/>
        <v>0</v>
      </c>
      <c r="C83">
        <f t="shared" si="9"/>
        <v>0</v>
      </c>
      <c r="D83" t="e">
        <f t="shared" si="10"/>
        <v>#DIV/0!</v>
      </c>
      <c r="E83">
        <f>Calculation_TFP!$F81</f>
        <v>12.472397967481603</v>
      </c>
      <c r="F83">
        <f>Calculation_TFP!$H81</f>
        <v>0.25987151419081245</v>
      </c>
      <c r="G83" s="2">
        <f>CurrConsumption_Ref!$I83</f>
        <v>0.12472397967481604</v>
      </c>
      <c r="H83" s="2">
        <f>CurrConsumption_Ref!$J83</f>
        <v>12.472397967481603</v>
      </c>
      <c r="I83" s="2">
        <f>CurrConsumption_Ref!L83</f>
        <v>0.25987151419081245</v>
      </c>
      <c r="J83">
        <f t="shared" si="11"/>
        <v>5.4248761982954571E-2</v>
      </c>
      <c r="K83">
        <f t="shared" si="12"/>
        <v>155.56071105923922</v>
      </c>
      <c r="L83">
        <f t="shared" si="13"/>
        <v>8.4389759881518369</v>
      </c>
      <c r="M83">
        <f t="shared" si="14"/>
        <v>0.18843413620822835</v>
      </c>
      <c r="N83">
        <f>TFPConsumption_Ref!$J83</f>
        <v>0</v>
      </c>
      <c r="O83">
        <f>TFPConsumption_Ref!$L83</f>
        <v>0</v>
      </c>
      <c r="P83">
        <f>CurrConsumption_Ref!$I83</f>
        <v>0.12472397967481604</v>
      </c>
      <c r="Q83">
        <f>CurrConsumption_Ref!$J83</f>
        <v>12.472397967481603</v>
      </c>
      <c r="R83">
        <f>CurrConsumption_Ref!$L83</f>
        <v>0.25987151419081245</v>
      </c>
      <c r="S83">
        <f t="shared" si="15"/>
        <v>5.4248761982954571E-2</v>
      </c>
    </row>
    <row r="84" spans="1:19" x14ac:dyDescent="0.35">
      <c r="A84" s="6" t="s">
        <v>180</v>
      </c>
      <c r="B84" s="48">
        <f t="shared" si="8"/>
        <v>0</v>
      </c>
      <c r="C84">
        <f t="shared" si="9"/>
        <v>0</v>
      </c>
      <c r="D84" t="e">
        <f t="shared" si="10"/>
        <v>#DIV/0!</v>
      </c>
      <c r="E84">
        <f>Calculation_TFP!$F82</f>
        <v>23.654498770083414</v>
      </c>
      <c r="F84">
        <f>Calculation_TFP!$H82</f>
        <v>0.21212579211285584</v>
      </c>
      <c r="G84" s="2">
        <f>CurrConsumption_Ref!$I84</f>
        <v>0.23654498770083413</v>
      </c>
      <c r="H84" s="2">
        <f>CurrConsumption_Ref!$J84</f>
        <v>23.654498770083414</v>
      </c>
      <c r="I84" s="2">
        <f>CurrConsumption_Ref!L84</f>
        <v>0.21212579211285584</v>
      </c>
      <c r="J84">
        <f t="shared" si="11"/>
        <v>4.4281735312961285E-2</v>
      </c>
      <c r="K84">
        <f t="shared" si="12"/>
        <v>559.53531206387777</v>
      </c>
      <c r="L84">
        <f t="shared" si="13"/>
        <v>24.777194587067829</v>
      </c>
      <c r="M84">
        <f t="shared" si="14"/>
        <v>0.5532506866037209</v>
      </c>
      <c r="N84">
        <f>TFPConsumption_Ref!$J84</f>
        <v>0</v>
      </c>
      <c r="O84">
        <f>TFPConsumption_Ref!$L84</f>
        <v>0</v>
      </c>
      <c r="P84">
        <f>CurrConsumption_Ref!$I84</f>
        <v>0.23654498770083413</v>
      </c>
      <c r="Q84">
        <f>CurrConsumption_Ref!$J84</f>
        <v>23.654498770083414</v>
      </c>
      <c r="R84">
        <f>CurrConsumption_Ref!$L84</f>
        <v>0.21212579211285584</v>
      </c>
      <c r="S84">
        <f t="shared" si="15"/>
        <v>4.4281735312961285E-2</v>
      </c>
    </row>
    <row r="85" spans="1:19" x14ac:dyDescent="0.35">
      <c r="A85" s="6" t="s">
        <v>182</v>
      </c>
      <c r="B85" s="48">
        <f t="shared" si="8"/>
        <v>0</v>
      </c>
      <c r="C85">
        <f t="shared" si="9"/>
        <v>0</v>
      </c>
      <c r="D85" t="e">
        <f t="shared" si="10"/>
        <v>#DIV/0!</v>
      </c>
      <c r="E85">
        <f>Calculation_TFP!$F83</f>
        <v>3.9974999596586369</v>
      </c>
      <c r="F85">
        <f>Calculation_TFP!$H83</f>
        <v>6.1184682844000311E-2</v>
      </c>
      <c r="G85" s="2">
        <f>CurrConsumption_Ref!$I85</f>
        <v>3.9974999596586368E-2</v>
      </c>
      <c r="H85" s="2">
        <f>CurrConsumption_Ref!$J85</f>
        <v>3.9974999596586369</v>
      </c>
      <c r="I85" s="2">
        <f>CurrConsumption_Ref!L85</f>
        <v>6.1184682844000311E-2</v>
      </c>
      <c r="J85">
        <f t="shared" si="11"/>
        <v>1.2772439899548191E-2</v>
      </c>
      <c r="K85">
        <f t="shared" si="12"/>
        <v>0.83333964163883156</v>
      </c>
      <c r="L85">
        <f t="shared" si="13"/>
        <v>1.0643780488743003E-2</v>
      </c>
      <c r="M85">
        <f t="shared" si="14"/>
        <v>2.3766527896301393E-4</v>
      </c>
      <c r="N85">
        <f>TFPConsumption_Ref!$J85</f>
        <v>4.9103743440285958</v>
      </c>
      <c r="O85">
        <f>TFPConsumption_Ref!$L85</f>
        <v>7.5156898040434628E-2</v>
      </c>
      <c r="P85">
        <f>CurrConsumption_Ref!$I85</f>
        <v>3.9974999596586368E-2</v>
      </c>
      <c r="Q85">
        <f>CurrConsumption_Ref!$J85</f>
        <v>3.9974999596586369</v>
      </c>
      <c r="R85">
        <f>CurrConsumption_Ref!$L85</f>
        <v>6.1184682844000311E-2</v>
      </c>
      <c r="S85">
        <f t="shared" si="15"/>
        <v>1.2772439899548191E-2</v>
      </c>
    </row>
    <row r="86" spans="1:19" x14ac:dyDescent="0.35">
      <c r="A86" s="6" t="s">
        <v>184</v>
      </c>
      <c r="B86" s="48">
        <f t="shared" si="8"/>
        <v>0</v>
      </c>
      <c r="C86">
        <f t="shared" si="9"/>
        <v>0</v>
      </c>
      <c r="D86" t="e">
        <f t="shared" si="10"/>
        <v>#DIV/0!</v>
      </c>
      <c r="E86">
        <f>Calculation_TFP!$F84</f>
        <v>6.5582001804436878</v>
      </c>
      <c r="F86">
        <f>Calculation_TFP!$H84</f>
        <v>7.9456068181413111E-2</v>
      </c>
      <c r="G86" s="2">
        <f>CurrConsumption_Ref!$I86</f>
        <v>6.5582001804436879E-2</v>
      </c>
      <c r="H86" s="2">
        <f>CurrConsumption_Ref!$J86</f>
        <v>6.5582001804436878</v>
      </c>
      <c r="I86" s="2">
        <f>CurrConsumption_Ref!L86</f>
        <v>7.9456068181413111E-2</v>
      </c>
      <c r="J86">
        <f t="shared" si="11"/>
        <v>1.6586632606873389E-2</v>
      </c>
      <c r="K86">
        <f t="shared" si="12"/>
        <v>43.009989606771619</v>
      </c>
      <c r="L86">
        <f t="shared" si="13"/>
        <v>0.71339089603296368</v>
      </c>
      <c r="M86">
        <f t="shared" si="14"/>
        <v>1.5929325721689314E-2</v>
      </c>
      <c r="N86">
        <f>TFPConsumption_Ref!$J86</f>
        <v>0</v>
      </c>
      <c r="O86">
        <f>TFPConsumption_Ref!$L86</f>
        <v>0</v>
      </c>
      <c r="P86">
        <f>CurrConsumption_Ref!$I86</f>
        <v>6.5582001804436879E-2</v>
      </c>
      <c r="Q86">
        <f>CurrConsumption_Ref!$J86</f>
        <v>6.5582001804436878</v>
      </c>
      <c r="R86">
        <f>CurrConsumption_Ref!$L86</f>
        <v>7.9456068181413111E-2</v>
      </c>
      <c r="S86">
        <f t="shared" si="15"/>
        <v>1.6586632606873389E-2</v>
      </c>
    </row>
    <row r="87" spans="1:19" x14ac:dyDescent="0.35">
      <c r="A87" s="6" t="s">
        <v>186</v>
      </c>
      <c r="B87" s="48">
        <f t="shared" si="8"/>
        <v>0</v>
      </c>
      <c r="C87">
        <f t="shared" si="9"/>
        <v>0</v>
      </c>
      <c r="D87" t="e">
        <f t="shared" si="10"/>
        <v>#DIV/0!</v>
      </c>
      <c r="E87">
        <f>Calculation_TFP!$F85</f>
        <v>6.4630000067278912</v>
      </c>
      <c r="F87">
        <f>Calculation_TFP!$H85</f>
        <v>7.282501354527178E-2</v>
      </c>
      <c r="G87" s="2">
        <f>CurrConsumption_Ref!$I87</f>
        <v>6.4630000067278912E-2</v>
      </c>
      <c r="H87" s="2">
        <f>CurrConsumption_Ref!$J87</f>
        <v>6.4630000067278912</v>
      </c>
      <c r="I87" s="2">
        <f>CurrConsumption_Ref!L87</f>
        <v>7.282501354527178E-2</v>
      </c>
      <c r="J87">
        <f t="shared" si="11"/>
        <v>1.5202385065267629E-2</v>
      </c>
      <c r="K87">
        <f t="shared" si="12"/>
        <v>3.4627853079714415</v>
      </c>
      <c r="L87">
        <f t="shared" si="13"/>
        <v>5.2642595650133205E-2</v>
      </c>
      <c r="M87">
        <f t="shared" si="14"/>
        <v>1.1754580239378462E-3</v>
      </c>
      <c r="N87">
        <f>TFPConsumption_Ref!$J87</f>
        <v>8.3238560753080062</v>
      </c>
      <c r="O87">
        <f>TFPConsumption_Ref!$L87</f>
        <v>9.3793119418562332E-2</v>
      </c>
      <c r="P87">
        <f>CurrConsumption_Ref!$I87</f>
        <v>6.4630000067278912E-2</v>
      </c>
      <c r="Q87">
        <f>CurrConsumption_Ref!$J87</f>
        <v>6.4630000067278912</v>
      </c>
      <c r="R87">
        <f>CurrConsumption_Ref!$L87</f>
        <v>7.282501354527178E-2</v>
      </c>
      <c r="S87">
        <f t="shared" si="15"/>
        <v>1.5202385065267629E-2</v>
      </c>
    </row>
    <row r="88" spans="1:19" x14ac:dyDescent="0.35">
      <c r="A88" s="6" t="s">
        <v>188</v>
      </c>
      <c r="B88" s="48">
        <f t="shared" si="8"/>
        <v>0</v>
      </c>
      <c r="C88">
        <f t="shared" si="9"/>
        <v>0</v>
      </c>
      <c r="D88" t="e">
        <f t="shared" si="10"/>
        <v>#DIV/0!</v>
      </c>
      <c r="E88">
        <f>Calculation_TFP!$F86</f>
        <v>0.25953698461930697</v>
      </c>
      <c r="F88">
        <f>Calculation_TFP!$H86</f>
        <v>2.9733975610711691E-3</v>
      </c>
      <c r="G88" s="2">
        <f>CurrConsumption_Ref!$I88</f>
        <v>2.5953698461930698E-3</v>
      </c>
      <c r="H88" s="2">
        <f>CurrConsumption_Ref!$J88</f>
        <v>0.25953698461930697</v>
      </c>
      <c r="I88" s="2">
        <f>CurrConsumption_Ref!L88</f>
        <v>2.9733975610711691E-3</v>
      </c>
      <c r="J88">
        <f t="shared" si="11"/>
        <v>6.2070341596889898E-4</v>
      </c>
      <c r="K88">
        <f t="shared" si="12"/>
        <v>6.7359446385282379E-2</v>
      </c>
      <c r="L88">
        <f t="shared" si="13"/>
        <v>4.181023846911868E-5</v>
      </c>
      <c r="M88">
        <f t="shared" si="14"/>
        <v>9.3358201061949344E-7</v>
      </c>
      <c r="N88">
        <f>TFPConsumption_Ref!$J88</f>
        <v>0</v>
      </c>
      <c r="O88">
        <f>TFPConsumption_Ref!$L88</f>
        <v>0</v>
      </c>
      <c r="P88">
        <f>CurrConsumption_Ref!$I88</f>
        <v>2.5953698461930698E-3</v>
      </c>
      <c r="Q88">
        <f>CurrConsumption_Ref!$J88</f>
        <v>0.25953698461930697</v>
      </c>
      <c r="R88">
        <f>CurrConsumption_Ref!$L88</f>
        <v>2.9733975610711691E-3</v>
      </c>
      <c r="S88">
        <f t="shared" si="15"/>
        <v>6.2070341596889898E-4</v>
      </c>
    </row>
    <row r="89" spans="1:19" x14ac:dyDescent="0.35">
      <c r="A89" s="6" t="s">
        <v>190</v>
      </c>
      <c r="B89" s="48">
        <f t="shared" si="8"/>
        <v>0</v>
      </c>
      <c r="C89">
        <f t="shared" si="9"/>
        <v>0</v>
      </c>
      <c r="D89" t="e">
        <f t="shared" si="10"/>
        <v>#DIV/0!</v>
      </c>
      <c r="E89">
        <f>Calculation_TFP!$F87</f>
        <v>2.1303631438341393</v>
      </c>
      <c r="F89">
        <f>Calculation_TFP!$H87</f>
        <v>1.9007527812691844E-2</v>
      </c>
      <c r="G89" s="2">
        <f>CurrConsumption_Ref!$I89</f>
        <v>2.1303631438341394E-2</v>
      </c>
      <c r="H89" s="2">
        <f>CurrConsumption_Ref!$J89</f>
        <v>2.1303631438341393</v>
      </c>
      <c r="I89" s="2">
        <f>CurrConsumption_Ref!L89</f>
        <v>1.9007527812691844E-2</v>
      </c>
      <c r="J89">
        <f t="shared" si="11"/>
        <v>3.9678641016344376E-3</v>
      </c>
      <c r="K89">
        <f t="shared" si="12"/>
        <v>4.5384471246068774</v>
      </c>
      <c r="L89">
        <f t="shared" si="13"/>
        <v>1.8007941422893664E-2</v>
      </c>
      <c r="M89">
        <f t="shared" si="14"/>
        <v>4.0209983908894714E-4</v>
      </c>
      <c r="N89">
        <f>TFPConsumption_Ref!$J89</f>
        <v>0</v>
      </c>
      <c r="O89">
        <f>TFPConsumption_Ref!$L89</f>
        <v>0</v>
      </c>
      <c r="P89">
        <f>CurrConsumption_Ref!$I89</f>
        <v>2.1303631438341394E-2</v>
      </c>
      <c r="Q89">
        <f>CurrConsumption_Ref!$J89</f>
        <v>2.1303631438341393</v>
      </c>
      <c r="R89">
        <f>CurrConsumption_Ref!$L89</f>
        <v>1.9007527812691844E-2</v>
      </c>
      <c r="S89">
        <f t="shared" si="15"/>
        <v>3.9678641016344376E-3</v>
      </c>
    </row>
    <row r="90" spans="1:19" x14ac:dyDescent="0.35">
      <c r="A90" s="6" t="s">
        <v>192</v>
      </c>
      <c r="B90" s="48">
        <f t="shared" si="8"/>
        <v>0</v>
      </c>
      <c r="C90">
        <f t="shared" si="9"/>
        <v>0</v>
      </c>
      <c r="D90" t="e">
        <f t="shared" si="10"/>
        <v>#DIV/0!</v>
      </c>
      <c r="E90">
        <f>Calculation_TFP!$F88</f>
        <v>15.900999698620724</v>
      </c>
      <c r="F90">
        <f>Calculation_TFP!$H88</f>
        <v>7.2689460480593035E-2</v>
      </c>
      <c r="G90" s="2">
        <f>CurrConsumption_Ref!$I90</f>
        <v>0.15900999698620724</v>
      </c>
      <c r="H90" s="2">
        <f>CurrConsumption_Ref!$J90</f>
        <v>15.900999698620724</v>
      </c>
      <c r="I90" s="2">
        <f>CurrConsumption_Ref!L90</f>
        <v>7.2689460480593035E-2</v>
      </c>
      <c r="J90">
        <f t="shared" si="11"/>
        <v>1.5174088058707617E-2</v>
      </c>
      <c r="K90">
        <f t="shared" si="12"/>
        <v>252.84179141553636</v>
      </c>
      <c r="L90">
        <f t="shared" si="13"/>
        <v>3.8366436078607324</v>
      </c>
      <c r="M90">
        <f t="shared" si="14"/>
        <v>8.5668524854327424E-2</v>
      </c>
      <c r="N90">
        <f>TFPConsumption_Ref!$J90</f>
        <v>0</v>
      </c>
      <c r="O90">
        <f>TFPConsumption_Ref!$L90</f>
        <v>0</v>
      </c>
      <c r="P90">
        <f>CurrConsumption_Ref!$I90</f>
        <v>0.15900999698620724</v>
      </c>
      <c r="Q90">
        <f>CurrConsumption_Ref!$J90</f>
        <v>15.900999698620724</v>
      </c>
      <c r="R90">
        <f>CurrConsumption_Ref!$L90</f>
        <v>7.2689460480593035E-2</v>
      </c>
      <c r="S90">
        <f t="shared" si="15"/>
        <v>1.5174088058707617E-2</v>
      </c>
    </row>
    <row r="91" spans="1:19" x14ac:dyDescent="0.35">
      <c r="A91" s="6" t="s">
        <v>194</v>
      </c>
      <c r="B91" s="48">
        <f t="shared" si="8"/>
        <v>0</v>
      </c>
      <c r="C91">
        <f t="shared" si="9"/>
        <v>0</v>
      </c>
      <c r="D91" t="e">
        <f t="shared" si="10"/>
        <v>#DIV/0!</v>
      </c>
      <c r="E91">
        <f>Calculation_TFP!$F89</f>
        <v>2.2241000687562686</v>
      </c>
      <c r="F91">
        <f>Calculation_TFP!$H89</f>
        <v>1.8587576150780237E-2</v>
      </c>
      <c r="G91" s="2">
        <f>CurrConsumption_Ref!$I91</f>
        <v>2.2241000687562688E-2</v>
      </c>
      <c r="H91" s="2">
        <f>CurrConsumption_Ref!$J91</f>
        <v>2.2241000687562686</v>
      </c>
      <c r="I91" s="2">
        <f>CurrConsumption_Ref!L91</f>
        <v>1.8587576150780237E-2</v>
      </c>
      <c r="J91">
        <f t="shared" si="11"/>
        <v>3.8801982494446464E-3</v>
      </c>
      <c r="K91">
        <f t="shared" si="12"/>
        <v>4.9466211158416389</v>
      </c>
      <c r="L91">
        <f t="shared" si="13"/>
        <v>1.9193870594354651E-2</v>
      </c>
      <c r="M91">
        <f t="shared" si="14"/>
        <v>4.2858048547805144E-4</v>
      </c>
      <c r="N91">
        <f>TFPConsumption_Ref!$J91</f>
        <v>0</v>
      </c>
      <c r="O91">
        <f>TFPConsumption_Ref!$L91</f>
        <v>0</v>
      </c>
      <c r="P91">
        <f>CurrConsumption_Ref!$I91</f>
        <v>2.2241000687562688E-2</v>
      </c>
      <c r="Q91">
        <f>CurrConsumption_Ref!$J91</f>
        <v>2.2241000687562686</v>
      </c>
      <c r="R91">
        <f>CurrConsumption_Ref!$L91</f>
        <v>1.8587576150780237E-2</v>
      </c>
      <c r="S91">
        <f t="shared" si="15"/>
        <v>3.8801982494446464E-3</v>
      </c>
    </row>
    <row r="92" spans="1:19" x14ac:dyDescent="0.35">
      <c r="A92" s="6" t="s">
        <v>196</v>
      </c>
      <c r="B92" s="48">
        <f t="shared" si="8"/>
        <v>0</v>
      </c>
      <c r="C92">
        <f t="shared" si="9"/>
        <v>0</v>
      </c>
      <c r="D92" t="e">
        <f t="shared" si="10"/>
        <v>#DIV/0!</v>
      </c>
      <c r="E92">
        <f>Calculation_TFP!$F90</f>
        <v>0.16015521069618419</v>
      </c>
      <c r="F92">
        <f>Calculation_TFP!$H90</f>
        <v>1.7475579518381492E-3</v>
      </c>
      <c r="G92" s="2">
        <f>CurrConsumption_Ref!$I92</f>
        <v>1.601552106961842E-3</v>
      </c>
      <c r="H92" s="2">
        <f>CurrConsumption_Ref!$J92</f>
        <v>0.16015521069618419</v>
      </c>
      <c r="I92" s="2">
        <f>CurrConsumption_Ref!L92</f>
        <v>1.7475579518381492E-3</v>
      </c>
      <c r="J92">
        <f t="shared" si="11"/>
        <v>3.6480664560671199E-4</v>
      </c>
      <c r="K92">
        <f t="shared" si="12"/>
        <v>2.5649691513139148E-2</v>
      </c>
      <c r="L92">
        <f t="shared" si="13"/>
        <v>9.3571779217552406E-6</v>
      </c>
      <c r="M92">
        <f t="shared" si="14"/>
        <v>2.0893669344576523E-7</v>
      </c>
      <c r="N92">
        <f>TFPConsumption_Ref!$J92</f>
        <v>0</v>
      </c>
      <c r="O92">
        <f>TFPConsumption_Ref!$L92</f>
        <v>0</v>
      </c>
      <c r="P92">
        <f>CurrConsumption_Ref!$I92</f>
        <v>1.601552106961842E-3</v>
      </c>
      <c r="Q92">
        <f>CurrConsumption_Ref!$J92</f>
        <v>0.16015521069618419</v>
      </c>
      <c r="R92">
        <f>CurrConsumption_Ref!$L92</f>
        <v>1.7475579518381492E-3</v>
      </c>
      <c r="S92">
        <f t="shared" si="15"/>
        <v>3.6480664560671199E-4</v>
      </c>
    </row>
    <row r="93" spans="1:19" x14ac:dyDescent="0.35">
      <c r="A93" s="6" t="s">
        <v>198</v>
      </c>
      <c r="B93" s="48">
        <f t="shared" si="8"/>
        <v>0</v>
      </c>
      <c r="C93">
        <f t="shared" si="9"/>
        <v>0</v>
      </c>
      <c r="D93" t="e">
        <f t="shared" si="10"/>
        <v>#DIV/0!</v>
      </c>
      <c r="E93">
        <f>Calculation_TFP!$F91</f>
        <v>0.8398447955696654</v>
      </c>
      <c r="F93">
        <f>Calculation_TFP!$H91</f>
        <v>6.5582372468501147E-3</v>
      </c>
      <c r="G93" s="2">
        <f>CurrConsumption_Ref!$I93</f>
        <v>8.3984479556966536E-3</v>
      </c>
      <c r="H93" s="2">
        <f>CurrConsumption_Ref!$J93</f>
        <v>0.8398447955696654</v>
      </c>
      <c r="I93" s="2">
        <f>CurrConsumption_Ref!L93</f>
        <v>6.5582372468501147E-3</v>
      </c>
      <c r="J93">
        <f t="shared" si="11"/>
        <v>1.3690467481206425E-3</v>
      </c>
      <c r="K93">
        <f t="shared" si="12"/>
        <v>4.201373177657131</v>
      </c>
      <c r="L93">
        <f t="shared" si="13"/>
        <v>5.7518762865127861E-3</v>
      </c>
      <c r="M93">
        <f t="shared" si="14"/>
        <v>1.2843381011479755E-4</v>
      </c>
      <c r="N93">
        <f>TFPConsumption_Ref!$J93</f>
        <v>2.8895699424264656</v>
      </c>
      <c r="O93">
        <f>TFPConsumption_Ref!$L93</f>
        <v>2.2564270593527586E-2</v>
      </c>
      <c r="P93">
        <f>CurrConsumption_Ref!$I93</f>
        <v>8.3984479556966536E-3</v>
      </c>
      <c r="Q93">
        <f>CurrConsumption_Ref!$J93</f>
        <v>0.8398447955696654</v>
      </c>
      <c r="R93">
        <f>CurrConsumption_Ref!$L93</f>
        <v>6.5582372468501147E-3</v>
      </c>
      <c r="S93">
        <f t="shared" si="15"/>
        <v>1.3690467481206425E-3</v>
      </c>
    </row>
    <row r="94" spans="1:19" x14ac:dyDescent="0.35">
      <c r="A94" s="6" t="s">
        <v>200</v>
      </c>
      <c r="B94" s="48">
        <f t="shared" si="8"/>
        <v>0</v>
      </c>
      <c r="C94">
        <f t="shared" si="9"/>
        <v>0</v>
      </c>
      <c r="D94" t="e">
        <f t="shared" si="10"/>
        <v>#DIV/0!</v>
      </c>
      <c r="E94">
        <f>Calculation_TFP!$F92</f>
        <v>4.6068001086580397</v>
      </c>
      <c r="F94">
        <f>Calculation_TFP!$H92</f>
        <v>2.0633635086328452E-2</v>
      </c>
      <c r="G94" s="2">
        <f>CurrConsumption_Ref!$I94</f>
        <v>4.60680010865804E-2</v>
      </c>
      <c r="H94" s="2">
        <f>CurrConsumption_Ref!$J94</f>
        <v>4.6068001086580397</v>
      </c>
      <c r="I94" s="2">
        <f>CurrConsumption_Ref!L94</f>
        <v>2.0633635086328452E-2</v>
      </c>
      <c r="J94">
        <f t="shared" si="11"/>
        <v>4.3073176455172488E-3</v>
      </c>
      <c r="K94">
        <f t="shared" si="12"/>
        <v>21.222607241131726</v>
      </c>
      <c r="L94">
        <f t="shared" si="13"/>
        <v>9.1412510653608822E-2</v>
      </c>
      <c r="M94">
        <f t="shared" si="14"/>
        <v>2.0411525649346746E-3</v>
      </c>
      <c r="N94">
        <f>TFPConsumption_Ref!$J94</f>
        <v>0</v>
      </c>
      <c r="O94">
        <f>TFPConsumption_Ref!$L94</f>
        <v>0</v>
      </c>
      <c r="P94">
        <f>CurrConsumption_Ref!$I94</f>
        <v>4.60680010865804E-2</v>
      </c>
      <c r="Q94">
        <f>CurrConsumption_Ref!$J94</f>
        <v>4.6068001086580397</v>
      </c>
      <c r="R94">
        <f>CurrConsumption_Ref!$L94</f>
        <v>2.0633635086328452E-2</v>
      </c>
      <c r="S94">
        <f t="shared" si="15"/>
        <v>4.3073176455172488E-3</v>
      </c>
    </row>
    <row r="95" spans="1:19" x14ac:dyDescent="0.35">
      <c r="A95" s="6" t="s">
        <v>202</v>
      </c>
      <c r="B95" s="48">
        <f t="shared" si="8"/>
        <v>0</v>
      </c>
      <c r="C95">
        <f t="shared" si="9"/>
        <v>0</v>
      </c>
      <c r="D95" t="e">
        <f t="shared" si="10"/>
        <v>#DIV/0!</v>
      </c>
      <c r="E95">
        <f>Calculation_TFP!$F93</f>
        <v>4.1406154406769096</v>
      </c>
      <c r="F95">
        <f>Calculation_TFP!$H93</f>
        <v>2.1411833266182526E-2</v>
      </c>
      <c r="G95" s="2">
        <f>CurrConsumption_Ref!$I95</f>
        <v>4.1406154406769098E-2</v>
      </c>
      <c r="H95" s="2">
        <f>CurrConsumption_Ref!$J95</f>
        <v>4.1406154406769096</v>
      </c>
      <c r="I95" s="2">
        <f>CurrConsumption_Ref!L95</f>
        <v>2.1411833266182526E-2</v>
      </c>
      <c r="J95">
        <f t="shared" si="11"/>
        <v>4.4697682625690063E-3</v>
      </c>
      <c r="K95">
        <f t="shared" si="12"/>
        <v>1315.9782701857584</v>
      </c>
      <c r="L95">
        <f t="shared" si="13"/>
        <v>5.8821179063067639</v>
      </c>
      <c r="M95">
        <f t="shared" si="14"/>
        <v>0.1313419789683048</v>
      </c>
      <c r="N95">
        <f>TFPConsumption_Ref!$J95</f>
        <v>40.417030233014898</v>
      </c>
      <c r="O95">
        <f>TFPConsumption_Ref!$L95</f>
        <v>0.20900340175568125</v>
      </c>
      <c r="P95">
        <f>CurrConsumption_Ref!$I95</f>
        <v>4.1406154406769098E-2</v>
      </c>
      <c r="Q95">
        <f>CurrConsumption_Ref!$J95</f>
        <v>4.1406154406769096</v>
      </c>
      <c r="R95">
        <f>CurrConsumption_Ref!$L95</f>
        <v>2.1411833266182526E-2</v>
      </c>
      <c r="S95">
        <f t="shared" si="15"/>
        <v>4.4697682625690063E-3</v>
      </c>
    </row>
    <row r="96" spans="1:19" x14ac:dyDescent="0.35">
      <c r="A96" s="6" t="s">
        <v>204</v>
      </c>
      <c r="B96" s="48">
        <f t="shared" si="8"/>
        <v>0</v>
      </c>
      <c r="C96">
        <f t="shared" si="9"/>
        <v>0</v>
      </c>
      <c r="D96" t="e">
        <f t="shared" si="10"/>
        <v>#DIV/0!</v>
      </c>
      <c r="E96">
        <f>Calculation_TFP!$F94</f>
        <v>19.259485419472533</v>
      </c>
      <c r="F96">
        <f>Calculation_TFP!$H94</f>
        <v>0.17644119183592982</v>
      </c>
      <c r="G96" s="2">
        <f>CurrConsumption_Ref!$I96</f>
        <v>0.19259485419472533</v>
      </c>
      <c r="H96" s="2">
        <f>CurrConsumption_Ref!$J96</f>
        <v>19.259485419472533</v>
      </c>
      <c r="I96" s="2">
        <f>CurrConsumption_Ref!L96</f>
        <v>0.17644119183592982</v>
      </c>
      <c r="J96">
        <f t="shared" si="11"/>
        <v>3.6832494895412377E-2</v>
      </c>
      <c r="K96">
        <f t="shared" si="12"/>
        <v>370.92777862287511</v>
      </c>
      <c r="L96">
        <f t="shared" si="13"/>
        <v>13.6621955126937</v>
      </c>
      <c r="M96">
        <f t="shared" si="14"/>
        <v>0.30506355436451221</v>
      </c>
      <c r="N96">
        <f>TFPConsumption_Ref!$J96</f>
        <v>0</v>
      </c>
      <c r="O96">
        <f>TFPConsumption_Ref!$L96</f>
        <v>0</v>
      </c>
      <c r="P96">
        <f>CurrConsumption_Ref!$I96</f>
        <v>0.19259485419472533</v>
      </c>
      <c r="Q96">
        <f>CurrConsumption_Ref!$J96</f>
        <v>19.259485419472533</v>
      </c>
      <c r="R96">
        <f>CurrConsumption_Ref!$L96</f>
        <v>0.17644119183592982</v>
      </c>
      <c r="S96">
        <f t="shared" si="15"/>
        <v>3.6832494895412377E-2</v>
      </c>
    </row>
    <row r="97" spans="1:19" x14ac:dyDescent="0.35">
      <c r="A97" s="6" t="s">
        <v>205</v>
      </c>
      <c r="B97" s="48">
        <f t="shared" si="8"/>
        <v>0</v>
      </c>
      <c r="C97">
        <f t="shared" si="9"/>
        <v>0</v>
      </c>
      <c r="D97" t="e">
        <f t="shared" si="10"/>
        <v>#DIV/0!</v>
      </c>
      <c r="E97">
        <f>Calculation_TFP!$F95</f>
        <v>20.314641740578779</v>
      </c>
      <c r="F97">
        <f>Calculation_TFP!$H95</f>
        <v>7.1422431192750879E-2</v>
      </c>
      <c r="G97" s="2">
        <f>CurrConsumption_Ref!$I97</f>
        <v>0.20314641740578779</v>
      </c>
      <c r="H97" s="2">
        <f>CurrConsumption_Ref!$J97</f>
        <v>20.314641740578779</v>
      </c>
      <c r="I97" s="2">
        <f>CurrConsumption_Ref!L97</f>
        <v>7.1422431192750879E-2</v>
      </c>
      <c r="J97">
        <f t="shared" si="11"/>
        <v>1.490959285046747E-2</v>
      </c>
      <c r="K97">
        <f t="shared" si="12"/>
        <v>4731.7037167601729</v>
      </c>
      <c r="L97">
        <f t="shared" si="13"/>
        <v>70.547775905937826</v>
      </c>
      <c r="M97">
        <f t="shared" si="14"/>
        <v>1.5752633059877212</v>
      </c>
      <c r="N97">
        <f>TFPConsumption_Ref!$J97</f>
        <v>89.102022245727923</v>
      </c>
      <c r="O97">
        <f>TFPConsumption_Ref!$L97</f>
        <v>0.31326582738934139</v>
      </c>
      <c r="P97">
        <f>CurrConsumption_Ref!$I97</f>
        <v>0.20314641740578779</v>
      </c>
      <c r="Q97">
        <f>CurrConsumption_Ref!$J97</f>
        <v>20.314641740578779</v>
      </c>
      <c r="R97">
        <f>CurrConsumption_Ref!$L97</f>
        <v>7.1422431192750879E-2</v>
      </c>
      <c r="S97">
        <f t="shared" si="15"/>
        <v>1.490959285046747E-2</v>
      </c>
    </row>
    <row r="98" spans="1:19" x14ac:dyDescent="0.35">
      <c r="A98" s="6" t="s">
        <v>207</v>
      </c>
      <c r="B98" s="48">
        <f t="shared" si="8"/>
        <v>0</v>
      </c>
      <c r="C98">
        <f t="shared" si="9"/>
        <v>0</v>
      </c>
      <c r="D98" t="e">
        <f t="shared" si="10"/>
        <v>#DIV/0!</v>
      </c>
      <c r="E98">
        <f>Calculation_TFP!$F96</f>
        <v>17.98275916138758</v>
      </c>
      <c r="F98">
        <f>Calculation_TFP!$H96</f>
        <v>0.12108718724407573</v>
      </c>
      <c r="G98" s="2">
        <f>CurrConsumption_Ref!$I98</f>
        <v>0.17982759161387582</v>
      </c>
      <c r="H98" s="2">
        <f>CurrConsumption_Ref!$J98</f>
        <v>17.98275916138758</v>
      </c>
      <c r="I98" s="2">
        <f>CurrConsumption_Ref!L98</f>
        <v>0.12108718724407573</v>
      </c>
      <c r="J98">
        <f t="shared" si="11"/>
        <v>2.5277222170515038E-2</v>
      </c>
      <c r="K98">
        <f t="shared" si="12"/>
        <v>323.37962705646896</v>
      </c>
      <c r="L98">
        <f t="shared" si="13"/>
        <v>8.1741386785246615</v>
      </c>
      <c r="M98">
        <f t="shared" si="14"/>
        <v>0.18252057634677446</v>
      </c>
      <c r="N98">
        <f>TFPConsumption_Ref!$J98</f>
        <v>0</v>
      </c>
      <c r="O98">
        <f>TFPConsumption_Ref!$L98</f>
        <v>0</v>
      </c>
      <c r="P98">
        <f>CurrConsumption_Ref!$I98</f>
        <v>0.17982759161387582</v>
      </c>
      <c r="Q98">
        <f>CurrConsumption_Ref!$J98</f>
        <v>17.98275916138758</v>
      </c>
      <c r="R98">
        <f>CurrConsumption_Ref!$L98</f>
        <v>0.12108718724407573</v>
      </c>
      <c r="S98">
        <f t="shared" si="15"/>
        <v>2.5277222170515038E-2</v>
      </c>
    </row>
    <row r="99" spans="1:19" x14ac:dyDescent="0.35">
      <c r="A99" s="6" t="s">
        <v>208</v>
      </c>
      <c r="B99" s="48">
        <f t="shared" si="8"/>
        <v>0</v>
      </c>
      <c r="C99">
        <f t="shared" si="9"/>
        <v>0</v>
      </c>
      <c r="D99" t="e">
        <f t="shared" si="10"/>
        <v>#DIV/0!</v>
      </c>
      <c r="E99">
        <f>Calculation_TFP!$F97</f>
        <v>15.4111790796535</v>
      </c>
      <c r="F99">
        <f>Calculation_TFP!$H97</f>
        <v>9.0411607432756752E-2</v>
      </c>
      <c r="G99" s="2">
        <f>CurrConsumption_Ref!$I99</f>
        <v>0.154111790796535</v>
      </c>
      <c r="H99" s="2">
        <f>CurrConsumption_Ref!$J99</f>
        <v>15.4111790796535</v>
      </c>
      <c r="I99" s="2">
        <f>CurrConsumption_Ref!L99</f>
        <v>9.0411607432756752E-2</v>
      </c>
      <c r="J99">
        <f t="shared" si="11"/>
        <v>1.8873626020105554E-2</v>
      </c>
      <c r="K99">
        <f t="shared" si="12"/>
        <v>237.50444062514973</v>
      </c>
      <c r="L99">
        <f t="shared" si="13"/>
        <v>4.48256999047344</v>
      </c>
      <c r="M99">
        <f t="shared" si="14"/>
        <v>0.10009143352625825</v>
      </c>
      <c r="N99">
        <f>TFPConsumption_Ref!$J99</f>
        <v>0</v>
      </c>
      <c r="O99">
        <f>TFPConsumption_Ref!$L99</f>
        <v>0</v>
      </c>
      <c r="P99">
        <f>CurrConsumption_Ref!$I99</f>
        <v>0.154111790796535</v>
      </c>
      <c r="Q99">
        <f>CurrConsumption_Ref!$J99</f>
        <v>15.4111790796535</v>
      </c>
      <c r="R99">
        <f>CurrConsumption_Ref!$L99</f>
        <v>9.0411607432756752E-2</v>
      </c>
      <c r="S99">
        <f t="shared" si="15"/>
        <v>1.8873626020105554E-2</v>
      </c>
    </row>
    <row r="100" spans="1:19" x14ac:dyDescent="0.35">
      <c r="A100" s="6" t="s">
        <v>210</v>
      </c>
      <c r="B100" s="48">
        <f t="shared" si="8"/>
        <v>0</v>
      </c>
      <c r="C100">
        <f t="shared" si="9"/>
        <v>0</v>
      </c>
      <c r="D100" t="e">
        <f t="shared" si="10"/>
        <v>#DIV/0!</v>
      </c>
      <c r="E100">
        <f>Calculation_TFP!$F98</f>
        <v>9.1468212195264638</v>
      </c>
      <c r="F100">
        <f>Calculation_TFP!$H98</f>
        <v>3.3224356743726952E-2</v>
      </c>
      <c r="G100" s="2">
        <f>CurrConsumption_Ref!$I100</f>
        <v>9.1468212195264645E-2</v>
      </c>
      <c r="H100" s="2">
        <f>CurrConsumption_Ref!$J100</f>
        <v>9.1468212195264638</v>
      </c>
      <c r="I100" s="2">
        <f>CurrConsumption_Ref!L100</f>
        <v>3.3224356743726952E-2</v>
      </c>
      <c r="J100">
        <f t="shared" si="11"/>
        <v>6.9356590568976518E-3</v>
      </c>
      <c r="K100">
        <f t="shared" si="12"/>
        <v>8716.7907600097496</v>
      </c>
      <c r="L100">
        <f t="shared" si="13"/>
        <v>60.456688781743388</v>
      </c>
      <c r="M100">
        <f t="shared" si="14"/>
        <v>1.3499391329696642</v>
      </c>
      <c r="N100">
        <f>TFPConsumption_Ref!$J100</f>
        <v>102.51057628544993</v>
      </c>
      <c r="O100">
        <f>TFPConsumption_Ref!$L100</f>
        <v>0.37235317874608542</v>
      </c>
      <c r="P100">
        <f>CurrConsumption_Ref!$I100</f>
        <v>9.1468212195264645E-2</v>
      </c>
      <c r="Q100">
        <f>CurrConsumption_Ref!$J100</f>
        <v>9.1468212195264638</v>
      </c>
      <c r="R100">
        <f>CurrConsumption_Ref!$L100</f>
        <v>3.3224356743726952E-2</v>
      </c>
      <c r="S100">
        <f t="shared" si="15"/>
        <v>6.9356590568976518E-3</v>
      </c>
    </row>
    <row r="101" spans="1:19" x14ac:dyDescent="0.35">
      <c r="A101" s="6" t="s">
        <v>211</v>
      </c>
      <c r="B101" s="48">
        <f t="shared" si="8"/>
        <v>0</v>
      </c>
      <c r="C101">
        <f t="shared" si="9"/>
        <v>0</v>
      </c>
      <c r="D101" t="e">
        <f t="shared" si="10"/>
        <v>#DIV/0!</v>
      </c>
      <c r="E101">
        <f>Calculation_TFP!$F99</f>
        <v>5.2119693337317656</v>
      </c>
      <c r="F101">
        <f>Calculation_TFP!$H99</f>
        <v>1.5974493855910744E-2</v>
      </c>
      <c r="G101" s="2">
        <f>CurrConsumption_Ref!$I101</f>
        <v>5.2119693337317655E-2</v>
      </c>
      <c r="H101" s="2">
        <f>CurrConsumption_Ref!$J101</f>
        <v>5.2119693337317656</v>
      </c>
      <c r="I101" s="2">
        <f>CurrConsumption_Ref!L101</f>
        <v>1.5974493855910744E-2</v>
      </c>
      <c r="J101">
        <f t="shared" si="11"/>
        <v>3.3347114541810371E-3</v>
      </c>
      <c r="K101">
        <f t="shared" si="12"/>
        <v>4067.8362995043822</v>
      </c>
      <c r="L101">
        <f t="shared" si="13"/>
        <v>13.565060301690668</v>
      </c>
      <c r="M101">
        <f t="shared" si="14"/>
        <v>0.30289461945979645</v>
      </c>
      <c r="N101">
        <f>TFPConsumption_Ref!$J101</f>
        <v>68.99156089329243</v>
      </c>
      <c r="O101">
        <f>TFPConsumption_Ref!$L101</f>
        <v>0.21145659059557156</v>
      </c>
      <c r="P101">
        <f>CurrConsumption_Ref!$I101</f>
        <v>5.2119693337317655E-2</v>
      </c>
      <c r="Q101">
        <f>CurrConsumption_Ref!$J101</f>
        <v>5.2119693337317656</v>
      </c>
      <c r="R101">
        <f>CurrConsumption_Ref!$L101</f>
        <v>1.5974493855910744E-2</v>
      </c>
      <c r="S101">
        <f t="shared" si="15"/>
        <v>3.3347114541810371E-3</v>
      </c>
    </row>
    <row r="102" spans="1:19" s="17" customFormat="1" ht="15" thickBot="1" x14ac:dyDescent="0.4">
      <c r="A102" s="80" t="s">
        <v>213</v>
      </c>
      <c r="B102" s="81">
        <f t="shared" si="8"/>
        <v>0</v>
      </c>
      <c r="C102" s="17">
        <f t="shared" si="9"/>
        <v>0</v>
      </c>
      <c r="D102" s="17" t="e">
        <f t="shared" si="10"/>
        <v>#DIV/0!</v>
      </c>
      <c r="E102" s="17">
        <f>Calculation_TFP!$F100</f>
        <v>6.3213310806703156</v>
      </c>
      <c r="F102" s="17">
        <f>Calculation_TFP!$H100</f>
        <v>3.0334964480249738E-2</v>
      </c>
      <c r="G102" s="38">
        <f>CurrConsumption_Ref!$I102</f>
        <v>6.3213310806703157E-2</v>
      </c>
      <c r="H102" s="38">
        <f>CurrConsumption_Ref!$J102</f>
        <v>6.3213310806703156</v>
      </c>
      <c r="I102" s="38">
        <f>CurrConsumption_Ref!L102</f>
        <v>3.0334964480249738E-2</v>
      </c>
      <c r="J102" s="17">
        <f t="shared" si="11"/>
        <v>6.3324919353882356E-3</v>
      </c>
      <c r="K102" s="17">
        <f t="shared" si="12"/>
        <v>39.959226631448537</v>
      </c>
      <c r="L102" s="17">
        <f t="shared" si="13"/>
        <v>0.25304148038799867</v>
      </c>
      <c r="M102" s="17">
        <f t="shared" si="14"/>
        <v>5.6501704529919299E-3</v>
      </c>
      <c r="N102" s="17">
        <f>TFPConsumption_Ref!$J102</f>
        <v>0</v>
      </c>
      <c r="O102" s="17">
        <f>TFPConsumption_Ref!$L102</f>
        <v>0</v>
      </c>
      <c r="P102" s="17">
        <f>CurrConsumption_Ref!$I102</f>
        <v>6.3213310806703157E-2</v>
      </c>
      <c r="Q102" s="17">
        <f>CurrConsumption_Ref!$J102</f>
        <v>6.3213310806703156</v>
      </c>
      <c r="R102" s="17">
        <f>CurrConsumption_Ref!$L102</f>
        <v>3.0334964480249738E-2</v>
      </c>
      <c r="S102" s="17">
        <f t="shared" si="15"/>
        <v>6.3324919353882356E-3</v>
      </c>
    </row>
    <row r="103" spans="1:19" s="4" customFormat="1" x14ac:dyDescent="0.35">
      <c r="A103" s="6" t="s">
        <v>695</v>
      </c>
      <c r="B103" s="4">
        <f t="shared" ref="B103:J103" si="16">SUM(B6:B102)</f>
        <v>0</v>
      </c>
      <c r="C103" s="4">
        <f t="shared" si="16"/>
        <v>0</v>
      </c>
      <c r="D103" s="4" t="e">
        <f t="shared" si="16"/>
        <v>#DIV/0!</v>
      </c>
      <c r="E103" s="4">
        <f t="shared" si="16"/>
        <v>1017.9597015800284</v>
      </c>
      <c r="F103" s="4">
        <f t="shared" si="16"/>
        <v>4.7903676451172528</v>
      </c>
      <c r="G103" s="16">
        <f t="shared" si="16"/>
        <v>10.179597015800276</v>
      </c>
      <c r="H103" s="16">
        <f t="shared" si="16"/>
        <v>1017.9597015800284</v>
      </c>
      <c r="I103" s="16">
        <f t="shared" si="16"/>
        <v>4.7903676451172528</v>
      </c>
      <c r="J103" s="4">
        <f t="shared" si="16"/>
        <v>1</v>
      </c>
      <c r="K103" s="4">
        <f t="shared" ref="K103:R103" si="17">SUM(K6:K102)</f>
        <v>433693.20446145319</v>
      </c>
      <c r="L103" s="4">
        <f t="shared" si="17"/>
        <v>4478.4751627095748</v>
      </c>
      <c r="M103" s="4">
        <f t="shared" si="17"/>
        <v>100.00000000000001</v>
      </c>
      <c r="N103" s="4">
        <f t="shared" si="17"/>
        <v>2141.0415822880263</v>
      </c>
      <c r="O103" s="4">
        <f t="shared" si="17"/>
        <v>6.8110963552553168</v>
      </c>
      <c r="P103" s="4">
        <f t="shared" si="17"/>
        <v>10.179597015800276</v>
      </c>
      <c r="Q103" s="4">
        <f t="shared" si="17"/>
        <v>1017.9597015800284</v>
      </c>
      <c r="R103" s="4">
        <f t="shared" si="17"/>
        <v>4.7903676451172528</v>
      </c>
    </row>
  </sheetData>
  <sheetProtection sheet="1" objects="1" scenarios="1" selectLockedCells="1"/>
  <mergeCells count="2">
    <mergeCell ref="B3:J3"/>
    <mergeCell ref="K3:S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0725-7A54-4487-B8D4-B74BBF234B23}">
  <sheetPr>
    <tabColor theme="0"/>
  </sheetPr>
  <dimension ref="A1:I102"/>
  <sheetViews>
    <sheetView zoomScale="93" zoomScaleNormal="100" workbookViewId="0">
      <pane ySplit="5" topLeftCell="A6" activePane="bottomLeft" state="frozen"/>
      <selection pane="bottomLeft" sqref="A1:XFD1048576"/>
    </sheetView>
  </sheetViews>
  <sheetFormatPr defaultRowHeight="14.5" x14ac:dyDescent="0.35"/>
  <cols>
    <col min="2" max="2" width="23.26953125" customWidth="1"/>
    <col min="3" max="3" width="20.81640625" customWidth="1"/>
    <col min="4" max="4" width="12.81640625" customWidth="1"/>
    <col min="5" max="5" width="13.81640625" customWidth="1"/>
    <col min="6" max="6" width="38.1796875" customWidth="1"/>
    <col min="7" max="7" width="20.453125" customWidth="1"/>
    <col min="8" max="8" width="22.54296875" customWidth="1"/>
    <col min="9" max="9" width="22.26953125" customWidth="1"/>
  </cols>
  <sheetData>
    <row r="1" spans="1:9" ht="18.5" x14ac:dyDescent="0.45">
      <c r="A1" s="8" t="s">
        <v>696</v>
      </c>
      <c r="B1" s="1"/>
      <c r="C1" s="1"/>
      <c r="D1" s="1"/>
    </row>
    <row r="2" spans="1:9" x14ac:dyDescent="0.35">
      <c r="A2" s="1" t="s">
        <v>697</v>
      </c>
      <c r="D2" t="s">
        <v>698</v>
      </c>
    </row>
    <row r="3" spans="1:9" x14ac:dyDescent="0.35">
      <c r="A3" s="1" t="s">
        <v>699</v>
      </c>
      <c r="I3" s="4"/>
    </row>
    <row r="4" spans="1:9" x14ac:dyDescent="0.35">
      <c r="A4" s="1" t="s">
        <v>700</v>
      </c>
    </row>
    <row r="5" spans="1:9" s="17" customFormat="1" ht="32.15" customHeight="1" thickBot="1" x14ac:dyDescent="0.5">
      <c r="A5" s="24" t="s">
        <v>500</v>
      </c>
      <c r="B5" s="19" t="s">
        <v>501</v>
      </c>
      <c r="C5" s="20" t="s">
        <v>701</v>
      </c>
      <c r="D5" s="19" t="s">
        <v>702</v>
      </c>
      <c r="E5" s="18"/>
      <c r="F5" s="19" t="s">
        <v>703</v>
      </c>
      <c r="G5" s="96" t="s">
        <v>704</v>
      </c>
      <c r="H5" s="20" t="s">
        <v>705</v>
      </c>
      <c r="I5" s="20" t="s">
        <v>706</v>
      </c>
    </row>
    <row r="6" spans="1:9" x14ac:dyDescent="0.35">
      <c r="A6" s="4">
        <v>1</v>
      </c>
      <c r="B6" t="s">
        <v>41</v>
      </c>
      <c r="C6">
        <f>D6*1.0526</f>
        <v>0.32140266920959998</v>
      </c>
      <c r="D6">
        <f>$H6*$G6</f>
        <v>0.305341696</v>
      </c>
      <c r="F6" t="s">
        <v>707</v>
      </c>
      <c r="G6">
        <f>IF(Output!$C$6= "June 2021", 1, IF(Output!$C$6= "June 2024", $I6, ""))</f>
        <v>1</v>
      </c>
      <c r="H6">
        <v>0.305341696</v>
      </c>
      <c r="I6">
        <f>(231.77/195.842)</f>
        <v>1.1834540088438639</v>
      </c>
    </row>
    <row r="7" spans="1:9" x14ac:dyDescent="0.35">
      <c r="A7" s="4">
        <v>2</v>
      </c>
      <c r="B7" t="s">
        <v>43</v>
      </c>
      <c r="C7">
        <f t="shared" ref="C7:C70" si="0">D7*1.0526</f>
        <v>0.13168759030639998</v>
      </c>
      <c r="D7">
        <f>$H7*$G7</f>
        <v>0.12510696399999999</v>
      </c>
      <c r="F7" t="s">
        <v>708</v>
      </c>
      <c r="G7">
        <f>IF(Output!$C$6= "June 2021", 1, IF(Output!$C$6= "June 2024", $I7, ""))</f>
        <v>1</v>
      </c>
      <c r="H7">
        <v>0.12510696399999999</v>
      </c>
      <c r="I7">
        <f>(141.652/119.711)</f>
        <v>1.1832830734017759</v>
      </c>
    </row>
    <row r="8" spans="1:9" x14ac:dyDescent="0.35">
      <c r="A8" s="4">
        <v>3</v>
      </c>
      <c r="B8" t="s">
        <v>45</v>
      </c>
      <c r="C8">
        <f t="shared" si="0"/>
        <v>5.4746853334599999E-2</v>
      </c>
      <c r="D8">
        <f>$H8*$G8</f>
        <v>5.2011070999999999E-2</v>
      </c>
      <c r="F8" t="s">
        <v>708</v>
      </c>
      <c r="G8">
        <f>IF(Output!$C$6= "June 2021", 1, IF(Output!$C$6= "June 2024", $I8, ""))</f>
        <v>1</v>
      </c>
      <c r="H8">
        <v>5.2011070999999999E-2</v>
      </c>
      <c r="I8">
        <f>(141.652/119.711)</f>
        <v>1.1832830734017759</v>
      </c>
    </row>
    <row r="9" spans="1:9" x14ac:dyDescent="0.35">
      <c r="A9" s="4">
        <v>4</v>
      </c>
      <c r="B9" t="s">
        <v>47</v>
      </c>
      <c r="C9">
        <f t="shared" si="0"/>
        <v>0.1007799649314</v>
      </c>
      <c r="D9">
        <f t="shared" ref="D9:D72" si="1">$H9*$G9</f>
        <v>9.5743838999999997E-2</v>
      </c>
      <c r="F9" t="s">
        <v>709</v>
      </c>
      <c r="G9">
        <f>IF(Output!$C$6= "June 2021", 1, IF(Output!$C$6= "June 2024", $I9, ""))</f>
        <v>1</v>
      </c>
      <c r="H9">
        <v>9.5743838999999997E-2</v>
      </c>
      <c r="I9">
        <f>(229.127/183.217)</f>
        <v>1.2505771844315756</v>
      </c>
    </row>
    <row r="10" spans="1:9" x14ac:dyDescent="0.35">
      <c r="A10" s="4">
        <v>5</v>
      </c>
      <c r="B10" t="s">
        <v>49</v>
      </c>
      <c r="C10">
        <f t="shared" si="0"/>
        <v>0.219735134064</v>
      </c>
      <c r="D10">
        <f t="shared" si="1"/>
        <v>0.20875463999999999</v>
      </c>
      <c r="F10" t="s">
        <v>710</v>
      </c>
      <c r="G10">
        <f>IF(Output!$C$6= "June 2021", 1, IF(Output!$C$6= "June 2024", $I10, ""))</f>
        <v>1</v>
      </c>
      <c r="H10">
        <v>0.20875463999999999</v>
      </c>
      <c r="I10">
        <f>(155.046/126.676)</f>
        <v>1.2239571821023714</v>
      </c>
    </row>
    <row r="11" spans="1:9" x14ac:dyDescent="0.35">
      <c r="A11" s="4">
        <v>6</v>
      </c>
      <c r="B11" t="s">
        <v>52</v>
      </c>
      <c r="C11">
        <f t="shared" si="0"/>
        <v>0.1098630292734</v>
      </c>
      <c r="D11">
        <f t="shared" si="1"/>
        <v>0.104373009</v>
      </c>
      <c r="F11" t="s">
        <v>710</v>
      </c>
      <c r="G11">
        <f>IF(Output!$C$6= "June 2021", 1, IF(Output!$C$6= "June 2024", $I11, ""))</f>
        <v>1</v>
      </c>
      <c r="H11">
        <v>0.104373009</v>
      </c>
      <c r="I11">
        <f>(155.046/126.676)</f>
        <v>1.2239571821023714</v>
      </c>
    </row>
    <row r="12" spans="1:9" x14ac:dyDescent="0.35">
      <c r="A12" s="4">
        <v>7</v>
      </c>
      <c r="B12" t="s">
        <v>55</v>
      </c>
      <c r="C12">
        <f t="shared" si="0"/>
        <v>0.37237198850520004</v>
      </c>
      <c r="D12">
        <f t="shared" si="1"/>
        <v>0.35376400200000002</v>
      </c>
      <c r="F12" t="s">
        <v>711</v>
      </c>
      <c r="G12">
        <f>IF(Output!$C$6= "June 2021", 1, IF(Output!$C$6= "June 2024", $I12, ""))</f>
        <v>1</v>
      </c>
      <c r="H12">
        <v>0.35376400200000002</v>
      </c>
      <c r="I12">
        <f>(219.625/179.726)</f>
        <v>1.221999042987659</v>
      </c>
    </row>
    <row r="13" spans="1:9" x14ac:dyDescent="0.35">
      <c r="A13" s="4">
        <v>8</v>
      </c>
      <c r="B13" t="s">
        <v>58</v>
      </c>
      <c r="C13">
        <f t="shared" si="0"/>
        <v>0.1395130797452</v>
      </c>
      <c r="D13">
        <f t="shared" si="1"/>
        <v>0.132541402</v>
      </c>
      <c r="F13" t="s">
        <v>709</v>
      </c>
      <c r="G13">
        <f>IF(Output!$C$6= "June 2021", 1, IF(Output!$C$6= "June 2024", $I13, ""))</f>
        <v>1</v>
      </c>
      <c r="H13">
        <v>0.132541402</v>
      </c>
      <c r="I13">
        <f>(229.127/183.217)</f>
        <v>1.2505771844315756</v>
      </c>
    </row>
    <row r="14" spans="1:9" x14ac:dyDescent="0.35">
      <c r="A14" s="4">
        <v>9</v>
      </c>
      <c r="B14" t="s">
        <v>61</v>
      </c>
      <c r="C14">
        <f t="shared" si="0"/>
        <v>0.73324832925859995</v>
      </c>
      <c r="D14">
        <f t="shared" si="1"/>
        <v>0.69660681099999999</v>
      </c>
      <c r="F14" t="s">
        <v>712</v>
      </c>
      <c r="G14">
        <f>IF(Output!$C$6= "June 2021", 1, IF(Output!$C$6= "June 2024", $I14, ""))</f>
        <v>1</v>
      </c>
      <c r="H14">
        <v>0.69660681099999999</v>
      </c>
      <c r="I14">
        <f>(236.108/189.218)</f>
        <v>1.247809405024892</v>
      </c>
    </row>
    <row r="15" spans="1:9" x14ac:dyDescent="0.35">
      <c r="A15" s="4">
        <v>10</v>
      </c>
      <c r="B15" t="s">
        <v>63</v>
      </c>
      <c r="C15">
        <f t="shared" si="0"/>
        <v>1.0630710616482</v>
      </c>
      <c r="D15">
        <f t="shared" si="1"/>
        <v>1.0099478070000001</v>
      </c>
      <c r="F15" t="s">
        <v>713</v>
      </c>
      <c r="G15">
        <f>IF(Output!$C$6= "June 2021", 1, IF(Output!$C$6= "June 2024", $I15, ""))</f>
        <v>1</v>
      </c>
      <c r="H15">
        <v>1.0099478070000001</v>
      </c>
      <c r="I15">
        <f>(311.536/250.616)</f>
        <v>1.2430810482969961</v>
      </c>
    </row>
    <row r="16" spans="1:9" x14ac:dyDescent="0.35">
      <c r="A16" s="4">
        <v>11</v>
      </c>
      <c r="B16" t="s">
        <v>66</v>
      </c>
      <c r="C16">
        <f t="shared" si="0"/>
        <v>0.48136559859880002</v>
      </c>
      <c r="D16">
        <f t="shared" si="1"/>
        <v>0.457311038</v>
      </c>
      <c r="F16" t="s">
        <v>713</v>
      </c>
      <c r="G16">
        <f>IF(Output!$C$6= "June 2021", 1, IF(Output!$C$6= "June 2024", $I16, ""))</f>
        <v>1</v>
      </c>
      <c r="H16">
        <v>0.457311038</v>
      </c>
      <c r="I16">
        <f>(311.536/250.616)</f>
        <v>1.2430810482969961</v>
      </c>
    </row>
    <row r="17" spans="1:9" x14ac:dyDescent="0.35">
      <c r="A17" s="4">
        <v>12</v>
      </c>
      <c r="B17" t="s">
        <v>68</v>
      </c>
      <c r="C17">
        <f t="shared" si="0"/>
        <v>0.24991978849719998</v>
      </c>
      <c r="D17">
        <f>$H17*$G17</f>
        <v>0.23743092199999999</v>
      </c>
      <c r="F17" t="s">
        <v>714</v>
      </c>
      <c r="G17">
        <f>IF(Output!$C$6= "June 2021", 1, IF(Output!$C$6= "June 2024", $I17, ""))</f>
        <v>1</v>
      </c>
      <c r="H17">
        <v>0.23743092199999999</v>
      </c>
      <c r="I17">
        <f>(276.877/229.794)</f>
        <v>1.2048922078035109</v>
      </c>
    </row>
    <row r="18" spans="1:9" x14ac:dyDescent="0.35">
      <c r="A18" s="4">
        <v>13</v>
      </c>
      <c r="B18" t="s">
        <v>70</v>
      </c>
      <c r="C18">
        <f t="shared" si="0"/>
        <v>0.58006740903459997</v>
      </c>
      <c r="D18">
        <f>$H18*$G18</f>
        <v>0.55108057099999996</v>
      </c>
      <c r="F18" t="s">
        <v>714</v>
      </c>
      <c r="G18">
        <f>IF(Output!$C$6= "June 2021", 1, IF(Output!$C$6= "June 2024", $I18, ""))</f>
        <v>1</v>
      </c>
      <c r="H18">
        <v>0.55108057099999996</v>
      </c>
      <c r="I18">
        <f>(276.877/229.794)</f>
        <v>1.2048922078035109</v>
      </c>
    </row>
    <row r="19" spans="1:9" x14ac:dyDescent="0.35">
      <c r="A19" s="4">
        <v>14</v>
      </c>
      <c r="B19" t="s">
        <v>73</v>
      </c>
      <c r="C19">
        <f t="shared" si="0"/>
        <v>1.351588972167</v>
      </c>
      <c r="D19">
        <f t="shared" si="1"/>
        <v>1.284048045</v>
      </c>
      <c r="F19" t="s">
        <v>715</v>
      </c>
      <c r="G19">
        <f>IF(Output!$C$6= "June 2021", 1, IF(Output!$C$6= "June 2024", $I19, ""))</f>
        <v>1</v>
      </c>
      <c r="H19">
        <v>1.284048045</v>
      </c>
      <c r="I19">
        <f>(260.934/240.1)</f>
        <v>1.0867721782590589</v>
      </c>
    </row>
    <row r="20" spans="1:9" x14ac:dyDescent="0.35">
      <c r="A20" s="4">
        <v>15</v>
      </c>
      <c r="B20" t="s">
        <v>76</v>
      </c>
      <c r="C20">
        <f t="shared" si="0"/>
        <v>0.86525299005260004</v>
      </c>
      <c r="D20">
        <f t="shared" si="1"/>
        <v>0.82201500100000002</v>
      </c>
      <c r="F20" t="s">
        <v>715</v>
      </c>
      <c r="G20">
        <f>IF(Output!$C$6= "June 2021", 1, IF(Output!$C$6= "June 2024", $I20, ""))</f>
        <v>1</v>
      </c>
      <c r="H20">
        <v>0.82201500100000002</v>
      </c>
      <c r="I20">
        <f>(260.934/240.1)</f>
        <v>1.0867721782590589</v>
      </c>
    </row>
    <row r="21" spans="1:9" x14ac:dyDescent="0.35">
      <c r="A21" s="4">
        <v>16</v>
      </c>
      <c r="B21" t="s">
        <v>77</v>
      </c>
      <c r="C21">
        <f t="shared" si="0"/>
        <v>0.13704333699759999</v>
      </c>
      <c r="D21">
        <f t="shared" si="1"/>
        <v>0.13019507599999999</v>
      </c>
      <c r="F21" t="s">
        <v>716</v>
      </c>
      <c r="G21">
        <f>IF(Output!$C$6= "June 2021", 1, IF(Output!$C$6= "June 2024", $I21, ""))</f>
        <v>1</v>
      </c>
      <c r="H21">
        <v>0.13019507599999999</v>
      </c>
      <c r="I21">
        <f>(172.814/153.169)</f>
        <v>1.128257023288002</v>
      </c>
    </row>
    <row r="22" spans="1:9" x14ac:dyDescent="0.35">
      <c r="A22" s="4">
        <v>17</v>
      </c>
      <c r="B22" t="s">
        <v>79</v>
      </c>
      <c r="C22">
        <f t="shared" si="0"/>
        <v>0.1574359304646</v>
      </c>
      <c r="D22">
        <f t="shared" si="1"/>
        <v>0.14956862100000001</v>
      </c>
      <c r="F22" t="s">
        <v>716</v>
      </c>
      <c r="G22">
        <f>IF(Output!$C$6= "June 2021", 1, IF(Output!$C$6= "June 2024", $I22, ""))</f>
        <v>1</v>
      </c>
      <c r="H22">
        <v>0.14956862100000001</v>
      </c>
      <c r="I22">
        <f>(172.814/153.169)</f>
        <v>1.128257023288002</v>
      </c>
    </row>
    <row r="23" spans="1:9" x14ac:dyDescent="0.35">
      <c r="A23" s="4">
        <v>18</v>
      </c>
      <c r="B23" t="s">
        <v>82</v>
      </c>
      <c r="C23">
        <f t="shared" si="0"/>
        <v>0.35047434755939999</v>
      </c>
      <c r="D23">
        <f t="shared" si="1"/>
        <v>0.33296061900000001</v>
      </c>
      <c r="F23" t="s">
        <v>716</v>
      </c>
      <c r="G23">
        <f>IF(Output!$C$6= "June 2021", 1, IF(Output!$C$6= "June 2024", $I23, ""))</f>
        <v>1</v>
      </c>
      <c r="H23">
        <v>0.33296061900000001</v>
      </c>
      <c r="I23">
        <f>(172.814/153.169)</f>
        <v>1.128257023288002</v>
      </c>
    </row>
    <row r="24" spans="1:9" x14ac:dyDescent="0.35">
      <c r="A24" s="4">
        <v>19</v>
      </c>
      <c r="B24" t="s">
        <v>84</v>
      </c>
      <c r="C24">
        <f t="shared" si="0"/>
        <v>0.1212350975748</v>
      </c>
      <c r="D24">
        <f t="shared" si="1"/>
        <v>0.115176798</v>
      </c>
      <c r="F24" t="s">
        <v>716</v>
      </c>
      <c r="G24">
        <f>IF(Output!$C$6= "June 2021", 1, IF(Output!$C$6= "June 2024", $I24, ""))</f>
        <v>1</v>
      </c>
      <c r="H24">
        <v>0.115176798</v>
      </c>
      <c r="I24">
        <f>(172.814/153.169)</f>
        <v>1.128257023288002</v>
      </c>
    </row>
    <row r="25" spans="1:9" x14ac:dyDescent="0.35">
      <c r="A25" s="4">
        <v>20</v>
      </c>
      <c r="B25" t="s">
        <v>86</v>
      </c>
      <c r="C25">
        <f t="shared" si="0"/>
        <v>0.3777499903182</v>
      </c>
      <c r="D25">
        <f t="shared" si="1"/>
        <v>0.358873257</v>
      </c>
      <c r="F25" t="s">
        <v>87</v>
      </c>
      <c r="G25">
        <f>IF(Output!$C$6= "June 2021", 1, IF(Output!$C$6= "June 2024", $I25, ""))</f>
        <v>1</v>
      </c>
      <c r="H25">
        <v>0.358873257</v>
      </c>
      <c r="I25">
        <f>(301.207/222.202)</f>
        <v>1.3555548554918497</v>
      </c>
    </row>
    <row r="26" spans="1:9" x14ac:dyDescent="0.35">
      <c r="A26" s="4">
        <v>21</v>
      </c>
      <c r="B26" t="s">
        <v>88</v>
      </c>
      <c r="C26">
        <f t="shared" si="0"/>
        <v>0.94969317045539992</v>
      </c>
      <c r="D26">
        <f t="shared" si="1"/>
        <v>0.90223557899999995</v>
      </c>
      <c r="F26" t="s">
        <v>717</v>
      </c>
      <c r="G26">
        <f>IF(Output!$C$6= "June 2021", 1, IF(Output!$C$6= "June 2024", $I26, ""))</f>
        <v>1</v>
      </c>
      <c r="H26">
        <v>0.90223557899999995</v>
      </c>
      <c r="I26">
        <f>(320.527/237.116)</f>
        <v>1.3517729718787428</v>
      </c>
    </row>
    <row r="27" spans="1:9" x14ac:dyDescent="0.35">
      <c r="A27" s="4">
        <v>22</v>
      </c>
      <c r="B27" t="s">
        <v>90</v>
      </c>
      <c r="C27">
        <f t="shared" si="0"/>
        <v>0.54018534974279997</v>
      </c>
      <c r="D27">
        <f t="shared" si="1"/>
        <v>0.51319147799999998</v>
      </c>
      <c r="F27" t="s">
        <v>717</v>
      </c>
      <c r="G27">
        <f>IF(Output!$C$6= "June 2021", 1, IF(Output!$C$6= "June 2024", $I27, ""))</f>
        <v>1</v>
      </c>
      <c r="H27">
        <v>0.51319147799999998</v>
      </c>
      <c r="I27">
        <f>(320.527/237.116)</f>
        <v>1.3517729718787428</v>
      </c>
    </row>
    <row r="28" spans="1:9" x14ac:dyDescent="0.35">
      <c r="A28" s="4">
        <v>23</v>
      </c>
      <c r="B28" t="s">
        <v>92</v>
      </c>
      <c r="C28">
        <f t="shared" si="0"/>
        <v>0.81501156786679996</v>
      </c>
      <c r="D28">
        <f t="shared" si="1"/>
        <v>0.77428421800000002</v>
      </c>
      <c r="F28" t="s">
        <v>718</v>
      </c>
      <c r="G28">
        <f>IF(Output!$C$6= "June 2021", 1, IF(Output!$C$6= "June 2024", $I28, ""))</f>
        <v>1</v>
      </c>
      <c r="H28">
        <v>0.77428421800000002</v>
      </c>
      <c r="I28">
        <f>(401.039/379.662)</f>
        <v>1.0563053452808024</v>
      </c>
    </row>
    <row r="29" spans="1:9" x14ac:dyDescent="0.35">
      <c r="A29" s="4">
        <v>24</v>
      </c>
      <c r="B29" t="s">
        <v>94</v>
      </c>
      <c r="C29">
        <f t="shared" si="0"/>
        <v>0.7263059543782</v>
      </c>
      <c r="D29">
        <f t="shared" si="1"/>
        <v>0.69001135700000005</v>
      </c>
      <c r="F29" t="s">
        <v>719</v>
      </c>
      <c r="G29">
        <f>IF(Output!$C$6= "June 2021", 1, IF(Output!$C$6= "June 2024", $I29, ""))</f>
        <v>1</v>
      </c>
      <c r="H29">
        <v>0.69001135700000005</v>
      </c>
      <c r="I29">
        <f>(202.851/165.035)</f>
        <v>1.229139273487442</v>
      </c>
    </row>
    <row r="30" spans="1:9" x14ac:dyDescent="0.35">
      <c r="A30" s="4">
        <v>25</v>
      </c>
      <c r="B30" t="s">
        <v>96</v>
      </c>
      <c r="C30">
        <f t="shared" si="0"/>
        <v>0.376549487387</v>
      </c>
      <c r="D30">
        <f t="shared" si="1"/>
        <v>0.35773274500000002</v>
      </c>
      <c r="F30" t="s">
        <v>719</v>
      </c>
      <c r="G30">
        <f>IF(Output!$C$6= "June 2021", 1, IF(Output!$C$6= "June 2024", $I30, ""))</f>
        <v>1</v>
      </c>
      <c r="H30">
        <v>0.35773274500000002</v>
      </c>
      <c r="I30">
        <f>(202.851/165.035)</f>
        <v>1.229139273487442</v>
      </c>
    </row>
    <row r="31" spans="1:9" x14ac:dyDescent="0.35">
      <c r="A31" s="4">
        <v>26</v>
      </c>
      <c r="B31" t="s">
        <v>97</v>
      </c>
      <c r="C31">
        <f t="shared" si="0"/>
        <v>0.35255340413320002</v>
      </c>
      <c r="D31">
        <f t="shared" si="1"/>
        <v>0.33493578200000002</v>
      </c>
      <c r="F31" t="s">
        <v>718</v>
      </c>
      <c r="G31">
        <f>IF(Output!$C$6= "June 2021", 1, IF(Output!$C$6= "June 2024", $I31, ""))</f>
        <v>1</v>
      </c>
      <c r="H31">
        <v>0.33493578200000002</v>
      </c>
      <c r="I31">
        <f>(401.039/379.662)</f>
        <v>1.0563053452808024</v>
      </c>
    </row>
    <row r="32" spans="1:9" x14ac:dyDescent="0.35">
      <c r="A32" s="4">
        <v>27</v>
      </c>
      <c r="B32" t="s">
        <v>98</v>
      </c>
      <c r="C32">
        <f t="shared" si="0"/>
        <v>0.21554584711479999</v>
      </c>
      <c r="D32">
        <f t="shared" si="1"/>
        <v>0.204774698</v>
      </c>
      <c r="F32" t="s">
        <v>710</v>
      </c>
      <c r="G32">
        <f>IF(Output!$C$6= "June 2021", 1, IF(Output!$C$6= "June 2024", $I32, ""))</f>
        <v>1</v>
      </c>
      <c r="H32">
        <v>0.204774698</v>
      </c>
      <c r="I32">
        <f>(155.046/126.676)</f>
        <v>1.2239571821023714</v>
      </c>
    </row>
    <row r="33" spans="1:9" x14ac:dyDescent="0.35">
      <c r="A33" s="4">
        <v>28</v>
      </c>
      <c r="B33" t="s">
        <v>100</v>
      </c>
      <c r="C33">
        <f t="shared" si="0"/>
        <v>0.18125090757280002</v>
      </c>
      <c r="D33">
        <f t="shared" si="1"/>
        <v>0.17219352800000001</v>
      </c>
      <c r="F33" t="s">
        <v>710</v>
      </c>
      <c r="G33">
        <f>IF(Output!$C$6= "June 2021", 1, IF(Output!$C$6= "June 2024", $I33, ""))</f>
        <v>1</v>
      </c>
      <c r="H33">
        <v>0.17219352800000001</v>
      </c>
      <c r="I33">
        <f>(155.046/126.676)</f>
        <v>1.2239571821023714</v>
      </c>
    </row>
    <row r="34" spans="1:9" x14ac:dyDescent="0.35">
      <c r="A34" s="4">
        <v>29</v>
      </c>
      <c r="B34" t="s">
        <v>101</v>
      </c>
      <c r="C34">
        <f t="shared" si="0"/>
        <v>0.26469300212960001</v>
      </c>
      <c r="D34">
        <f t="shared" si="1"/>
        <v>0.25146589600000002</v>
      </c>
      <c r="F34" t="s">
        <v>720</v>
      </c>
      <c r="G34">
        <f>IF(Output!$C$6= "June 2021", 1, IF(Output!$C$6= "June 2024", $I34, ""))</f>
        <v>1</v>
      </c>
      <c r="H34">
        <v>0.25146589600000002</v>
      </c>
      <c r="I34">
        <f>(356.35/286.234)</f>
        <v>1.2449604170014745</v>
      </c>
    </row>
    <row r="35" spans="1:9" x14ac:dyDescent="0.35">
      <c r="A35" s="4">
        <v>30</v>
      </c>
      <c r="B35" t="s">
        <v>103</v>
      </c>
      <c r="C35">
        <f t="shared" si="0"/>
        <v>0.73779946850980005</v>
      </c>
      <c r="D35">
        <f t="shared" si="1"/>
        <v>0.70093052300000003</v>
      </c>
      <c r="F35" t="s">
        <v>720</v>
      </c>
      <c r="G35">
        <f>IF(Output!$C$6= "June 2021", 1, IF(Output!$C$6= "June 2024", $I35, ""))</f>
        <v>1</v>
      </c>
      <c r="H35">
        <v>0.70093052300000003</v>
      </c>
      <c r="I35">
        <f>(356.35/286.234)</f>
        <v>1.2449604170014745</v>
      </c>
    </row>
    <row r="36" spans="1:9" x14ac:dyDescent="0.35">
      <c r="A36" s="4">
        <v>31</v>
      </c>
      <c r="B36" t="s">
        <v>105</v>
      </c>
      <c r="C36">
        <f t="shared" si="0"/>
        <v>0.72955431692439998</v>
      </c>
      <c r="D36">
        <f t="shared" si="1"/>
        <v>0.69309739400000003</v>
      </c>
      <c r="F36" t="s">
        <v>720</v>
      </c>
      <c r="G36">
        <f>IF(Output!$C$6= "June 2021", 1, IF(Output!$C$6= "June 2024", $I36, ""))</f>
        <v>1</v>
      </c>
      <c r="H36">
        <v>0.69309739400000003</v>
      </c>
      <c r="I36">
        <f>(356.35/286.234)</f>
        <v>1.2449604170014745</v>
      </c>
    </row>
    <row r="37" spans="1:9" x14ac:dyDescent="0.35">
      <c r="A37" s="4">
        <v>32</v>
      </c>
      <c r="B37" t="s">
        <v>106</v>
      </c>
      <c r="C37">
        <f t="shared" si="0"/>
        <v>0.44217005660559999</v>
      </c>
      <c r="D37">
        <f t="shared" si="1"/>
        <v>0.42007415599999998</v>
      </c>
      <c r="F37" t="s">
        <v>720</v>
      </c>
      <c r="G37">
        <f>IF(Output!$C$6= "June 2021", 1, IF(Output!$C$6= "June 2024", $I37, ""))</f>
        <v>1</v>
      </c>
      <c r="H37">
        <v>0.42007415599999998</v>
      </c>
      <c r="I37">
        <f>(356.35/286.234)</f>
        <v>1.2449604170014745</v>
      </c>
    </row>
    <row r="38" spans="1:9" x14ac:dyDescent="0.35">
      <c r="A38" s="4">
        <v>33</v>
      </c>
      <c r="B38" t="s">
        <v>107</v>
      </c>
      <c r="C38">
        <f t="shared" si="0"/>
        <v>1.0209774023906</v>
      </c>
      <c r="D38">
        <f t="shared" si="1"/>
        <v>0.96995763099999999</v>
      </c>
      <c r="F38" t="s">
        <v>721</v>
      </c>
      <c r="G38">
        <f>IF(Output!$C$6= "June 2021", 1, IF(Output!$C$6= "June 2024", $I38, ""))</f>
        <v>1</v>
      </c>
      <c r="H38">
        <v>0.96995763099999999</v>
      </c>
      <c r="I38">
        <f>(333.485/295.103)</f>
        <v>1.1300630627272512</v>
      </c>
    </row>
    <row r="39" spans="1:9" x14ac:dyDescent="0.35">
      <c r="A39" s="4">
        <v>34</v>
      </c>
      <c r="B39" t="s">
        <v>109</v>
      </c>
      <c r="C39">
        <f t="shared" si="0"/>
        <v>2.1173582847142001</v>
      </c>
      <c r="D39">
        <f t="shared" si="1"/>
        <v>2.011550717</v>
      </c>
      <c r="F39" t="s">
        <v>721</v>
      </c>
      <c r="G39">
        <f>IF(Output!$C$6= "June 2021", 1, IF(Output!$C$6= "June 2024", $I39, ""))</f>
        <v>1</v>
      </c>
      <c r="H39">
        <v>2.011550717</v>
      </c>
      <c r="I39">
        <f>(333.485/295.103)</f>
        <v>1.1300630627272512</v>
      </c>
    </row>
    <row r="40" spans="1:9" x14ac:dyDescent="0.35">
      <c r="A40" s="4">
        <v>35</v>
      </c>
      <c r="B40" t="s">
        <v>110</v>
      </c>
      <c r="C40">
        <f t="shared" si="0"/>
        <v>1.2065556432974001</v>
      </c>
      <c r="D40">
        <f t="shared" si="1"/>
        <v>1.1462622490000001</v>
      </c>
      <c r="F40" t="s">
        <v>721</v>
      </c>
      <c r="G40">
        <f>IF(Output!$C$6= "June 2021", 1, IF(Output!$C$6= "June 2024", $I40, ""))</f>
        <v>1</v>
      </c>
      <c r="H40">
        <v>1.1462622490000001</v>
      </c>
      <c r="I40">
        <f>(333.485/295.103)</f>
        <v>1.1300630627272512</v>
      </c>
    </row>
    <row r="41" spans="1:9" x14ac:dyDescent="0.35">
      <c r="A41" s="4">
        <v>36</v>
      </c>
      <c r="B41" t="s">
        <v>112</v>
      </c>
      <c r="C41">
        <f t="shared" si="0"/>
        <v>2.3611808761328001</v>
      </c>
      <c r="D41">
        <f t="shared" si="1"/>
        <v>2.243189128</v>
      </c>
      <c r="F41" t="s">
        <v>721</v>
      </c>
      <c r="G41">
        <f>IF(Output!$C$6= "June 2021", 1, IF(Output!$C$6= "June 2024", $I41, ""))</f>
        <v>1</v>
      </c>
      <c r="H41">
        <v>2.243189128</v>
      </c>
      <c r="I41">
        <f>(333.485/295.103)</f>
        <v>1.1300630627272512</v>
      </c>
    </row>
    <row r="42" spans="1:9" x14ac:dyDescent="0.35">
      <c r="A42" s="4">
        <v>37</v>
      </c>
      <c r="B42" t="s">
        <v>113</v>
      </c>
      <c r="C42">
        <f t="shared" si="0"/>
        <v>1.3816218027339999</v>
      </c>
      <c r="D42">
        <f t="shared" si="1"/>
        <v>1.31258009</v>
      </c>
      <c r="F42" t="s">
        <v>721</v>
      </c>
      <c r="G42">
        <f>IF(Output!$C$6= "June 2021", 1, IF(Output!$C$6= "June 2024", $I42, ""))</f>
        <v>1</v>
      </c>
      <c r="H42">
        <v>1.31258009</v>
      </c>
      <c r="I42">
        <f>(333.485/295.103)</f>
        <v>1.1300630627272512</v>
      </c>
    </row>
    <row r="43" spans="1:9" x14ac:dyDescent="0.35">
      <c r="A43" s="4">
        <v>38</v>
      </c>
      <c r="B43" t="s">
        <v>115</v>
      </c>
      <c r="C43">
        <f t="shared" si="0"/>
        <v>0.33333417125379999</v>
      </c>
      <c r="D43">
        <f t="shared" si="1"/>
        <v>0.31667696299999998</v>
      </c>
      <c r="F43" t="s">
        <v>722</v>
      </c>
      <c r="G43">
        <f>IF(Output!$C$6= "June 2021", 1, IF(Output!$C$6= "June 2024", $I43, ""))</f>
        <v>1</v>
      </c>
      <c r="H43">
        <v>0.31667696299999998</v>
      </c>
      <c r="I43">
        <f>(305.465/257.075)</f>
        <v>1.1882330059321209</v>
      </c>
    </row>
    <row r="44" spans="1:9" x14ac:dyDescent="0.35">
      <c r="A44" s="4">
        <v>39</v>
      </c>
      <c r="B44" t="s">
        <v>117</v>
      </c>
      <c r="C44">
        <f t="shared" si="0"/>
        <v>0.32252775124560001</v>
      </c>
      <c r="D44">
        <f t="shared" si="1"/>
        <v>0.306410556</v>
      </c>
      <c r="F44" t="s">
        <v>722</v>
      </c>
      <c r="G44">
        <f>IF(Output!$C$6= "June 2021", 1, IF(Output!$C$6= "June 2024", $I44, ""))</f>
        <v>1</v>
      </c>
      <c r="H44">
        <v>0.306410556</v>
      </c>
      <c r="I44">
        <f>(305.465/257.075)</f>
        <v>1.1882330059321209</v>
      </c>
    </row>
    <row r="45" spans="1:9" x14ac:dyDescent="0.35">
      <c r="A45" s="4">
        <v>40</v>
      </c>
      <c r="B45" t="s">
        <v>119</v>
      </c>
      <c r="C45">
        <f t="shared" si="0"/>
        <v>0.28404112272119997</v>
      </c>
      <c r="D45">
        <f t="shared" si="1"/>
        <v>0.26984716199999997</v>
      </c>
      <c r="F45" t="s">
        <v>722</v>
      </c>
      <c r="G45">
        <f>IF(Output!$C$6= "June 2021", 1, IF(Output!$C$6= "June 2024", $I45, ""))</f>
        <v>1</v>
      </c>
      <c r="H45">
        <v>0.26984716199999997</v>
      </c>
      <c r="I45">
        <f>(305.465/257.075)</f>
        <v>1.1882330059321209</v>
      </c>
    </row>
    <row r="46" spans="1:9" x14ac:dyDescent="0.35">
      <c r="A46" s="4">
        <v>41</v>
      </c>
      <c r="B46" t="s">
        <v>120</v>
      </c>
      <c r="C46">
        <f t="shared" si="0"/>
        <v>0.2567613379814</v>
      </c>
      <c r="D46">
        <f t="shared" si="1"/>
        <v>0.243930589</v>
      </c>
      <c r="F46" t="s">
        <v>722</v>
      </c>
      <c r="G46">
        <f>IF(Output!$C$6= "June 2021", 1, IF(Output!$C$6= "June 2024", $I46, ""))</f>
        <v>1</v>
      </c>
      <c r="H46">
        <v>0.243930589</v>
      </c>
      <c r="I46">
        <f>(305.465/257.075)</f>
        <v>1.1882330059321209</v>
      </c>
    </row>
    <row r="47" spans="1:9" x14ac:dyDescent="0.35">
      <c r="A47" s="4">
        <v>42</v>
      </c>
      <c r="B47" t="s">
        <v>121</v>
      </c>
      <c r="C47">
        <f t="shared" si="0"/>
        <v>0.40105074390619999</v>
      </c>
      <c r="D47">
        <f t="shared" si="1"/>
        <v>0.38100963700000001</v>
      </c>
      <c r="F47" t="s">
        <v>87</v>
      </c>
      <c r="G47">
        <f>IF(Output!$C$6= "June 2021", 1, IF(Output!$C$6= "June 2024", $I47, ""))</f>
        <v>1</v>
      </c>
      <c r="H47">
        <v>0.38100963700000001</v>
      </c>
      <c r="I47">
        <f>(301.207/222.202)</f>
        <v>1.3555548554918497</v>
      </c>
    </row>
    <row r="48" spans="1:9" x14ac:dyDescent="0.35">
      <c r="A48" s="4">
        <v>43</v>
      </c>
      <c r="B48" t="s">
        <v>123</v>
      </c>
      <c r="C48">
        <f t="shared" si="0"/>
        <v>0.61002734389379998</v>
      </c>
      <c r="D48">
        <f t="shared" si="1"/>
        <v>0.57954336299999998</v>
      </c>
      <c r="F48" t="s">
        <v>87</v>
      </c>
      <c r="G48">
        <f>IF(Output!$C$6= "June 2021", 1, IF(Output!$C$6= "June 2024", $I48, ""))</f>
        <v>1</v>
      </c>
      <c r="H48">
        <v>0.57954336299999998</v>
      </c>
      <c r="I48">
        <f>(301.207/222.202)</f>
        <v>1.3555548554918497</v>
      </c>
    </row>
    <row r="49" spans="1:9" x14ac:dyDescent="0.35">
      <c r="A49" s="4">
        <v>44</v>
      </c>
      <c r="B49" t="s">
        <v>125</v>
      </c>
      <c r="C49">
        <f t="shared" si="0"/>
        <v>0.23255570943520001</v>
      </c>
      <c r="D49">
        <f t="shared" si="1"/>
        <v>0.22093455200000001</v>
      </c>
      <c r="F49" t="s">
        <v>722</v>
      </c>
      <c r="G49">
        <f>IF(Output!$C$6= "June 2021", 1, IF(Output!$C$6= "June 2024", $I49, ""))</f>
        <v>1</v>
      </c>
      <c r="H49">
        <v>0.22093455200000001</v>
      </c>
      <c r="I49">
        <f t="shared" ref="I49:I72" si="2">(305.465/257.075)</f>
        <v>1.1882330059321209</v>
      </c>
    </row>
    <row r="50" spans="1:9" x14ac:dyDescent="0.35">
      <c r="A50" s="4">
        <v>45</v>
      </c>
      <c r="B50" t="s">
        <v>127</v>
      </c>
      <c r="C50">
        <f t="shared" si="0"/>
        <v>0.50300915979880001</v>
      </c>
      <c r="D50">
        <f t="shared" si="1"/>
        <v>0.47787303800000003</v>
      </c>
      <c r="F50" t="s">
        <v>722</v>
      </c>
      <c r="G50">
        <f>IF(Output!$C$6= "June 2021", 1, IF(Output!$C$6= "June 2024", $I50, ""))</f>
        <v>1</v>
      </c>
      <c r="H50">
        <v>0.47787303800000003</v>
      </c>
      <c r="I50">
        <f t="shared" si="2"/>
        <v>1.1882330059321209</v>
      </c>
    </row>
    <row r="51" spans="1:9" x14ac:dyDescent="0.35">
      <c r="A51" s="4">
        <v>46</v>
      </c>
      <c r="B51" t="s">
        <v>129</v>
      </c>
      <c r="C51">
        <f t="shared" si="0"/>
        <v>0.62839346447260003</v>
      </c>
      <c r="D51">
        <f t="shared" si="1"/>
        <v>0.59699170099999999</v>
      </c>
      <c r="F51" t="s">
        <v>722</v>
      </c>
      <c r="G51">
        <f>IF(Output!$C$6= "June 2021", 1, IF(Output!$C$6= "June 2024", $I51, ""))</f>
        <v>1</v>
      </c>
      <c r="H51">
        <v>0.59699170099999999</v>
      </c>
      <c r="I51">
        <f t="shared" si="2"/>
        <v>1.1882330059321209</v>
      </c>
    </row>
    <row r="52" spans="1:9" x14ac:dyDescent="0.35">
      <c r="A52" s="4">
        <v>47</v>
      </c>
      <c r="B52" t="s">
        <v>130</v>
      </c>
      <c r="C52">
        <f t="shared" si="0"/>
        <v>0.87830496795520008</v>
      </c>
      <c r="D52">
        <f t="shared" si="1"/>
        <v>0.83441475200000004</v>
      </c>
      <c r="F52" t="s">
        <v>722</v>
      </c>
      <c r="G52">
        <f>IF(Output!$C$6= "June 2021", 1, IF(Output!$C$6= "June 2024", $I52, ""))</f>
        <v>1</v>
      </c>
      <c r="H52">
        <v>0.83441475200000004</v>
      </c>
      <c r="I52">
        <f t="shared" si="2"/>
        <v>1.1882330059321209</v>
      </c>
    </row>
    <row r="53" spans="1:9" x14ac:dyDescent="0.35">
      <c r="A53" s="4">
        <v>48</v>
      </c>
      <c r="B53" t="s">
        <v>131</v>
      </c>
      <c r="C53">
        <f t="shared" si="0"/>
        <v>0.62328871025139998</v>
      </c>
      <c r="D53">
        <f t="shared" si="1"/>
        <v>0.59214203899999995</v>
      </c>
      <c r="F53" t="s">
        <v>722</v>
      </c>
      <c r="G53">
        <f>IF(Output!$C$6= "June 2021", 1, IF(Output!$C$6= "June 2024", $I53, ""))</f>
        <v>1</v>
      </c>
      <c r="H53">
        <v>0.59214203899999995</v>
      </c>
      <c r="I53">
        <f t="shared" si="2"/>
        <v>1.1882330059321209</v>
      </c>
    </row>
    <row r="54" spans="1:9" x14ac:dyDescent="0.35">
      <c r="A54" s="4">
        <v>49</v>
      </c>
      <c r="B54" t="s">
        <v>133</v>
      </c>
      <c r="C54">
        <f t="shared" si="0"/>
        <v>0.96997797347199999</v>
      </c>
      <c r="D54">
        <f t="shared" si="1"/>
        <v>0.92150672</v>
      </c>
      <c r="F54" t="s">
        <v>722</v>
      </c>
      <c r="G54">
        <f>IF(Output!$C$6= "June 2021", 1, IF(Output!$C$6= "June 2024", $I54, ""))</f>
        <v>1</v>
      </c>
      <c r="H54">
        <v>0.92150672</v>
      </c>
      <c r="I54">
        <f t="shared" si="2"/>
        <v>1.1882330059321209</v>
      </c>
    </row>
    <row r="55" spans="1:9" x14ac:dyDescent="0.35">
      <c r="A55" s="4">
        <v>50</v>
      </c>
      <c r="B55" t="s">
        <v>135</v>
      </c>
      <c r="C55">
        <f t="shared" si="0"/>
        <v>1.0070036300374001</v>
      </c>
      <c r="D55">
        <f t="shared" si="1"/>
        <v>0.95668214900000004</v>
      </c>
      <c r="F55" t="s">
        <v>722</v>
      </c>
      <c r="G55">
        <f>IF(Output!$C$6= "June 2021", 1, IF(Output!$C$6= "June 2024", $I55, ""))</f>
        <v>1</v>
      </c>
      <c r="H55">
        <v>0.95668214900000004</v>
      </c>
      <c r="I55">
        <f t="shared" si="2"/>
        <v>1.1882330059321209</v>
      </c>
    </row>
    <row r="56" spans="1:9" x14ac:dyDescent="0.35">
      <c r="A56" s="4">
        <v>51</v>
      </c>
      <c r="B56" t="s">
        <v>136</v>
      </c>
      <c r="C56">
        <f t="shared" si="0"/>
        <v>0.46022077190999999</v>
      </c>
      <c r="D56">
        <f t="shared" si="1"/>
        <v>0.43722285</v>
      </c>
      <c r="F56" t="s">
        <v>722</v>
      </c>
      <c r="G56">
        <f>IF(Output!$C$6= "June 2021", 1, IF(Output!$C$6= "June 2024", $I56, ""))</f>
        <v>1</v>
      </c>
      <c r="H56">
        <v>0.43722285</v>
      </c>
      <c r="I56">
        <f t="shared" si="2"/>
        <v>1.1882330059321209</v>
      </c>
    </row>
    <row r="57" spans="1:9" x14ac:dyDescent="0.35">
      <c r="A57" s="4">
        <v>52</v>
      </c>
      <c r="B57" t="s">
        <v>137</v>
      </c>
      <c r="C57">
        <f t="shared" si="0"/>
        <v>0.71593412343719998</v>
      </c>
      <c r="D57">
        <f t="shared" si="1"/>
        <v>0.68015782199999997</v>
      </c>
      <c r="F57" t="s">
        <v>722</v>
      </c>
      <c r="G57">
        <f>IF(Output!$C$6= "June 2021", 1, IF(Output!$C$6= "June 2024", $I57, ""))</f>
        <v>1</v>
      </c>
      <c r="H57">
        <v>0.68015782199999997</v>
      </c>
      <c r="I57">
        <f t="shared" si="2"/>
        <v>1.1882330059321209</v>
      </c>
    </row>
    <row r="58" spans="1:9" x14ac:dyDescent="0.35">
      <c r="A58" s="4">
        <v>53</v>
      </c>
      <c r="B58" t="s">
        <v>139</v>
      </c>
      <c r="C58">
        <f t="shared" si="0"/>
        <v>0.86409267433679993</v>
      </c>
      <c r="D58">
        <f t="shared" si="1"/>
        <v>0.82091266799999996</v>
      </c>
      <c r="F58" t="s">
        <v>722</v>
      </c>
      <c r="G58">
        <f>IF(Output!$C$6= "June 2021", 1, IF(Output!$C$6= "June 2024", $I58, ""))</f>
        <v>1</v>
      </c>
      <c r="H58">
        <v>0.82091266799999996</v>
      </c>
      <c r="I58">
        <f t="shared" si="2"/>
        <v>1.1882330059321209</v>
      </c>
    </row>
    <row r="59" spans="1:9" x14ac:dyDescent="0.35">
      <c r="A59" s="4">
        <v>54</v>
      </c>
      <c r="B59" t="s">
        <v>141</v>
      </c>
      <c r="C59">
        <f t="shared" si="0"/>
        <v>0.8933848355456</v>
      </c>
      <c r="D59">
        <f t="shared" si="1"/>
        <v>0.84874105600000005</v>
      </c>
      <c r="F59" t="s">
        <v>722</v>
      </c>
      <c r="G59">
        <f>IF(Output!$C$6= "June 2021", 1, IF(Output!$C$6= "June 2024", $I59, ""))</f>
        <v>1</v>
      </c>
      <c r="H59">
        <v>0.84874105600000005</v>
      </c>
      <c r="I59">
        <f t="shared" si="2"/>
        <v>1.1882330059321209</v>
      </c>
    </row>
    <row r="60" spans="1:9" x14ac:dyDescent="0.35">
      <c r="A60" s="4">
        <v>55</v>
      </c>
      <c r="B60" t="s">
        <v>142</v>
      </c>
      <c r="C60">
        <f t="shared" si="0"/>
        <v>1.1298642262142</v>
      </c>
      <c r="D60">
        <f t="shared" si="1"/>
        <v>1.0734032170000001</v>
      </c>
      <c r="F60" t="s">
        <v>722</v>
      </c>
      <c r="G60">
        <f>IF(Output!$C$6= "June 2021", 1, IF(Output!$C$6= "June 2024", $I60, ""))</f>
        <v>1</v>
      </c>
      <c r="H60">
        <v>1.0734032170000001</v>
      </c>
      <c r="I60">
        <f t="shared" si="2"/>
        <v>1.1882330059321209</v>
      </c>
    </row>
    <row r="61" spans="1:9" x14ac:dyDescent="0.35">
      <c r="A61" s="4">
        <v>56</v>
      </c>
      <c r="B61" t="s">
        <v>143</v>
      </c>
      <c r="C61">
        <f t="shared" si="0"/>
        <v>0.61164659531479992</v>
      </c>
      <c r="D61">
        <f t="shared" si="1"/>
        <v>0.58108169799999998</v>
      </c>
      <c r="F61" t="s">
        <v>722</v>
      </c>
      <c r="G61">
        <f>IF(Output!$C$6= "June 2021", 1, IF(Output!$C$6= "June 2024", $I61, ""))</f>
        <v>1</v>
      </c>
      <c r="H61">
        <v>0.58108169799999998</v>
      </c>
      <c r="I61">
        <f t="shared" si="2"/>
        <v>1.1882330059321209</v>
      </c>
    </row>
    <row r="62" spans="1:9" x14ac:dyDescent="0.35">
      <c r="A62" s="4">
        <v>57</v>
      </c>
      <c r="B62" t="s">
        <v>145</v>
      </c>
      <c r="C62">
        <f t="shared" si="0"/>
        <v>1.1220298286215999</v>
      </c>
      <c r="D62">
        <f t="shared" si="1"/>
        <v>1.065960316</v>
      </c>
      <c r="F62" t="s">
        <v>722</v>
      </c>
      <c r="G62">
        <f>IF(Output!$C$6= "June 2021", 1, IF(Output!$C$6= "June 2024", $I62, ""))</f>
        <v>1</v>
      </c>
      <c r="H62">
        <v>1.065960316</v>
      </c>
      <c r="I62">
        <f t="shared" si="2"/>
        <v>1.1882330059321209</v>
      </c>
    </row>
    <row r="63" spans="1:9" x14ac:dyDescent="0.35">
      <c r="A63" s="4">
        <v>58</v>
      </c>
      <c r="B63" t="s">
        <v>146</v>
      </c>
      <c r="C63">
        <f t="shared" si="0"/>
        <v>1.4001116711792001</v>
      </c>
      <c r="D63">
        <f t="shared" si="1"/>
        <v>1.3301459920000001</v>
      </c>
      <c r="F63" t="s">
        <v>722</v>
      </c>
      <c r="G63">
        <f>IF(Output!$C$6= "June 2021", 1, IF(Output!$C$6= "June 2024", $I63, ""))</f>
        <v>1</v>
      </c>
      <c r="H63">
        <v>1.3301459920000001</v>
      </c>
      <c r="I63">
        <f t="shared" si="2"/>
        <v>1.1882330059321209</v>
      </c>
    </row>
    <row r="64" spans="1:9" x14ac:dyDescent="0.35">
      <c r="A64" s="4">
        <v>59</v>
      </c>
      <c r="B64" t="s">
        <v>148</v>
      </c>
      <c r="C64">
        <f t="shared" si="0"/>
        <v>0.52939132936259992</v>
      </c>
      <c r="D64">
        <f t="shared" si="1"/>
        <v>0.50293685099999996</v>
      </c>
      <c r="F64" t="s">
        <v>722</v>
      </c>
      <c r="G64">
        <f>IF(Output!$C$6= "June 2021", 1, IF(Output!$C$6= "June 2024", $I64, ""))</f>
        <v>1</v>
      </c>
      <c r="H64">
        <v>0.50293685099999996</v>
      </c>
      <c r="I64">
        <f t="shared" si="2"/>
        <v>1.1882330059321209</v>
      </c>
    </row>
    <row r="65" spans="1:9" x14ac:dyDescent="0.35">
      <c r="A65" s="4">
        <v>60</v>
      </c>
      <c r="B65" t="s">
        <v>149</v>
      </c>
      <c r="C65">
        <f t="shared" si="0"/>
        <v>0.12435823650939999</v>
      </c>
      <c r="D65">
        <f t="shared" si="1"/>
        <v>0.118143869</v>
      </c>
      <c r="F65" t="s">
        <v>722</v>
      </c>
      <c r="G65">
        <f>IF(Output!$C$6= "June 2021", 1, IF(Output!$C$6= "June 2024", $I65, ""))</f>
        <v>1</v>
      </c>
      <c r="H65">
        <v>0.118143869</v>
      </c>
      <c r="I65">
        <f t="shared" si="2"/>
        <v>1.1882330059321209</v>
      </c>
    </row>
    <row r="66" spans="1:9" x14ac:dyDescent="0.35">
      <c r="A66" s="4">
        <v>61</v>
      </c>
      <c r="B66" t="s">
        <v>151</v>
      </c>
      <c r="C66">
        <f t="shared" si="0"/>
        <v>0.48863640573120004</v>
      </c>
      <c r="D66">
        <f t="shared" si="1"/>
        <v>0.46421851200000003</v>
      </c>
      <c r="F66" t="s">
        <v>722</v>
      </c>
      <c r="G66">
        <f>IF(Output!$C$6= "June 2021", 1, IF(Output!$C$6= "June 2024", $I66, ""))</f>
        <v>1</v>
      </c>
      <c r="H66">
        <v>0.46421851200000003</v>
      </c>
      <c r="I66">
        <f t="shared" si="2"/>
        <v>1.1882330059321209</v>
      </c>
    </row>
    <row r="67" spans="1:9" x14ac:dyDescent="0.35">
      <c r="A67" s="4">
        <v>62</v>
      </c>
      <c r="B67" t="s">
        <v>153</v>
      </c>
      <c r="C67">
        <f t="shared" si="0"/>
        <v>0.30926290393979999</v>
      </c>
      <c r="D67">
        <f t="shared" si="1"/>
        <v>0.29380857300000002</v>
      </c>
      <c r="F67" t="s">
        <v>722</v>
      </c>
      <c r="G67">
        <f>IF(Output!$C$6= "June 2021", 1, IF(Output!$C$6= "June 2024", $I67, ""))</f>
        <v>1</v>
      </c>
      <c r="H67">
        <v>0.29380857300000002</v>
      </c>
      <c r="I67">
        <f t="shared" si="2"/>
        <v>1.1882330059321209</v>
      </c>
    </row>
    <row r="68" spans="1:9" x14ac:dyDescent="0.35">
      <c r="A68" s="4">
        <v>63</v>
      </c>
      <c r="B68" t="s">
        <v>154</v>
      </c>
      <c r="C68">
        <f t="shared" si="0"/>
        <v>0.4448043902048</v>
      </c>
      <c r="D68">
        <f t="shared" si="1"/>
        <v>0.422576848</v>
      </c>
      <c r="F68" t="s">
        <v>722</v>
      </c>
      <c r="G68">
        <f>IF(Output!$C$6= "June 2021", 1, IF(Output!$C$6= "June 2024", $I68, ""))</f>
        <v>1</v>
      </c>
      <c r="H68">
        <v>0.422576848</v>
      </c>
      <c r="I68">
        <f t="shared" si="2"/>
        <v>1.1882330059321209</v>
      </c>
    </row>
    <row r="69" spans="1:9" x14ac:dyDescent="0.35">
      <c r="A69" s="4">
        <v>64</v>
      </c>
      <c r="B69" t="s">
        <v>155</v>
      </c>
      <c r="C69">
        <f t="shared" si="0"/>
        <v>0.67716967377399995</v>
      </c>
      <c r="D69">
        <f t="shared" si="1"/>
        <v>0.64333048999999998</v>
      </c>
      <c r="F69" t="s">
        <v>722</v>
      </c>
      <c r="G69">
        <f>IF(Output!$C$6= "June 2021", 1, IF(Output!$C$6= "June 2024", $I69, ""))</f>
        <v>1</v>
      </c>
      <c r="H69">
        <v>0.64333048999999998</v>
      </c>
      <c r="I69">
        <f t="shared" si="2"/>
        <v>1.1882330059321209</v>
      </c>
    </row>
    <row r="70" spans="1:9" x14ac:dyDescent="0.35">
      <c r="A70" s="4">
        <v>65</v>
      </c>
      <c r="B70" t="s">
        <v>157</v>
      </c>
      <c r="C70">
        <f t="shared" si="0"/>
        <v>0.3788815826852</v>
      </c>
      <c r="D70">
        <f t="shared" si="1"/>
        <v>0.359948302</v>
      </c>
      <c r="F70" t="s">
        <v>722</v>
      </c>
      <c r="G70">
        <f>IF(Output!$C$6= "June 2021", 1, IF(Output!$C$6= "June 2024", $I70, ""))</f>
        <v>1</v>
      </c>
      <c r="H70">
        <v>0.359948302</v>
      </c>
      <c r="I70">
        <f t="shared" si="2"/>
        <v>1.1882330059321209</v>
      </c>
    </row>
    <row r="71" spans="1:9" x14ac:dyDescent="0.35">
      <c r="A71" s="4">
        <v>66</v>
      </c>
      <c r="B71" t="s">
        <v>158</v>
      </c>
      <c r="C71">
        <f t="shared" ref="C71:C102" si="3">D71*1.0526</f>
        <v>0.65992798788219997</v>
      </c>
      <c r="D71">
        <f t="shared" si="1"/>
        <v>0.62695039699999999</v>
      </c>
      <c r="F71" t="s">
        <v>722</v>
      </c>
      <c r="G71">
        <f>IF(Output!$C$6= "June 2021", 1, IF(Output!$C$6= "June 2024", $I71, ""))</f>
        <v>1</v>
      </c>
      <c r="H71">
        <v>0.62695039699999999</v>
      </c>
      <c r="I71">
        <f t="shared" si="2"/>
        <v>1.1882330059321209</v>
      </c>
    </row>
    <row r="72" spans="1:9" x14ac:dyDescent="0.35">
      <c r="A72" s="4">
        <v>67</v>
      </c>
      <c r="B72" t="s">
        <v>160</v>
      </c>
      <c r="C72">
        <f t="shared" si="3"/>
        <v>0.32372313643559997</v>
      </c>
      <c r="D72">
        <f t="shared" si="1"/>
        <v>0.30754620599999999</v>
      </c>
      <c r="F72" t="s">
        <v>722</v>
      </c>
      <c r="G72">
        <f>IF(Output!$C$6= "June 2021", 1, IF(Output!$C$6= "June 2024", $I72, ""))</f>
        <v>1</v>
      </c>
      <c r="H72">
        <v>0.30754620599999999</v>
      </c>
      <c r="I72">
        <f t="shared" si="2"/>
        <v>1.1882330059321209</v>
      </c>
    </row>
    <row r="73" spans="1:9" x14ac:dyDescent="0.35">
      <c r="A73" s="4">
        <v>68</v>
      </c>
      <c r="B73" t="s">
        <v>161</v>
      </c>
      <c r="C73">
        <f t="shared" si="3"/>
        <v>1.1732299673081998</v>
      </c>
      <c r="D73">
        <f t="shared" ref="D73:D102" si="4">$H73*$G73</f>
        <v>1.1146019069999999</v>
      </c>
      <c r="F73" t="s">
        <v>723</v>
      </c>
      <c r="G73">
        <f>IF(Output!$C$6= "June 2021", 1, IF(Output!$C$6= "June 2024", $I73, ""))</f>
        <v>1</v>
      </c>
      <c r="H73">
        <v>1.1146019069999999</v>
      </c>
      <c r="I73">
        <f>(311.447/258.898)</f>
        <v>1.202971826742578</v>
      </c>
    </row>
    <row r="74" spans="1:9" x14ac:dyDescent="0.35">
      <c r="A74" s="4">
        <v>69</v>
      </c>
      <c r="B74" t="s">
        <v>163</v>
      </c>
      <c r="C74">
        <f t="shared" si="3"/>
        <v>1.5553578062869999</v>
      </c>
      <c r="D74">
        <f t="shared" si="4"/>
        <v>1.477634245</v>
      </c>
      <c r="F74" t="s">
        <v>723</v>
      </c>
      <c r="G74">
        <f>IF(Output!$C$6= "June 2021", 1, IF(Output!$C$6= "June 2024", $I74, ""))</f>
        <v>1</v>
      </c>
      <c r="H74">
        <v>1.477634245</v>
      </c>
      <c r="I74">
        <f>(311.447/258.898)</f>
        <v>1.202971826742578</v>
      </c>
    </row>
    <row r="75" spans="1:9" x14ac:dyDescent="0.35">
      <c r="A75" s="4">
        <v>70</v>
      </c>
      <c r="B75" t="s">
        <v>165</v>
      </c>
      <c r="C75">
        <f t="shared" si="3"/>
        <v>0.59565395405580002</v>
      </c>
      <c r="D75">
        <f t="shared" si="4"/>
        <v>0.56588823300000002</v>
      </c>
      <c r="F75" t="s">
        <v>724</v>
      </c>
      <c r="G75">
        <f>IF(Output!$C$6= "June 2021", 1, IF(Output!$C$6= "June 2024", $I75, ""))</f>
        <v>1</v>
      </c>
      <c r="H75">
        <v>0.56588823300000002</v>
      </c>
      <c r="I75">
        <f>(229.285/165.614)</f>
        <v>1.3844542128080959</v>
      </c>
    </row>
    <row r="76" spans="1:9" x14ac:dyDescent="0.35">
      <c r="A76" s="4">
        <v>71</v>
      </c>
      <c r="B76" t="s">
        <v>167</v>
      </c>
      <c r="C76">
        <f t="shared" si="3"/>
        <v>0.84312247083019998</v>
      </c>
      <c r="D76">
        <f t="shared" si="4"/>
        <v>0.80099037699999998</v>
      </c>
      <c r="F76" t="s">
        <v>725</v>
      </c>
      <c r="G76">
        <f>IF(Output!$C$6= "June 2021", 1, IF(Output!$C$6= "June 2024", $I76, ""))</f>
        <v>1</v>
      </c>
      <c r="H76">
        <v>0.80099037699999998</v>
      </c>
      <c r="I76">
        <f>(305.323/255.917)</f>
        <v>1.1930547794792843</v>
      </c>
    </row>
    <row r="77" spans="1:9" x14ac:dyDescent="0.35">
      <c r="A77" s="4">
        <v>72</v>
      </c>
      <c r="B77" t="s">
        <v>169</v>
      </c>
      <c r="C77">
        <f t="shared" si="3"/>
        <v>1.0291538844571999</v>
      </c>
      <c r="D77">
        <f t="shared" si="4"/>
        <v>0.97772552199999996</v>
      </c>
      <c r="F77" t="s">
        <v>725</v>
      </c>
      <c r="G77">
        <f>IF(Output!$C$6= "June 2021", 1, IF(Output!$C$6= "June 2024", $I77, ""))</f>
        <v>1</v>
      </c>
      <c r="H77">
        <v>0.97772552199999996</v>
      </c>
      <c r="I77">
        <f>(305.323/255.917)</f>
        <v>1.1930547794792843</v>
      </c>
    </row>
    <row r="78" spans="1:9" x14ac:dyDescent="0.35">
      <c r="A78" s="4">
        <v>73</v>
      </c>
      <c r="B78" t="s">
        <v>171</v>
      </c>
      <c r="C78">
        <f t="shared" si="3"/>
        <v>1.5709376567722</v>
      </c>
      <c r="D78">
        <f t="shared" si="4"/>
        <v>1.4924355469999999</v>
      </c>
      <c r="F78" t="s">
        <v>725</v>
      </c>
      <c r="G78">
        <f>IF(Output!$C$6= "June 2021", 1, IF(Output!$C$6= "June 2024", $I78, ""))</f>
        <v>1</v>
      </c>
      <c r="H78">
        <v>1.4924355469999999</v>
      </c>
      <c r="I78">
        <f>(305.323/255.917)</f>
        <v>1.1930547794792843</v>
      </c>
    </row>
    <row r="79" spans="1:9" x14ac:dyDescent="0.35">
      <c r="A79" s="4">
        <v>74</v>
      </c>
      <c r="B79" t="s">
        <v>172</v>
      </c>
      <c r="C79">
        <f t="shared" si="3"/>
        <v>0.74689853237179993</v>
      </c>
      <c r="D79">
        <f t="shared" si="4"/>
        <v>0.70957489299999998</v>
      </c>
      <c r="F79" t="s">
        <v>725</v>
      </c>
      <c r="G79">
        <f>IF(Output!$C$6= "June 2021", 1, IF(Output!$C$6= "June 2024", $I79, ""))</f>
        <v>1</v>
      </c>
      <c r="H79">
        <v>0.70957489299999998</v>
      </c>
      <c r="I79">
        <f>(305.323/255.917)</f>
        <v>1.1930547794792843</v>
      </c>
    </row>
    <row r="80" spans="1:9" x14ac:dyDescent="0.35">
      <c r="A80" s="4">
        <v>75</v>
      </c>
      <c r="B80" t="s">
        <v>173</v>
      </c>
      <c r="C80">
        <f t="shared" si="3"/>
        <v>0.876470489307</v>
      </c>
      <c r="D80">
        <f t="shared" si="4"/>
        <v>0.83267194499999997</v>
      </c>
      <c r="F80" t="s">
        <v>726</v>
      </c>
      <c r="G80">
        <f>IF(Output!$C$6= "June 2021", 1, IF(Output!$C$6= "June 2024", $I80, ""))</f>
        <v>1</v>
      </c>
      <c r="H80">
        <v>0.83267194499999997</v>
      </c>
      <c r="I80">
        <f>(419.857/376.032)</f>
        <v>1.1165459322610842</v>
      </c>
    </row>
    <row r="81" spans="1:9" x14ac:dyDescent="0.35">
      <c r="A81" s="4">
        <v>76</v>
      </c>
      <c r="B81" t="s">
        <v>175</v>
      </c>
      <c r="C81">
        <f t="shared" si="3"/>
        <v>1.2751379015574</v>
      </c>
      <c r="D81">
        <f t="shared" si="4"/>
        <v>1.211417349</v>
      </c>
      <c r="F81" t="s">
        <v>727</v>
      </c>
      <c r="G81">
        <f>IF(Output!$C$6= "June 2021", 1, IF(Output!$C$6= "June 2024", $I81, ""))</f>
        <v>1</v>
      </c>
      <c r="H81">
        <v>1.211417349</v>
      </c>
      <c r="I81">
        <f>(171.993/138.212)</f>
        <v>1.244414377912193</v>
      </c>
    </row>
    <row r="82" spans="1:9" x14ac:dyDescent="0.35">
      <c r="A82" s="4">
        <v>77</v>
      </c>
      <c r="B82" t="s">
        <v>177</v>
      </c>
      <c r="C82">
        <f t="shared" si="3"/>
        <v>1.1402845062279998</v>
      </c>
      <c r="D82">
        <f t="shared" si="4"/>
        <v>1.0833027799999999</v>
      </c>
      <c r="F82" t="s">
        <v>728</v>
      </c>
      <c r="G82">
        <f>IF(Output!$C$6= "June 2021", 1, IF(Output!$C$6= "June 2024", $I82, ""))</f>
        <v>1</v>
      </c>
      <c r="H82">
        <v>1.0833027799999999</v>
      </c>
      <c r="I82">
        <f>(350.67/322.104)</f>
        <v>1.0886856419044781</v>
      </c>
    </row>
    <row r="83" spans="1:9" x14ac:dyDescent="0.35">
      <c r="A83" s="4">
        <v>78</v>
      </c>
      <c r="B83" t="s">
        <v>179</v>
      </c>
      <c r="C83">
        <f t="shared" si="3"/>
        <v>2.0835729814616002</v>
      </c>
      <c r="D83">
        <f t="shared" si="4"/>
        <v>1.9794537160000001</v>
      </c>
      <c r="F83" t="s">
        <v>728</v>
      </c>
      <c r="G83">
        <f>IF(Output!$C$6= "June 2021", 1, IF(Output!$C$6= "June 2024", $I83, ""))</f>
        <v>1</v>
      </c>
      <c r="H83">
        <v>1.9794537160000001</v>
      </c>
      <c r="I83">
        <f>(350.67/322.104)</f>
        <v>1.0886856419044781</v>
      </c>
    </row>
    <row r="84" spans="1:9" x14ac:dyDescent="0.35">
      <c r="A84" s="4">
        <v>79</v>
      </c>
      <c r="B84" t="s">
        <v>180</v>
      </c>
      <c r="C84">
        <f t="shared" si="3"/>
        <v>0.89676722459720004</v>
      </c>
      <c r="D84">
        <f t="shared" si="4"/>
        <v>0.85195442200000004</v>
      </c>
      <c r="F84" t="s">
        <v>729</v>
      </c>
      <c r="G84">
        <f>IF(Output!$C$6= "June 2021", 1, IF(Output!$C$6= "June 2024", $I84, ""))</f>
        <v>1</v>
      </c>
      <c r="H84">
        <v>0.85195442200000004</v>
      </c>
      <c r="I84">
        <f>(358.648/278.007)</f>
        <v>1.2900682356919071</v>
      </c>
    </row>
    <row r="85" spans="1:9" x14ac:dyDescent="0.35">
      <c r="A85" s="4">
        <v>80</v>
      </c>
      <c r="B85" t="s">
        <v>182</v>
      </c>
      <c r="C85">
        <f t="shared" si="3"/>
        <v>1.5305736950958</v>
      </c>
      <c r="D85">
        <f t="shared" si="4"/>
        <v>1.454088633</v>
      </c>
      <c r="F85" t="s">
        <v>723</v>
      </c>
      <c r="G85">
        <f>IF(Output!$C$6= "June 2021", 1, IF(Output!$C$6= "June 2024", $I85, ""))</f>
        <v>1</v>
      </c>
      <c r="H85">
        <v>1.454088633</v>
      </c>
      <c r="I85">
        <f>(311.447/258.898)</f>
        <v>1.202971826742578</v>
      </c>
    </row>
    <row r="86" spans="1:9" x14ac:dyDescent="0.35">
      <c r="A86" s="4">
        <v>81</v>
      </c>
      <c r="B86" t="s">
        <v>184</v>
      </c>
      <c r="C86">
        <f t="shared" si="3"/>
        <v>1.2115529565314</v>
      </c>
      <c r="D86">
        <f t="shared" si="4"/>
        <v>1.1510098390000001</v>
      </c>
      <c r="F86" t="s">
        <v>730</v>
      </c>
      <c r="G86">
        <f>IF(Output!$C$6= "June 2021", 1, IF(Output!$C$6= "June 2024", $I86, ""))</f>
        <v>1</v>
      </c>
      <c r="H86">
        <v>1.1510098390000001</v>
      </c>
      <c r="I86">
        <f>(194.822/159.138)</f>
        <v>1.2242330555869747</v>
      </c>
    </row>
    <row r="87" spans="1:9" x14ac:dyDescent="0.35">
      <c r="A87" s="4">
        <v>82</v>
      </c>
      <c r="B87" t="s">
        <v>186</v>
      </c>
      <c r="C87">
        <f t="shared" si="3"/>
        <v>1.1267989087028001</v>
      </c>
      <c r="D87">
        <f t="shared" si="4"/>
        <v>1.0704910780000001</v>
      </c>
      <c r="F87" t="s">
        <v>723</v>
      </c>
      <c r="G87">
        <f>IF(Output!$C$6= "June 2021", 1, IF(Output!$C$6= "June 2024", $I87, ""))</f>
        <v>1</v>
      </c>
      <c r="H87">
        <v>1.0704910780000001</v>
      </c>
      <c r="I87">
        <f>(311.447/258.898)</f>
        <v>1.202971826742578</v>
      </c>
    </row>
    <row r="88" spans="1:9" x14ac:dyDescent="0.35">
      <c r="A88" s="4">
        <v>83</v>
      </c>
      <c r="B88" t="s">
        <v>188</v>
      </c>
      <c r="C88">
        <f t="shared" si="3"/>
        <v>1.1456546609079998</v>
      </c>
      <c r="D88">
        <f t="shared" si="4"/>
        <v>1.08840458</v>
      </c>
      <c r="F88" t="s">
        <v>731</v>
      </c>
      <c r="G88">
        <f>IF(Output!$C$6= "June 2021", 1, IF(Output!$C$6= "June 2024", $I88, ""))</f>
        <v>1</v>
      </c>
      <c r="H88">
        <v>1.08840458</v>
      </c>
      <c r="I88">
        <f>(439.217/322.864)</f>
        <v>1.360377744189504</v>
      </c>
    </row>
    <row r="89" spans="1:9" x14ac:dyDescent="0.35">
      <c r="A89" s="4">
        <v>84</v>
      </c>
      <c r="B89" t="s">
        <v>190</v>
      </c>
      <c r="C89">
        <f t="shared" si="3"/>
        <v>0.89222008312079992</v>
      </c>
      <c r="D89">
        <f t="shared" si="4"/>
        <v>0.84763450799999995</v>
      </c>
      <c r="F89" t="s">
        <v>731</v>
      </c>
      <c r="G89">
        <f>IF(Output!$C$6= "June 2021", 1, IF(Output!$C$6= "June 2024", $I89, ""))</f>
        <v>1</v>
      </c>
      <c r="H89">
        <v>0.84763450799999995</v>
      </c>
      <c r="I89">
        <f>(439.217/322.864)</f>
        <v>1.360377744189504</v>
      </c>
    </row>
    <row r="90" spans="1:9" x14ac:dyDescent="0.35">
      <c r="A90" s="4">
        <v>85</v>
      </c>
      <c r="B90" t="s">
        <v>192</v>
      </c>
      <c r="C90">
        <f t="shared" si="3"/>
        <v>0.45713767598460003</v>
      </c>
      <c r="D90">
        <f t="shared" si="4"/>
        <v>0.43429382100000002</v>
      </c>
      <c r="F90" t="s">
        <v>732</v>
      </c>
      <c r="G90">
        <f>IF(Output!$C$6= "June 2021", 1, IF(Output!$C$6= "June 2024", $I90, ""))</f>
        <v>1</v>
      </c>
      <c r="H90">
        <v>0.43429382100000002</v>
      </c>
      <c r="I90">
        <f>(279.373/231.096)</f>
        <v>1.2089045245266037</v>
      </c>
    </row>
    <row r="91" spans="1:9" x14ac:dyDescent="0.35">
      <c r="A91" s="4">
        <v>86</v>
      </c>
      <c r="B91" t="s">
        <v>194</v>
      </c>
      <c r="C91">
        <f t="shared" si="3"/>
        <v>0.83573470510140002</v>
      </c>
      <c r="D91">
        <f t="shared" si="4"/>
        <v>0.79397178899999998</v>
      </c>
      <c r="F91" t="s">
        <v>723</v>
      </c>
      <c r="G91">
        <f>IF(Output!$C$6= "June 2021", 1, IF(Output!$C$6= "June 2024", $I91, ""))</f>
        <v>1</v>
      </c>
      <c r="H91">
        <v>0.79397178899999998</v>
      </c>
      <c r="I91">
        <f>(311.447/258.898)</f>
        <v>1.202971826742578</v>
      </c>
    </row>
    <row r="92" spans="1:9" x14ac:dyDescent="0.35">
      <c r="A92" s="4">
        <v>87</v>
      </c>
      <c r="B92" t="s">
        <v>196</v>
      </c>
      <c r="C92">
        <f t="shared" si="3"/>
        <v>1.0911652166930002</v>
      </c>
      <c r="D92">
        <f t="shared" si="4"/>
        <v>1.0366380550000001</v>
      </c>
      <c r="F92" t="s">
        <v>723</v>
      </c>
      <c r="G92">
        <f>IF(Output!$C$6= "June 2021", 1, IF(Output!$C$6= "June 2024", $I92, ""))</f>
        <v>1</v>
      </c>
      <c r="H92">
        <v>1.0366380550000001</v>
      </c>
      <c r="I92">
        <f>(311.447/258.898)</f>
        <v>1.202971826742578</v>
      </c>
    </row>
    <row r="93" spans="1:9" x14ac:dyDescent="0.35">
      <c r="A93" s="4">
        <v>88</v>
      </c>
      <c r="B93" t="s">
        <v>198</v>
      </c>
      <c r="C93">
        <f t="shared" si="3"/>
        <v>0.78088681164019991</v>
      </c>
      <c r="D93">
        <f t="shared" si="4"/>
        <v>0.74186472699999995</v>
      </c>
      <c r="F93" t="s">
        <v>723</v>
      </c>
      <c r="G93">
        <f>IF(Output!$C$6= "June 2021", 1, IF(Output!$C$6= "June 2024", $I93, ""))</f>
        <v>1</v>
      </c>
      <c r="H93">
        <v>0.74186472699999995</v>
      </c>
      <c r="I93">
        <f>(311.447/258.898)</f>
        <v>1.202971826742578</v>
      </c>
    </row>
    <row r="94" spans="1:9" x14ac:dyDescent="0.35">
      <c r="A94" s="4">
        <v>89</v>
      </c>
      <c r="B94" t="s">
        <v>200</v>
      </c>
      <c r="C94">
        <f t="shared" si="3"/>
        <v>0.44789516800500001</v>
      </c>
      <c r="D94">
        <f t="shared" si="4"/>
        <v>0.42551317500000002</v>
      </c>
      <c r="F94" t="s">
        <v>733</v>
      </c>
      <c r="G94">
        <f>IF(Output!$C$6= "June 2021", 1, IF(Output!$C$6= "June 2024", $I94, ""))</f>
        <v>1</v>
      </c>
      <c r="H94">
        <v>0.42551317500000002</v>
      </c>
      <c r="I94">
        <f>(269.439/207.611)</f>
        <v>1.2978069562788102</v>
      </c>
    </row>
    <row r="95" spans="1:9" x14ac:dyDescent="0.35">
      <c r="A95" s="4">
        <v>90</v>
      </c>
      <c r="B95" t="s">
        <v>202</v>
      </c>
      <c r="C95">
        <f t="shared" si="3"/>
        <v>0.51711716707220001</v>
      </c>
      <c r="D95">
        <f t="shared" si="4"/>
        <v>0.49127604699999999</v>
      </c>
      <c r="F95" t="s">
        <v>734</v>
      </c>
      <c r="G95">
        <f>IF(Output!$C$6= "June 2021", 1, IF(Output!$C$6= "June 2024", $I95, ""))</f>
        <v>1</v>
      </c>
      <c r="H95">
        <v>0.49127604699999999</v>
      </c>
      <c r="I95">
        <f t="shared" ref="I95:I102" si="5">(379.037/349.321)</f>
        <v>1.0850678888472205</v>
      </c>
    </row>
    <row r="96" spans="1:9" x14ac:dyDescent="0.35">
      <c r="A96" s="4">
        <v>91</v>
      </c>
      <c r="B96" t="s">
        <v>204</v>
      </c>
      <c r="C96">
        <f t="shared" si="3"/>
        <v>0.91612619959999997</v>
      </c>
      <c r="D96">
        <f t="shared" si="4"/>
        <v>0.87034599999999995</v>
      </c>
      <c r="F96" t="s">
        <v>734</v>
      </c>
      <c r="G96">
        <f>IF(Output!$C$6= "June 2021", 1, IF(Output!$C$6= "June 2024", $I96, ""))</f>
        <v>1</v>
      </c>
      <c r="H96">
        <v>0.87034599999999995</v>
      </c>
      <c r="I96">
        <f t="shared" si="5"/>
        <v>1.0850678888472205</v>
      </c>
    </row>
    <row r="97" spans="1:9" x14ac:dyDescent="0.35">
      <c r="A97" s="4">
        <v>92</v>
      </c>
      <c r="B97" t="s">
        <v>205</v>
      </c>
      <c r="C97">
        <f t="shared" si="3"/>
        <v>0.35158105225200004</v>
      </c>
      <c r="D97">
        <f t="shared" si="4"/>
        <v>0.33401202000000002</v>
      </c>
      <c r="F97" t="s">
        <v>734</v>
      </c>
      <c r="G97">
        <f>IF(Output!$C$6= "June 2021", 1, IF(Output!$C$6= "June 2024", $I97, ""))</f>
        <v>1</v>
      </c>
      <c r="H97">
        <v>0.33401202000000002</v>
      </c>
      <c r="I97">
        <f t="shared" si="5"/>
        <v>1.0850678888472205</v>
      </c>
    </row>
    <row r="98" spans="1:9" x14ac:dyDescent="0.35">
      <c r="A98" s="4">
        <v>93</v>
      </c>
      <c r="B98" t="s">
        <v>207</v>
      </c>
      <c r="C98">
        <f t="shared" si="3"/>
        <v>0.67335154832120003</v>
      </c>
      <c r="D98">
        <f t="shared" si="4"/>
        <v>0.63970316199999999</v>
      </c>
      <c r="F98" t="s">
        <v>734</v>
      </c>
      <c r="G98">
        <f>IF(Output!$C$6= "June 2021", 1, IF(Output!$C$6= "June 2024", $I98, ""))</f>
        <v>1</v>
      </c>
      <c r="H98">
        <v>0.63970316199999999</v>
      </c>
      <c r="I98">
        <f t="shared" si="5"/>
        <v>1.0850678888472205</v>
      </c>
    </row>
    <row r="99" spans="1:9" x14ac:dyDescent="0.35">
      <c r="A99" s="4">
        <v>94</v>
      </c>
      <c r="B99" t="s">
        <v>208</v>
      </c>
      <c r="C99">
        <f t="shared" si="3"/>
        <v>0.58666249328140008</v>
      </c>
      <c r="D99">
        <f t="shared" si="4"/>
        <v>0.55734608900000004</v>
      </c>
      <c r="F99" t="s">
        <v>734</v>
      </c>
      <c r="G99">
        <f>IF(Output!$C$6= "June 2021", 1, IF(Output!$C$6= "June 2024", $I99, ""))</f>
        <v>1</v>
      </c>
      <c r="H99">
        <v>0.55734608900000004</v>
      </c>
      <c r="I99">
        <f t="shared" si="5"/>
        <v>1.0850678888472205</v>
      </c>
    </row>
    <row r="100" spans="1:9" x14ac:dyDescent="0.35">
      <c r="A100" s="4">
        <v>95</v>
      </c>
      <c r="B100" t="s">
        <v>210</v>
      </c>
      <c r="C100">
        <f t="shared" si="3"/>
        <v>0.3632339142346</v>
      </c>
      <c r="D100">
        <f t="shared" si="4"/>
        <v>0.345082571</v>
      </c>
      <c r="F100" t="s">
        <v>734</v>
      </c>
      <c r="G100">
        <f>IF(Output!$C$6= "June 2021", 1, IF(Output!$C$6= "June 2024", $I100, ""))</f>
        <v>1</v>
      </c>
      <c r="H100">
        <v>0.345082571</v>
      </c>
      <c r="I100">
        <f t="shared" si="5"/>
        <v>1.0850678888472205</v>
      </c>
    </row>
    <row r="101" spans="1:9" x14ac:dyDescent="0.35">
      <c r="A101" s="4">
        <v>96</v>
      </c>
      <c r="B101" t="s">
        <v>211</v>
      </c>
      <c r="C101">
        <f t="shared" si="3"/>
        <v>0.30649631325580001</v>
      </c>
      <c r="D101">
        <f t="shared" si="4"/>
        <v>0.29118023300000001</v>
      </c>
      <c r="F101" t="s">
        <v>734</v>
      </c>
      <c r="G101">
        <f>IF(Output!$C$6= "June 2021", 1, IF(Output!$C$6= "June 2024", $I101, ""))</f>
        <v>1</v>
      </c>
      <c r="H101">
        <v>0.29118023300000001</v>
      </c>
      <c r="I101">
        <f t="shared" si="5"/>
        <v>1.0850678888472205</v>
      </c>
    </row>
    <row r="102" spans="1:9" x14ac:dyDescent="0.35">
      <c r="A102" s="4">
        <v>97</v>
      </c>
      <c r="B102" t="s">
        <v>213</v>
      </c>
      <c r="C102">
        <f t="shared" si="3"/>
        <v>0.47988254519700002</v>
      </c>
      <c r="D102">
        <f t="shared" si="4"/>
        <v>0.45590209500000001</v>
      </c>
      <c r="F102" t="s">
        <v>734</v>
      </c>
      <c r="G102">
        <f>IF(Output!$C$6= "June 2021", 1, IF(Output!$C$6= "June 2024", $I102, ""))</f>
        <v>1</v>
      </c>
      <c r="H102">
        <v>0.45590209500000001</v>
      </c>
      <c r="I102">
        <f t="shared" si="5"/>
        <v>1.0850678888472205</v>
      </c>
    </row>
  </sheetData>
  <sheetProtection sheet="1" objects="1" scenarios="1" selectLockedCells="1"/>
  <pageMargins left="0.7" right="0.7" top="0.75" bottom="0.75" header="0.3" footer="0.3"/>
  <ignoredErrors>
    <ignoredError sqref="I86"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66B1E-4F9B-4043-811C-0B40520C82D3}">
  <sheetPr>
    <tabColor theme="0"/>
  </sheetPr>
  <dimension ref="A1:K11"/>
  <sheetViews>
    <sheetView zoomScale="80" zoomScaleNormal="80" workbookViewId="0">
      <selection sqref="A1:XFD1048576"/>
    </sheetView>
  </sheetViews>
  <sheetFormatPr defaultRowHeight="14.5" x14ac:dyDescent="0.35"/>
  <cols>
    <col min="1" max="1" width="39.453125" customWidth="1"/>
    <col min="2" max="2" width="22.26953125" customWidth="1"/>
    <col min="3" max="3" width="23.453125" customWidth="1"/>
    <col min="4" max="4" width="24.1796875" customWidth="1"/>
    <col min="5" max="5" width="27" customWidth="1"/>
    <col min="6" max="6" width="35.453125" customWidth="1"/>
    <col min="7" max="7" width="21.54296875" customWidth="1"/>
    <col min="8" max="8" width="22.26953125" customWidth="1"/>
    <col min="9" max="9" width="25.7265625" customWidth="1"/>
    <col min="10" max="10" width="29.81640625" customWidth="1"/>
    <col min="11" max="11" width="36.54296875" customWidth="1"/>
  </cols>
  <sheetData>
    <row r="1" spans="1:11" ht="18.5" x14ac:dyDescent="0.45">
      <c r="A1" s="8" t="s">
        <v>735</v>
      </c>
      <c r="B1" s="8"/>
    </row>
    <row r="2" spans="1:11" x14ac:dyDescent="0.35">
      <c r="A2" s="1" t="s">
        <v>736</v>
      </c>
      <c r="B2" s="1"/>
      <c r="H2" s="1"/>
      <c r="I2" s="186"/>
      <c r="J2" s="187"/>
      <c r="K2" s="187"/>
    </row>
    <row r="3" spans="1:11" x14ac:dyDescent="0.35">
      <c r="A3" s="1"/>
      <c r="B3" s="188" t="s">
        <v>25</v>
      </c>
      <c r="C3" s="188"/>
      <c r="D3" s="188"/>
      <c r="E3" s="188"/>
      <c r="F3" s="189"/>
      <c r="G3" s="190" t="s">
        <v>81</v>
      </c>
      <c r="H3" s="188"/>
      <c r="I3" s="188"/>
      <c r="J3" s="188"/>
      <c r="K3" s="189"/>
    </row>
    <row r="4" spans="1:11" s="17" customFormat="1" ht="15" thickBot="1" x14ac:dyDescent="0.4">
      <c r="A4" s="19" t="s">
        <v>737</v>
      </c>
      <c r="B4" s="19" t="s">
        <v>65</v>
      </c>
      <c r="C4" s="19" t="s">
        <v>67</v>
      </c>
      <c r="D4" s="19" t="s">
        <v>72</v>
      </c>
      <c r="E4" s="19" t="s">
        <v>24</v>
      </c>
      <c r="F4" s="91" t="s">
        <v>75</v>
      </c>
      <c r="G4" s="93" t="s">
        <v>65</v>
      </c>
      <c r="H4" s="19" t="s">
        <v>67</v>
      </c>
      <c r="I4" s="19" t="s">
        <v>72</v>
      </c>
      <c r="J4" s="19" t="s">
        <v>24</v>
      </c>
      <c r="K4" s="91" t="s">
        <v>75</v>
      </c>
    </row>
    <row r="5" spans="1:11" s="4" customFormat="1" x14ac:dyDescent="0.35">
      <c r="A5" s="106"/>
      <c r="B5" s="106" t="str">
        <f>B$4&amp;"|"&amp;$B$3</f>
        <v>Child, 6-8yrs|June 2021</v>
      </c>
      <c r="C5" s="106" t="str">
        <f t="shared" ref="C5:F5" si="0">C$4&amp;"|"&amp;$B$3</f>
        <v>Child, 9-11yrs|June 2021</v>
      </c>
      <c r="D5" s="106" t="str">
        <f t="shared" si="0"/>
        <v>Male, 20-50yrs|June 2021</v>
      </c>
      <c r="E5" s="106" t="str">
        <f t="shared" si="0"/>
        <v>Female, 20-50yrs|June 2021</v>
      </c>
      <c r="F5" s="106" t="str">
        <f t="shared" si="0"/>
        <v>Reference Family of Four|June 2021</v>
      </c>
      <c r="G5" s="106" t="str">
        <f>G$4&amp;"|"&amp;$G$3</f>
        <v>Child, 6-8yrs|June 2024</v>
      </c>
      <c r="H5" s="106" t="str">
        <f t="shared" ref="H5:K5" si="1">H$4&amp;"|"&amp;$G$3</f>
        <v>Child, 9-11yrs|June 2024</v>
      </c>
      <c r="I5" s="106" t="str">
        <f t="shared" si="1"/>
        <v>Male, 20-50yrs|June 2024</v>
      </c>
      <c r="J5" s="106" t="str">
        <f t="shared" si="1"/>
        <v>Female, 20-50yrs|June 2024</v>
      </c>
      <c r="K5" s="94" t="str">
        <f t="shared" si="1"/>
        <v>Reference Family of Four|June 2024</v>
      </c>
    </row>
    <row r="6" spans="1:11" x14ac:dyDescent="0.35">
      <c r="A6" s="1" t="s">
        <v>738</v>
      </c>
      <c r="B6" s="37">
        <f>B7*4.333</f>
        <v>171.76012</v>
      </c>
      <c r="C6" s="37">
        <f t="shared" ref="C6:F6" si="2">C7*4.333</f>
        <v>198.01810000000003</v>
      </c>
      <c r="D6" s="37">
        <f t="shared" si="2"/>
        <v>258.46345000000002</v>
      </c>
      <c r="E6" s="37">
        <f t="shared" si="2"/>
        <v>207.37738000000002</v>
      </c>
      <c r="F6" s="37">
        <f t="shared" si="2"/>
        <v>835.61905000000002</v>
      </c>
      <c r="G6" s="75">
        <f>G7*4.333</f>
        <v>199.75130000000001</v>
      </c>
      <c r="H6" s="16">
        <f t="shared" ref="H6:K6" si="3">H7*4.333</f>
        <v>230.94890000000001</v>
      </c>
      <c r="I6" s="16">
        <f t="shared" si="3"/>
        <v>303.74329999999998</v>
      </c>
      <c r="J6" s="16">
        <f t="shared" si="3"/>
        <v>242.64800000000002</v>
      </c>
      <c r="K6" s="15">
        <f t="shared" si="3"/>
        <v>976.65820000000008</v>
      </c>
    </row>
    <row r="7" spans="1:11" x14ac:dyDescent="0.35">
      <c r="A7" s="1" t="s">
        <v>739</v>
      </c>
      <c r="B7" s="9">
        <v>39.64</v>
      </c>
      <c r="C7" s="37">
        <v>45.7</v>
      </c>
      <c r="D7" s="9">
        <v>59.65</v>
      </c>
      <c r="E7" s="9">
        <v>47.86</v>
      </c>
      <c r="F7" s="92">
        <f t="shared" ref="F7" si="4">F8*7</f>
        <v>192.85</v>
      </c>
      <c r="G7" s="75">
        <v>46.1</v>
      </c>
      <c r="H7" s="16">
        <v>53.3</v>
      </c>
      <c r="I7" s="37">
        <v>70.099999999999994</v>
      </c>
      <c r="J7" s="16">
        <v>56</v>
      </c>
      <c r="K7" s="15">
        <v>225.4</v>
      </c>
    </row>
    <row r="8" spans="1:11" x14ac:dyDescent="0.35">
      <c r="A8" s="1" t="s">
        <v>740</v>
      </c>
      <c r="B8" s="37">
        <f>B7/7</f>
        <v>5.6628571428571428</v>
      </c>
      <c r="C8" s="16">
        <f>C7/7</f>
        <v>6.5285714285714294</v>
      </c>
      <c r="D8" s="16">
        <f>D7/7</f>
        <v>8.5214285714285705</v>
      </c>
      <c r="E8" s="16">
        <f>E7/7</f>
        <v>6.8371428571428572</v>
      </c>
      <c r="F8" s="15">
        <f>SUM(B8:E8)</f>
        <v>27.55</v>
      </c>
      <c r="G8" s="16">
        <f>G7/7</f>
        <v>6.5857142857142863</v>
      </c>
      <c r="H8" s="16">
        <f t="shared" ref="H8:K8" si="5">H7/7</f>
        <v>7.6142857142857139</v>
      </c>
      <c r="I8" s="16">
        <f t="shared" si="5"/>
        <v>10.014285714285714</v>
      </c>
      <c r="J8" s="16">
        <f t="shared" si="5"/>
        <v>8</v>
      </c>
      <c r="K8" s="15">
        <f t="shared" si="5"/>
        <v>32.200000000000003</v>
      </c>
    </row>
    <row r="9" spans="1:11" x14ac:dyDescent="0.35">
      <c r="A9" s="1"/>
      <c r="B9" s="1"/>
      <c r="C9" s="2"/>
      <c r="D9" s="2"/>
      <c r="I9" s="1"/>
      <c r="J9" s="4"/>
    </row>
    <row r="10" spans="1:11" x14ac:dyDescent="0.35">
      <c r="A10" s="1"/>
      <c r="B10" s="1"/>
      <c r="C10" s="2"/>
      <c r="D10" s="2"/>
      <c r="I10" s="1"/>
      <c r="J10" s="4"/>
    </row>
    <row r="11" spans="1:11" x14ac:dyDescent="0.35">
      <c r="A11" s="1"/>
      <c r="B11" s="1"/>
      <c r="C11" s="33"/>
      <c r="D11" s="34"/>
    </row>
  </sheetData>
  <sheetProtection sheet="1" objects="1" scenarios="1" selectLockedCells="1"/>
  <mergeCells count="3">
    <mergeCell ref="I2:K2"/>
    <mergeCell ref="B3:F3"/>
    <mergeCell ref="G3:K3"/>
  </mergeCells>
  <pageMargins left="0.7" right="0.7" top="0.75" bottom="0.75" header="0.3" footer="0.3"/>
  <ignoredErrors>
    <ignoredError sqref="F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DF76-08ED-4C6D-8DDB-5A1510AA2745}">
  <sheetPr>
    <tabColor theme="0"/>
  </sheetPr>
  <dimension ref="A1:AT27"/>
  <sheetViews>
    <sheetView zoomScale="110" zoomScaleNormal="110" workbookViewId="0">
      <pane xSplit="1" ySplit="3" topLeftCell="B4" activePane="bottomRight" state="frozen"/>
      <selection pane="topRight" activeCell="B1" sqref="B1"/>
      <selection pane="bottomLeft" activeCell="A4" sqref="A4"/>
      <selection pane="bottomRight" sqref="A1:XFD1048576"/>
    </sheetView>
  </sheetViews>
  <sheetFormatPr defaultRowHeight="14.5" x14ac:dyDescent="0.35"/>
  <cols>
    <col min="1" max="1" width="38.54296875" customWidth="1"/>
    <col min="3" max="3" width="10.54296875" customWidth="1"/>
    <col min="10" max="10" width="10.453125" customWidth="1"/>
    <col min="11" max="11" width="13.54296875" customWidth="1"/>
    <col min="12" max="12" width="10.453125" customWidth="1"/>
    <col min="36" max="36" width="10.1796875" customWidth="1"/>
    <col min="41" max="41" width="10.81640625" bestFit="1" customWidth="1"/>
    <col min="46" max="46" width="8.1796875" customWidth="1"/>
  </cols>
  <sheetData>
    <row r="1" spans="1:46" ht="18.5" x14ac:dyDescent="0.45">
      <c r="A1" s="8" t="s">
        <v>741</v>
      </c>
    </row>
    <row r="2" spans="1:46" x14ac:dyDescent="0.35">
      <c r="A2" s="1" t="s">
        <v>742</v>
      </c>
    </row>
    <row r="3" spans="1:46" s="17" customFormat="1" ht="66" thickBot="1" x14ac:dyDescent="0.4">
      <c r="B3" s="21" t="s">
        <v>482</v>
      </c>
      <c r="C3" s="21" t="s">
        <v>576</v>
      </c>
      <c r="D3" s="21" t="s">
        <v>578</v>
      </c>
      <c r="E3" s="21" t="s">
        <v>470</v>
      </c>
      <c r="F3" s="21" t="s">
        <v>483</v>
      </c>
      <c r="G3" s="21" t="s">
        <v>580</v>
      </c>
      <c r="H3" s="21" t="s">
        <v>484</v>
      </c>
      <c r="I3" s="21" t="s">
        <v>485</v>
      </c>
      <c r="J3" s="21" t="s">
        <v>581</v>
      </c>
      <c r="K3" s="21" t="s">
        <v>582</v>
      </c>
      <c r="L3" s="21" t="s">
        <v>583</v>
      </c>
      <c r="M3" s="21" t="s">
        <v>486</v>
      </c>
      <c r="N3" s="21" t="s">
        <v>584</v>
      </c>
      <c r="O3" s="21" t="s">
        <v>491</v>
      </c>
      <c r="P3" s="21" t="s">
        <v>585</v>
      </c>
      <c r="Q3" s="21" t="s">
        <v>489</v>
      </c>
      <c r="R3" s="21" t="s">
        <v>488</v>
      </c>
      <c r="S3" s="21" t="s">
        <v>490</v>
      </c>
      <c r="T3" s="21" t="s">
        <v>586</v>
      </c>
      <c r="U3" s="21" t="s">
        <v>587</v>
      </c>
      <c r="V3" s="21" t="s">
        <v>487</v>
      </c>
      <c r="W3" s="21" t="s">
        <v>588</v>
      </c>
      <c r="X3" s="21" t="s">
        <v>743</v>
      </c>
      <c r="Y3" s="21" t="s">
        <v>744</v>
      </c>
      <c r="Z3" s="21" t="s">
        <v>745</v>
      </c>
      <c r="AA3" s="21" t="s">
        <v>746</v>
      </c>
      <c r="AB3" s="21" t="s">
        <v>747</v>
      </c>
      <c r="AC3" s="21" t="s">
        <v>748</v>
      </c>
      <c r="AD3" s="21" t="s">
        <v>595</v>
      </c>
      <c r="AE3" s="21" t="s">
        <v>598</v>
      </c>
      <c r="AF3" s="21" t="s">
        <v>604</v>
      </c>
      <c r="AG3" s="21" t="s">
        <v>605</v>
      </c>
      <c r="AH3" s="21" t="s">
        <v>606</v>
      </c>
      <c r="AI3" s="21" t="s">
        <v>615</v>
      </c>
      <c r="AJ3" s="26" t="s">
        <v>749</v>
      </c>
      <c r="AK3" s="21" t="s">
        <v>596</v>
      </c>
      <c r="AL3" s="21" t="s">
        <v>597</v>
      </c>
      <c r="AM3" s="21" t="s">
        <v>599</v>
      </c>
      <c r="AN3" s="21" t="s">
        <v>750</v>
      </c>
      <c r="AO3" s="21" t="s">
        <v>751</v>
      </c>
      <c r="AP3" s="26" t="s">
        <v>752</v>
      </c>
      <c r="AQ3" s="26" t="s">
        <v>603</v>
      </c>
      <c r="AR3" s="21" t="s">
        <v>614</v>
      </c>
      <c r="AS3" s="21" t="s">
        <v>612</v>
      </c>
      <c r="AT3" s="21" t="s">
        <v>613</v>
      </c>
    </row>
    <row r="4" spans="1:46" s="4" customFormat="1" ht="26.5" x14ac:dyDescent="0.35">
      <c r="A4" s="9" t="s">
        <v>753</v>
      </c>
      <c r="B4" s="7" t="s">
        <v>617</v>
      </c>
      <c r="C4" s="27" t="s">
        <v>618</v>
      </c>
      <c r="D4" s="7" t="s">
        <v>620</v>
      </c>
      <c r="E4" s="7" t="s">
        <v>621</v>
      </c>
      <c r="F4" s="7" t="s">
        <v>622</v>
      </c>
      <c r="G4" s="7" t="s">
        <v>623</v>
      </c>
      <c r="H4" s="7" t="s">
        <v>624</v>
      </c>
      <c r="I4" s="7" t="s">
        <v>625</v>
      </c>
      <c r="J4" s="7" t="s">
        <v>626</v>
      </c>
      <c r="K4" s="7" t="s">
        <v>627</v>
      </c>
      <c r="L4" s="7" t="s">
        <v>628</v>
      </c>
      <c r="M4" s="7" t="s">
        <v>629</v>
      </c>
      <c r="N4" s="7" t="s">
        <v>630</v>
      </c>
      <c r="O4" s="7" t="s">
        <v>631</v>
      </c>
      <c r="P4" s="7" t="s">
        <v>632</v>
      </c>
      <c r="Q4" s="7" t="s">
        <v>633</v>
      </c>
      <c r="R4" s="7" t="s">
        <v>634</v>
      </c>
      <c r="S4" s="7" t="s">
        <v>635</v>
      </c>
      <c r="T4" s="7" t="s">
        <v>637</v>
      </c>
      <c r="U4" s="7" t="s">
        <v>638</v>
      </c>
      <c r="V4" s="7" t="s">
        <v>636</v>
      </c>
      <c r="W4" s="7" t="s">
        <v>639</v>
      </c>
      <c r="X4" s="27" t="s">
        <v>754</v>
      </c>
      <c r="Y4" s="27" t="s">
        <v>755</v>
      </c>
      <c r="Z4" s="27" t="s">
        <v>756</v>
      </c>
      <c r="AA4" s="27" t="s">
        <v>643</v>
      </c>
      <c r="AB4" s="27" t="s">
        <v>644</v>
      </c>
      <c r="AC4" s="27" t="s">
        <v>757</v>
      </c>
      <c r="AD4" s="7" t="s">
        <v>646</v>
      </c>
      <c r="AE4" s="7" t="s">
        <v>649</v>
      </c>
      <c r="AF4" s="7" t="s">
        <v>655</v>
      </c>
      <c r="AG4" s="7" t="s">
        <v>656</v>
      </c>
      <c r="AH4" s="7" t="s">
        <v>657</v>
      </c>
      <c r="AI4" s="7" t="s">
        <v>666</v>
      </c>
      <c r="AJ4" s="28" t="s">
        <v>758</v>
      </c>
      <c r="AK4" s="7" t="s">
        <v>647</v>
      </c>
      <c r="AL4" s="7" t="s">
        <v>648</v>
      </c>
      <c r="AM4" s="7" t="s">
        <v>650</v>
      </c>
      <c r="AN4" s="7" t="s">
        <v>651</v>
      </c>
      <c r="AO4" s="7" t="s">
        <v>652</v>
      </c>
      <c r="AP4" s="7" t="s">
        <v>653</v>
      </c>
      <c r="AQ4" s="7" t="s">
        <v>654</v>
      </c>
      <c r="AR4" s="9" t="s">
        <v>665</v>
      </c>
      <c r="AS4" s="106" t="s">
        <v>759</v>
      </c>
      <c r="AT4" s="9" t="s">
        <v>664</v>
      </c>
    </row>
    <row r="5" spans="1:46" s="4" customFormat="1" x14ac:dyDescent="0.35">
      <c r="B5" s="27" t="s">
        <v>668</v>
      </c>
      <c r="C5" s="27" t="s">
        <v>668</v>
      </c>
      <c r="D5" s="27" t="s">
        <v>668</v>
      </c>
      <c r="E5" s="27" t="s">
        <v>669</v>
      </c>
      <c r="F5" s="27" t="s">
        <v>670</v>
      </c>
      <c r="G5" s="27" t="s">
        <v>671</v>
      </c>
      <c r="H5" s="27" t="s">
        <v>671</v>
      </c>
      <c r="I5" s="27" t="s">
        <v>668</v>
      </c>
      <c r="J5" s="27" t="s">
        <v>668</v>
      </c>
      <c r="K5" s="27" t="s">
        <v>668</v>
      </c>
      <c r="L5" s="27" t="s">
        <v>668</v>
      </c>
      <c r="M5" s="27" t="s">
        <v>668</v>
      </c>
      <c r="N5" s="27" t="s">
        <v>668</v>
      </c>
      <c r="O5" s="27" t="s">
        <v>668</v>
      </c>
      <c r="P5" s="27" t="s">
        <v>668</v>
      </c>
      <c r="Q5" s="27" t="s">
        <v>671</v>
      </c>
      <c r="R5" s="27" t="s">
        <v>668</v>
      </c>
      <c r="S5" s="27" t="s">
        <v>668</v>
      </c>
      <c r="T5" s="27" t="s">
        <v>668</v>
      </c>
      <c r="U5" s="27" t="s">
        <v>671</v>
      </c>
      <c r="V5" s="27" t="s">
        <v>671</v>
      </c>
      <c r="W5" s="27" t="s">
        <v>668</v>
      </c>
      <c r="X5" s="27" t="s">
        <v>669</v>
      </c>
      <c r="Y5" s="27" t="s">
        <v>669</v>
      </c>
      <c r="Z5" s="27" t="s">
        <v>669</v>
      </c>
      <c r="AA5" s="27" t="s">
        <v>669</v>
      </c>
      <c r="AB5" s="27" t="s">
        <v>669</v>
      </c>
      <c r="AC5" s="27" t="s">
        <v>669</v>
      </c>
      <c r="AD5" s="27" t="s">
        <v>673</v>
      </c>
      <c r="AE5" s="27" t="s">
        <v>674</v>
      </c>
      <c r="AF5" s="27" t="s">
        <v>674</v>
      </c>
      <c r="AG5" s="27" t="s">
        <v>674</v>
      </c>
      <c r="AH5" s="27" t="s">
        <v>673</v>
      </c>
      <c r="AI5" s="27" t="s">
        <v>670</v>
      </c>
      <c r="AJ5" s="28" t="s">
        <v>669</v>
      </c>
      <c r="AK5" s="27" t="s">
        <v>673</v>
      </c>
      <c r="AL5" s="27" t="s">
        <v>673</v>
      </c>
      <c r="AM5" s="27" t="s">
        <v>674</v>
      </c>
      <c r="AN5" s="27" t="s">
        <v>674</v>
      </c>
      <c r="AO5" s="27" t="s">
        <v>673</v>
      </c>
      <c r="AP5" s="28" t="s">
        <v>674</v>
      </c>
      <c r="AQ5" s="28" t="s">
        <v>674</v>
      </c>
      <c r="AR5" s="106" t="s">
        <v>673</v>
      </c>
      <c r="AS5" s="106" t="s">
        <v>673</v>
      </c>
      <c r="AT5" s="106" t="s">
        <v>673</v>
      </c>
    </row>
    <row r="6" spans="1:46" x14ac:dyDescent="0.35">
      <c r="A6" s="1" t="s">
        <v>65</v>
      </c>
      <c r="B6">
        <v>1000</v>
      </c>
      <c r="C6" s="25">
        <v>250</v>
      </c>
      <c r="D6">
        <v>0.44</v>
      </c>
      <c r="E6">
        <v>1800</v>
      </c>
      <c r="F6">
        <v>25.2</v>
      </c>
      <c r="G6">
        <v>0</v>
      </c>
      <c r="H6">
        <v>200</v>
      </c>
      <c r="I6">
        <v>10</v>
      </c>
      <c r="J6">
        <v>130</v>
      </c>
      <c r="K6">
        <v>8</v>
      </c>
      <c r="L6">
        <v>500</v>
      </c>
      <c r="M6">
        <v>2300</v>
      </c>
      <c r="N6">
        <v>0.6</v>
      </c>
      <c r="O6">
        <v>1000</v>
      </c>
      <c r="P6">
        <v>0.6</v>
      </c>
      <c r="Q6">
        <v>1.2</v>
      </c>
      <c r="R6">
        <v>0.6</v>
      </c>
      <c r="S6">
        <v>25</v>
      </c>
      <c r="T6">
        <f>7*0.85</f>
        <v>5.95</v>
      </c>
      <c r="U6">
        <v>55</v>
      </c>
      <c r="V6">
        <v>400</v>
      </c>
      <c r="W6">
        <v>5</v>
      </c>
      <c r="X6">
        <f>45*4</f>
        <v>180</v>
      </c>
      <c r="Y6">
        <f>203*4</f>
        <v>812</v>
      </c>
      <c r="Z6">
        <f>50*9</f>
        <v>450</v>
      </c>
      <c r="AA6">
        <f>10*9</f>
        <v>90</v>
      </c>
      <c r="AB6">
        <f>1.2*9</f>
        <v>10.799999999999999</v>
      </c>
      <c r="AC6">
        <v>0</v>
      </c>
      <c r="AD6">
        <v>6</v>
      </c>
      <c r="AE6">
        <v>2.5</v>
      </c>
      <c r="AF6">
        <v>1.5</v>
      </c>
      <c r="AG6">
        <v>2.5</v>
      </c>
      <c r="AH6">
        <v>5</v>
      </c>
      <c r="AI6">
        <v>24</v>
      </c>
      <c r="AJ6">
        <v>0</v>
      </c>
      <c r="AK6">
        <v>3</v>
      </c>
      <c r="AL6">
        <v>0</v>
      </c>
      <c r="AM6">
        <v>0.21</v>
      </c>
      <c r="AN6">
        <v>0.79</v>
      </c>
      <c r="AO6">
        <v>0.21</v>
      </c>
      <c r="AP6">
        <v>0.71</v>
      </c>
      <c r="AQ6">
        <v>0.56999999999999995</v>
      </c>
      <c r="AR6">
        <v>0.59</v>
      </c>
      <c r="AS6">
        <v>3.3</v>
      </c>
      <c r="AT6">
        <v>1.1100000000000001</v>
      </c>
    </row>
    <row r="7" spans="1:46" x14ac:dyDescent="0.35">
      <c r="A7" s="1" t="s">
        <v>67</v>
      </c>
      <c r="B7">
        <v>1300</v>
      </c>
      <c r="C7" s="25">
        <v>375</v>
      </c>
      <c r="D7">
        <v>0.7</v>
      </c>
      <c r="E7">
        <v>2200</v>
      </c>
      <c r="F7">
        <v>30.8</v>
      </c>
      <c r="G7">
        <v>0</v>
      </c>
      <c r="H7">
        <v>300</v>
      </c>
      <c r="I7">
        <v>8</v>
      </c>
      <c r="J7">
        <v>240</v>
      </c>
      <c r="K7">
        <v>12</v>
      </c>
      <c r="L7">
        <v>1250</v>
      </c>
      <c r="M7">
        <v>2500</v>
      </c>
      <c r="N7">
        <v>0.9</v>
      </c>
      <c r="O7">
        <v>1200</v>
      </c>
      <c r="P7">
        <v>0.9</v>
      </c>
      <c r="Q7">
        <v>1.8</v>
      </c>
      <c r="R7">
        <v>1</v>
      </c>
      <c r="S7">
        <v>45</v>
      </c>
      <c r="T7">
        <f>11*0.85</f>
        <v>9.35</v>
      </c>
      <c r="U7">
        <v>60</v>
      </c>
      <c r="V7">
        <v>600</v>
      </c>
      <c r="W7">
        <v>8</v>
      </c>
      <c r="X7">
        <f>55*4</f>
        <v>220</v>
      </c>
      <c r="Y7">
        <f>248*4</f>
        <v>992</v>
      </c>
      <c r="Z7">
        <f>61*9</f>
        <v>549</v>
      </c>
      <c r="AA7">
        <f>12.2*9</f>
        <v>109.8</v>
      </c>
      <c r="AB7">
        <f>1.47*9</f>
        <v>13.23</v>
      </c>
      <c r="AC7">
        <v>0</v>
      </c>
      <c r="AD7">
        <v>7</v>
      </c>
      <c r="AE7">
        <v>3</v>
      </c>
      <c r="AF7">
        <v>2</v>
      </c>
      <c r="AG7">
        <v>3</v>
      </c>
      <c r="AH7">
        <v>6</v>
      </c>
      <c r="AI7">
        <v>29</v>
      </c>
      <c r="AJ7">
        <v>0</v>
      </c>
      <c r="AK7">
        <v>3.5</v>
      </c>
      <c r="AL7">
        <v>0</v>
      </c>
      <c r="AM7">
        <v>0.28999999999999998</v>
      </c>
      <c r="AN7">
        <v>0.86</v>
      </c>
      <c r="AO7">
        <v>0.28999999999999998</v>
      </c>
      <c r="AP7">
        <v>0.86</v>
      </c>
      <c r="AQ7">
        <v>0.71</v>
      </c>
      <c r="AR7">
        <v>0.7</v>
      </c>
      <c r="AS7">
        <v>4.03</v>
      </c>
      <c r="AT7">
        <v>1.26</v>
      </c>
    </row>
    <row r="8" spans="1:46" x14ac:dyDescent="0.35">
      <c r="A8" s="1" t="s">
        <v>24</v>
      </c>
      <c r="B8">
        <v>1000</v>
      </c>
      <c r="C8" s="25">
        <v>425</v>
      </c>
      <c r="D8">
        <v>0.9</v>
      </c>
      <c r="E8">
        <v>2200</v>
      </c>
      <c r="F8">
        <v>30.8</v>
      </c>
      <c r="G8">
        <v>0</v>
      </c>
      <c r="H8">
        <v>400</v>
      </c>
      <c r="I8">
        <v>18</v>
      </c>
      <c r="J8">
        <v>320</v>
      </c>
      <c r="K8">
        <v>14</v>
      </c>
      <c r="L8">
        <v>700</v>
      </c>
      <c r="M8">
        <v>2600</v>
      </c>
      <c r="N8">
        <v>1.1000000000000001</v>
      </c>
      <c r="O8">
        <v>1500</v>
      </c>
      <c r="P8">
        <v>1.1000000000000001</v>
      </c>
      <c r="Q8">
        <v>2.4</v>
      </c>
      <c r="R8">
        <v>1.3</v>
      </c>
      <c r="S8">
        <v>75</v>
      </c>
      <c r="T8">
        <f>15*0.85</f>
        <v>12.75</v>
      </c>
      <c r="U8">
        <v>90</v>
      </c>
      <c r="V8">
        <v>700</v>
      </c>
      <c r="W8">
        <v>8</v>
      </c>
      <c r="X8">
        <f>55*4</f>
        <v>220</v>
      </c>
      <c r="Y8">
        <f>248*4</f>
        <v>992</v>
      </c>
      <c r="Z8">
        <f>49*9</f>
        <v>441</v>
      </c>
      <c r="AA8">
        <f>12.2*9</f>
        <v>109.8</v>
      </c>
      <c r="AB8">
        <f>1.47*9</f>
        <v>13.23</v>
      </c>
      <c r="AC8">
        <v>0</v>
      </c>
      <c r="AD8">
        <v>7</v>
      </c>
      <c r="AE8">
        <v>3</v>
      </c>
      <c r="AF8">
        <v>2</v>
      </c>
      <c r="AG8">
        <v>3</v>
      </c>
      <c r="AH8">
        <v>6</v>
      </c>
      <c r="AI8">
        <v>29</v>
      </c>
      <c r="AJ8">
        <v>0</v>
      </c>
      <c r="AK8">
        <v>3.5</v>
      </c>
      <c r="AL8">
        <v>0</v>
      </c>
      <c r="AM8">
        <v>0.28999999999999998</v>
      </c>
      <c r="AN8">
        <v>0.86</v>
      </c>
      <c r="AO8">
        <v>0.28999999999999998</v>
      </c>
      <c r="AP8">
        <v>0.86</v>
      </c>
      <c r="AQ8">
        <v>0.71</v>
      </c>
      <c r="AR8">
        <v>0.7</v>
      </c>
      <c r="AS8">
        <v>4.03</v>
      </c>
      <c r="AT8">
        <v>1.26</v>
      </c>
    </row>
    <row r="9" spans="1:46" s="17" customFormat="1" ht="15" thickBot="1" x14ac:dyDescent="0.4">
      <c r="A9" s="18" t="s">
        <v>72</v>
      </c>
      <c r="B9" s="17">
        <v>1000</v>
      </c>
      <c r="C9" s="36">
        <v>550</v>
      </c>
      <c r="D9" s="17">
        <v>0.9</v>
      </c>
      <c r="E9" s="17">
        <v>3000</v>
      </c>
      <c r="F9" s="17">
        <v>42</v>
      </c>
      <c r="G9" s="17">
        <v>0</v>
      </c>
      <c r="H9" s="17">
        <v>400</v>
      </c>
      <c r="I9" s="17">
        <v>8</v>
      </c>
      <c r="J9" s="17">
        <v>420</v>
      </c>
      <c r="K9" s="17">
        <v>16</v>
      </c>
      <c r="L9" s="17">
        <v>700</v>
      </c>
      <c r="M9" s="17">
        <v>3400</v>
      </c>
      <c r="N9" s="17">
        <v>1.3</v>
      </c>
      <c r="O9" s="17">
        <v>1500</v>
      </c>
      <c r="P9" s="17">
        <v>1.2</v>
      </c>
      <c r="Q9" s="17">
        <v>2.4</v>
      </c>
      <c r="R9" s="17">
        <v>1.3</v>
      </c>
      <c r="S9" s="17">
        <v>90</v>
      </c>
      <c r="T9" s="17">
        <f>15*0.85</f>
        <v>12.75</v>
      </c>
      <c r="U9" s="17">
        <v>120</v>
      </c>
      <c r="V9" s="17">
        <v>900</v>
      </c>
      <c r="W9" s="17">
        <v>11</v>
      </c>
      <c r="X9" s="17">
        <f>75*4</f>
        <v>300</v>
      </c>
      <c r="Y9" s="17">
        <f>338*4</f>
        <v>1352</v>
      </c>
      <c r="Z9" s="17">
        <f>67*9</f>
        <v>603</v>
      </c>
      <c r="AA9" s="17">
        <f>16.7*9</f>
        <v>150.29999999999998</v>
      </c>
      <c r="AB9" s="17">
        <f>2*9</f>
        <v>18</v>
      </c>
      <c r="AC9" s="17">
        <v>0</v>
      </c>
      <c r="AD9" s="17">
        <v>10</v>
      </c>
      <c r="AE9" s="17">
        <v>4</v>
      </c>
      <c r="AF9" s="17">
        <v>2.5</v>
      </c>
      <c r="AG9" s="17">
        <v>3</v>
      </c>
      <c r="AH9" s="17">
        <v>7</v>
      </c>
      <c r="AI9" s="17">
        <v>44</v>
      </c>
      <c r="AJ9" s="17">
        <v>0</v>
      </c>
      <c r="AK9" s="17">
        <v>5</v>
      </c>
      <c r="AL9" s="17">
        <v>0</v>
      </c>
      <c r="AM9" s="17">
        <v>0.36</v>
      </c>
      <c r="AN9" s="17">
        <v>1.07</v>
      </c>
      <c r="AO9" s="17">
        <v>0.43</v>
      </c>
      <c r="AP9" s="17">
        <v>1.1399999999999999</v>
      </c>
      <c r="AQ9" s="17">
        <v>1</v>
      </c>
      <c r="AR9" s="17">
        <v>0.81</v>
      </c>
      <c r="AS9" s="17">
        <v>4.7</v>
      </c>
      <c r="AT9" s="17">
        <v>1.47</v>
      </c>
    </row>
    <row r="10" spans="1:46" x14ac:dyDescent="0.35">
      <c r="A10" s="1" t="s">
        <v>75</v>
      </c>
      <c r="B10">
        <f>SUM($B$6:$B$9)</f>
        <v>4300</v>
      </c>
      <c r="C10" s="2">
        <f>SUM(C6:C9)</f>
        <v>1600</v>
      </c>
      <c r="D10">
        <f>SUM($D$6:$D$9)</f>
        <v>2.94</v>
      </c>
      <c r="E10">
        <f t="shared" ref="E10:AQ10" si="0">SUM(E6:E9)</f>
        <v>9200</v>
      </c>
      <c r="F10">
        <f t="shared" si="0"/>
        <v>128.80000000000001</v>
      </c>
      <c r="G10">
        <f t="shared" si="0"/>
        <v>0</v>
      </c>
      <c r="H10">
        <f>SUM(H6:H9)</f>
        <v>1300</v>
      </c>
      <c r="I10">
        <f t="shared" si="0"/>
        <v>44</v>
      </c>
      <c r="J10">
        <f t="shared" si="0"/>
        <v>1110</v>
      </c>
      <c r="K10">
        <f t="shared" si="0"/>
        <v>50</v>
      </c>
      <c r="L10">
        <f t="shared" si="0"/>
        <v>3150</v>
      </c>
      <c r="M10">
        <f t="shared" si="0"/>
        <v>10800</v>
      </c>
      <c r="N10">
        <f t="shared" si="0"/>
        <v>3.9000000000000004</v>
      </c>
      <c r="O10">
        <f t="shared" si="0"/>
        <v>5200</v>
      </c>
      <c r="P10">
        <f t="shared" si="0"/>
        <v>3.8</v>
      </c>
      <c r="Q10">
        <f t="shared" si="0"/>
        <v>7.8000000000000007</v>
      </c>
      <c r="R10">
        <f t="shared" si="0"/>
        <v>4.2</v>
      </c>
      <c r="S10">
        <f t="shared" si="0"/>
        <v>235</v>
      </c>
      <c r="T10">
        <f>SUM(T6:T9)*0.85</f>
        <v>34.68</v>
      </c>
      <c r="U10">
        <f>SUM(U6:U9)</f>
        <v>325</v>
      </c>
      <c r="V10">
        <f t="shared" si="0"/>
        <v>2600</v>
      </c>
      <c r="W10">
        <f t="shared" si="0"/>
        <v>32</v>
      </c>
      <c r="X10">
        <f t="shared" si="0"/>
        <v>920</v>
      </c>
      <c r="Y10">
        <f t="shared" si="0"/>
        <v>4148</v>
      </c>
      <c r="Z10">
        <f t="shared" si="0"/>
        <v>2043</v>
      </c>
      <c r="AA10">
        <f>SUM(AA6:AA9)</f>
        <v>459.9</v>
      </c>
      <c r="AB10">
        <f>SUM(AB6:AB9)</f>
        <v>55.260000000000005</v>
      </c>
      <c r="AC10">
        <f t="shared" si="0"/>
        <v>0</v>
      </c>
      <c r="AD10">
        <f t="shared" si="0"/>
        <v>30</v>
      </c>
      <c r="AE10">
        <f t="shared" si="0"/>
        <v>12.5</v>
      </c>
      <c r="AF10">
        <f t="shared" si="0"/>
        <v>8</v>
      </c>
      <c r="AG10">
        <f t="shared" si="0"/>
        <v>11.5</v>
      </c>
      <c r="AH10">
        <f t="shared" si="0"/>
        <v>24</v>
      </c>
      <c r="AI10">
        <f t="shared" si="0"/>
        <v>126</v>
      </c>
      <c r="AJ10">
        <f t="shared" si="0"/>
        <v>0</v>
      </c>
      <c r="AK10">
        <f t="shared" si="0"/>
        <v>15</v>
      </c>
      <c r="AL10" s="4">
        <f>SUM(AL6:AL9)</f>
        <v>0</v>
      </c>
      <c r="AM10">
        <f t="shared" si="0"/>
        <v>1.1499999999999999</v>
      </c>
      <c r="AN10">
        <f t="shared" si="0"/>
        <v>3.58</v>
      </c>
      <c r="AO10">
        <f t="shared" si="0"/>
        <v>1.22</v>
      </c>
      <c r="AP10">
        <f t="shared" si="0"/>
        <v>3.5699999999999994</v>
      </c>
      <c r="AQ10">
        <f t="shared" si="0"/>
        <v>2.9899999999999998</v>
      </c>
      <c r="AR10">
        <f>SUM(AR6:AR9)</f>
        <v>2.8</v>
      </c>
      <c r="AS10">
        <f>SUM(AS6:AS9)</f>
        <v>16.059999999999999</v>
      </c>
      <c r="AT10">
        <f>SUM(AT6:AT9)</f>
        <v>5.0999999999999996</v>
      </c>
    </row>
    <row r="11" spans="1:46" x14ac:dyDescent="0.35">
      <c r="A11" s="1" t="s">
        <v>760</v>
      </c>
      <c r="B11">
        <f>AVERAGE(B6:B9)</f>
        <v>1075</v>
      </c>
      <c r="C11" s="2">
        <f>AVERAGE(C6:C9)</f>
        <v>400</v>
      </c>
      <c r="D11">
        <f t="shared" ref="D11:AQ11" si="1">AVERAGE(D6:D9)</f>
        <v>0.73499999999999999</v>
      </c>
      <c r="E11">
        <f t="shared" si="1"/>
        <v>2300</v>
      </c>
      <c r="F11">
        <f t="shared" si="1"/>
        <v>32.200000000000003</v>
      </c>
      <c r="G11">
        <f t="shared" si="1"/>
        <v>0</v>
      </c>
      <c r="H11">
        <f>AVERAGE(H6:H9)</f>
        <v>325</v>
      </c>
      <c r="I11">
        <f t="shared" si="1"/>
        <v>11</v>
      </c>
      <c r="J11">
        <f t="shared" si="1"/>
        <v>277.5</v>
      </c>
      <c r="K11">
        <f t="shared" si="1"/>
        <v>12.5</v>
      </c>
      <c r="L11">
        <f t="shared" si="1"/>
        <v>787.5</v>
      </c>
      <c r="M11">
        <f t="shared" si="1"/>
        <v>2700</v>
      </c>
      <c r="N11">
        <f t="shared" si="1"/>
        <v>0.97500000000000009</v>
      </c>
      <c r="O11">
        <f t="shared" si="1"/>
        <v>1300</v>
      </c>
      <c r="P11">
        <f t="shared" si="1"/>
        <v>0.95</v>
      </c>
      <c r="Q11">
        <f t="shared" si="1"/>
        <v>1.9500000000000002</v>
      </c>
      <c r="R11">
        <f t="shared" si="1"/>
        <v>1.05</v>
      </c>
      <c r="S11">
        <f t="shared" si="1"/>
        <v>58.75</v>
      </c>
      <c r="T11">
        <f>AVERAGE(T6:T9)*0.85</f>
        <v>8.67</v>
      </c>
      <c r="U11">
        <f>AVERAGE(U6:U9)</f>
        <v>81.25</v>
      </c>
      <c r="V11">
        <f t="shared" si="1"/>
        <v>650</v>
      </c>
      <c r="W11">
        <f t="shared" si="1"/>
        <v>8</v>
      </c>
      <c r="X11">
        <f t="shared" ref="X11:AC11" si="2">AVERAGE(X6:X9)</f>
        <v>230</v>
      </c>
      <c r="Y11">
        <f t="shared" si="2"/>
        <v>1037</v>
      </c>
      <c r="Z11">
        <f t="shared" si="2"/>
        <v>510.75</v>
      </c>
      <c r="AA11">
        <f t="shared" si="2"/>
        <v>114.97499999999999</v>
      </c>
      <c r="AB11">
        <f t="shared" si="2"/>
        <v>13.815000000000001</v>
      </c>
      <c r="AC11">
        <f t="shared" si="2"/>
        <v>0</v>
      </c>
      <c r="AD11">
        <f t="shared" si="1"/>
        <v>7.5</v>
      </c>
      <c r="AE11">
        <f t="shared" si="1"/>
        <v>3.125</v>
      </c>
      <c r="AF11">
        <f t="shared" si="1"/>
        <v>2</v>
      </c>
      <c r="AG11">
        <f t="shared" si="1"/>
        <v>2.875</v>
      </c>
      <c r="AH11">
        <f t="shared" si="1"/>
        <v>6</v>
      </c>
      <c r="AI11">
        <f t="shared" si="1"/>
        <v>31.5</v>
      </c>
      <c r="AJ11">
        <f>AVERAGE(AJ6:AJ9)</f>
        <v>0</v>
      </c>
      <c r="AK11">
        <f t="shared" si="1"/>
        <v>3.75</v>
      </c>
      <c r="AL11" s="4">
        <f>AVERAGE(AL6:AL9)</f>
        <v>0</v>
      </c>
      <c r="AM11">
        <f t="shared" si="1"/>
        <v>0.28749999999999998</v>
      </c>
      <c r="AN11">
        <f t="shared" si="1"/>
        <v>0.89500000000000002</v>
      </c>
      <c r="AO11">
        <f t="shared" si="1"/>
        <v>0.30499999999999999</v>
      </c>
      <c r="AP11">
        <f t="shared" si="1"/>
        <v>0.89249999999999985</v>
      </c>
      <c r="AQ11">
        <f t="shared" si="1"/>
        <v>0.74749999999999994</v>
      </c>
      <c r="AR11">
        <f>AVERAGE(AR6:AR9)</f>
        <v>0.7</v>
      </c>
      <c r="AS11">
        <f>AVERAGE(AS6:AS9)</f>
        <v>4.0149999999999997</v>
      </c>
      <c r="AT11">
        <f>AVERAGE(AT6:AT9)</f>
        <v>1.2749999999999999</v>
      </c>
    </row>
    <row r="12" spans="1:46" x14ac:dyDescent="0.35">
      <c r="A12" s="1"/>
      <c r="T12" t="s">
        <v>761</v>
      </c>
    </row>
    <row r="13" spans="1:46" x14ac:dyDescent="0.35">
      <c r="B13" s="191" t="s">
        <v>762</v>
      </c>
      <c r="C13" s="191"/>
      <c r="D13" s="191"/>
      <c r="E13" s="191"/>
      <c r="F13" s="191"/>
      <c r="G13" s="191"/>
    </row>
    <row r="14" spans="1:46" x14ac:dyDescent="0.35">
      <c r="B14" t="s">
        <v>471</v>
      </c>
      <c r="C14" t="s">
        <v>763</v>
      </c>
      <c r="D14" t="s">
        <v>764</v>
      </c>
      <c r="E14" t="s">
        <v>765</v>
      </c>
      <c r="F14" t="s">
        <v>766</v>
      </c>
      <c r="G14" t="s">
        <v>474</v>
      </c>
    </row>
    <row r="15" spans="1:46" x14ac:dyDescent="0.35">
      <c r="A15" t="s">
        <v>65</v>
      </c>
      <c r="B15" t="s">
        <v>767</v>
      </c>
      <c r="C15" t="s">
        <v>768</v>
      </c>
      <c r="D15" t="s">
        <v>769</v>
      </c>
      <c r="E15" t="s">
        <v>770</v>
      </c>
      <c r="F15" t="s">
        <v>771</v>
      </c>
      <c r="G15" t="s">
        <v>772</v>
      </c>
    </row>
    <row r="16" spans="1:46" x14ac:dyDescent="0.35">
      <c r="A16" t="s">
        <v>67</v>
      </c>
      <c r="B16" t="s">
        <v>767</v>
      </c>
      <c r="C16" t="s">
        <v>768</v>
      </c>
      <c r="D16" t="s">
        <v>769</v>
      </c>
      <c r="E16" t="s">
        <v>770</v>
      </c>
      <c r="F16" t="s">
        <v>771</v>
      </c>
      <c r="G16" t="s">
        <v>772</v>
      </c>
    </row>
    <row r="17" spans="1:13" x14ac:dyDescent="0.35">
      <c r="A17" t="s">
        <v>24</v>
      </c>
      <c r="B17" t="s">
        <v>773</v>
      </c>
      <c r="C17" t="s">
        <v>768</v>
      </c>
      <c r="D17" t="s">
        <v>769</v>
      </c>
      <c r="E17" t="s">
        <v>770</v>
      </c>
      <c r="F17" t="s">
        <v>771</v>
      </c>
      <c r="G17" t="s">
        <v>774</v>
      </c>
    </row>
    <row r="18" spans="1:13" x14ac:dyDescent="0.35">
      <c r="A18" t="s">
        <v>72</v>
      </c>
      <c r="B18" t="s">
        <v>773</v>
      </c>
      <c r="C18" t="s">
        <v>768</v>
      </c>
      <c r="D18" t="s">
        <v>769</v>
      </c>
      <c r="E18" t="s">
        <v>770</v>
      </c>
      <c r="F18" t="s">
        <v>771</v>
      </c>
      <c r="G18" t="s">
        <v>774</v>
      </c>
    </row>
    <row r="19" spans="1:13" x14ac:dyDescent="0.35">
      <c r="A19" t="s">
        <v>75</v>
      </c>
      <c r="B19" t="s">
        <v>773</v>
      </c>
      <c r="C19" t="s">
        <v>768</v>
      </c>
      <c r="D19" t="s">
        <v>769</v>
      </c>
      <c r="E19" t="s">
        <v>770</v>
      </c>
      <c r="F19" t="s">
        <v>771</v>
      </c>
      <c r="G19" t="s">
        <v>774</v>
      </c>
    </row>
    <row r="21" spans="1:13" x14ac:dyDescent="0.35">
      <c r="B21" s="191" t="s">
        <v>775</v>
      </c>
      <c r="C21" s="191"/>
      <c r="D21" s="191"/>
      <c r="E21" s="191"/>
      <c r="F21" s="191"/>
      <c r="G21" s="191"/>
      <c r="H21" s="192" t="s">
        <v>776</v>
      </c>
      <c r="I21" s="191"/>
      <c r="J21" s="191"/>
      <c r="K21" s="191"/>
      <c r="L21" s="191"/>
      <c r="M21" s="191"/>
    </row>
    <row r="22" spans="1:13" x14ac:dyDescent="0.35">
      <c r="B22" s="7" t="s">
        <v>471</v>
      </c>
      <c r="C22" s="7" t="s">
        <v>763</v>
      </c>
      <c r="D22" s="7" t="s">
        <v>764</v>
      </c>
      <c r="E22" s="7" t="s">
        <v>765</v>
      </c>
      <c r="F22" s="7" t="s">
        <v>766</v>
      </c>
      <c r="G22" s="7" t="s">
        <v>474</v>
      </c>
      <c r="H22" s="7" t="s">
        <v>471</v>
      </c>
      <c r="I22" s="7" t="s">
        <v>763</v>
      </c>
      <c r="J22" s="7" t="s">
        <v>764</v>
      </c>
      <c r="K22" s="7" t="s">
        <v>765</v>
      </c>
      <c r="L22" s="7" t="s">
        <v>766</v>
      </c>
      <c r="M22" s="7" t="s">
        <v>474</v>
      </c>
    </row>
    <row r="23" spans="1:13" x14ac:dyDescent="0.35">
      <c r="A23" t="s">
        <v>65</v>
      </c>
      <c r="B23">
        <v>25</v>
      </c>
      <c r="C23">
        <v>0</v>
      </c>
      <c r="D23">
        <v>5</v>
      </c>
      <c r="E23">
        <v>0.6</v>
      </c>
      <c r="F23">
        <v>45</v>
      </c>
      <c r="G23">
        <v>10</v>
      </c>
      <c r="H23">
        <v>35</v>
      </c>
      <c r="I23">
        <v>10</v>
      </c>
      <c r="J23">
        <v>10</v>
      </c>
      <c r="K23">
        <v>1.2</v>
      </c>
      <c r="L23">
        <v>65</v>
      </c>
      <c r="M23">
        <v>30</v>
      </c>
    </row>
    <row r="24" spans="1:13" x14ac:dyDescent="0.35">
      <c r="A24" t="s">
        <v>67</v>
      </c>
      <c r="B24">
        <v>25</v>
      </c>
      <c r="C24">
        <v>0</v>
      </c>
      <c r="D24">
        <v>5</v>
      </c>
      <c r="E24">
        <v>0.6</v>
      </c>
      <c r="F24">
        <v>45</v>
      </c>
      <c r="G24">
        <v>10</v>
      </c>
      <c r="H24">
        <v>35</v>
      </c>
      <c r="I24">
        <v>10</v>
      </c>
      <c r="J24">
        <v>10</v>
      </c>
      <c r="K24">
        <v>1.2</v>
      </c>
      <c r="L24">
        <v>65</v>
      </c>
      <c r="M24">
        <v>30</v>
      </c>
    </row>
    <row r="25" spans="1:13" x14ac:dyDescent="0.35">
      <c r="A25" t="s">
        <v>24</v>
      </c>
      <c r="B25">
        <v>20</v>
      </c>
      <c r="C25">
        <v>0</v>
      </c>
      <c r="D25">
        <v>5</v>
      </c>
      <c r="E25">
        <v>0.6</v>
      </c>
      <c r="F25">
        <v>45</v>
      </c>
      <c r="G25">
        <v>10</v>
      </c>
      <c r="H25">
        <v>35</v>
      </c>
      <c r="I25">
        <v>10</v>
      </c>
      <c r="J25">
        <v>10</v>
      </c>
      <c r="K25">
        <v>1.2</v>
      </c>
      <c r="L25">
        <v>65</v>
      </c>
      <c r="M25">
        <v>35</v>
      </c>
    </row>
    <row r="26" spans="1:13" x14ac:dyDescent="0.35">
      <c r="A26" t="s">
        <v>72</v>
      </c>
      <c r="B26">
        <v>20</v>
      </c>
      <c r="C26">
        <v>0</v>
      </c>
      <c r="D26">
        <v>5</v>
      </c>
      <c r="E26">
        <v>0.6</v>
      </c>
      <c r="F26">
        <v>45</v>
      </c>
      <c r="G26">
        <v>10</v>
      </c>
      <c r="H26">
        <v>35</v>
      </c>
      <c r="I26">
        <v>10</v>
      </c>
      <c r="J26">
        <v>10</v>
      </c>
      <c r="K26">
        <v>1.2</v>
      </c>
      <c r="L26">
        <v>65</v>
      </c>
      <c r="M26">
        <v>35</v>
      </c>
    </row>
    <row r="27" spans="1:13" x14ac:dyDescent="0.35">
      <c r="A27" t="s">
        <v>75</v>
      </c>
      <c r="B27">
        <v>20</v>
      </c>
      <c r="C27">
        <v>0</v>
      </c>
      <c r="D27">
        <v>5</v>
      </c>
      <c r="E27">
        <v>0.6</v>
      </c>
      <c r="F27">
        <v>45</v>
      </c>
      <c r="G27">
        <v>10</v>
      </c>
      <c r="H27">
        <v>35</v>
      </c>
      <c r="I27">
        <v>10</v>
      </c>
      <c r="J27">
        <v>10</v>
      </c>
      <c r="K27">
        <v>1.2</v>
      </c>
      <c r="L27">
        <v>65</v>
      </c>
      <c r="M27">
        <v>35</v>
      </c>
    </row>
  </sheetData>
  <sheetProtection sheet="1" objects="1" scenarios="1" selectLockedCells="1"/>
  <mergeCells count="3">
    <mergeCell ref="B13:G13"/>
    <mergeCell ref="B21:G21"/>
    <mergeCell ref="H21:M21"/>
  </mergeCells>
  <pageMargins left="0.7" right="0.7" top="0.75" bottom="0.75" header="0.3" footer="0.3"/>
  <ignoredErrors>
    <ignoredError sqref="D1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5C821-923F-49AB-B8F5-0682F763A354}">
  <sheetPr>
    <tabColor theme="0"/>
  </sheetPr>
  <dimension ref="A1:AT12"/>
  <sheetViews>
    <sheetView workbookViewId="0">
      <pane xSplit="1" ySplit="3" topLeftCell="AF4" activePane="bottomRight" state="frozen"/>
      <selection pane="topRight" activeCell="B1" sqref="B1"/>
      <selection pane="bottomLeft" activeCell="A4" sqref="A4"/>
      <selection pane="bottomRight" sqref="A1:XFD1048576"/>
    </sheetView>
  </sheetViews>
  <sheetFormatPr defaultRowHeight="14.5" x14ac:dyDescent="0.35"/>
  <cols>
    <col min="1" max="1" width="39.453125" customWidth="1"/>
    <col min="3" max="3" width="12.81640625" customWidth="1"/>
    <col min="10" max="10" width="9.81640625" customWidth="1"/>
    <col min="12" max="12" width="10.1796875" customWidth="1"/>
    <col min="34" max="34" width="11.7265625" customWidth="1"/>
    <col min="36" max="36" width="9.54296875" customWidth="1"/>
    <col min="41" max="41" width="10.1796875" customWidth="1"/>
  </cols>
  <sheetData>
    <row r="1" spans="1:46" ht="18.5" x14ac:dyDescent="0.45">
      <c r="A1" s="8" t="s">
        <v>777</v>
      </c>
    </row>
    <row r="2" spans="1:46" x14ac:dyDescent="0.35">
      <c r="A2" s="1" t="s">
        <v>742</v>
      </c>
    </row>
    <row r="3" spans="1:46" s="17" customFormat="1" ht="66" thickBot="1" x14ac:dyDescent="0.4">
      <c r="B3" s="21" t="s">
        <v>482</v>
      </c>
      <c r="C3" s="21" t="s">
        <v>576</v>
      </c>
      <c r="D3" s="21" t="s">
        <v>578</v>
      </c>
      <c r="E3" s="21" t="s">
        <v>470</v>
      </c>
      <c r="F3" s="21" t="s">
        <v>483</v>
      </c>
      <c r="G3" s="21" t="s">
        <v>580</v>
      </c>
      <c r="H3" s="21" t="s">
        <v>484</v>
      </c>
      <c r="I3" s="21" t="s">
        <v>485</v>
      </c>
      <c r="J3" s="21" t="s">
        <v>581</v>
      </c>
      <c r="K3" s="21" t="s">
        <v>582</v>
      </c>
      <c r="L3" s="21" t="s">
        <v>583</v>
      </c>
      <c r="M3" s="21" t="s">
        <v>486</v>
      </c>
      <c r="N3" s="21" t="s">
        <v>584</v>
      </c>
      <c r="O3" s="21" t="s">
        <v>491</v>
      </c>
      <c r="P3" s="21" t="s">
        <v>585</v>
      </c>
      <c r="Q3" s="21" t="s">
        <v>489</v>
      </c>
      <c r="R3" s="21" t="s">
        <v>488</v>
      </c>
      <c r="S3" s="21" t="s">
        <v>490</v>
      </c>
      <c r="T3" s="21" t="s">
        <v>586</v>
      </c>
      <c r="U3" s="21" t="s">
        <v>587</v>
      </c>
      <c r="V3" s="21" t="s">
        <v>487</v>
      </c>
      <c r="W3" s="21" t="s">
        <v>588</v>
      </c>
      <c r="X3" s="21" t="s">
        <v>589</v>
      </c>
      <c r="Y3" s="21" t="s">
        <v>590</v>
      </c>
      <c r="Z3" s="21" t="s">
        <v>591</v>
      </c>
      <c r="AA3" s="21" t="s">
        <v>746</v>
      </c>
      <c r="AB3" s="21" t="s">
        <v>778</v>
      </c>
      <c r="AC3" s="21" t="s">
        <v>594</v>
      </c>
      <c r="AD3" s="21" t="s">
        <v>595</v>
      </c>
      <c r="AE3" s="21" t="s">
        <v>598</v>
      </c>
      <c r="AF3" s="21" t="s">
        <v>604</v>
      </c>
      <c r="AG3" s="21" t="s">
        <v>605</v>
      </c>
      <c r="AH3" s="21" t="s">
        <v>606</v>
      </c>
      <c r="AI3" s="21" t="s">
        <v>615</v>
      </c>
      <c r="AJ3" s="26" t="s">
        <v>749</v>
      </c>
      <c r="AK3" s="21" t="s">
        <v>596</v>
      </c>
      <c r="AL3" s="21" t="s">
        <v>597</v>
      </c>
      <c r="AM3" s="21" t="s">
        <v>599</v>
      </c>
      <c r="AN3" s="21" t="s">
        <v>750</v>
      </c>
      <c r="AO3" s="21" t="s">
        <v>751</v>
      </c>
      <c r="AP3" s="26" t="s">
        <v>752</v>
      </c>
      <c r="AQ3" s="26" t="s">
        <v>603</v>
      </c>
      <c r="AR3" s="21" t="s">
        <v>614</v>
      </c>
      <c r="AS3" s="21" t="s">
        <v>612</v>
      </c>
      <c r="AT3" s="21" t="s">
        <v>613</v>
      </c>
    </row>
    <row r="4" spans="1:46" s="4" customFormat="1" ht="29" x14ac:dyDescent="0.35">
      <c r="A4" s="9" t="s">
        <v>753</v>
      </c>
      <c r="B4" s="7" t="s">
        <v>617</v>
      </c>
      <c r="C4" s="27" t="s">
        <v>618</v>
      </c>
      <c r="D4" s="7" t="s">
        <v>620</v>
      </c>
      <c r="E4" s="7" t="s">
        <v>621</v>
      </c>
      <c r="F4" s="7" t="s">
        <v>622</v>
      </c>
      <c r="G4" s="7" t="s">
        <v>623</v>
      </c>
      <c r="H4" s="7" t="s">
        <v>624</v>
      </c>
      <c r="I4" s="7" t="s">
        <v>625</v>
      </c>
      <c r="J4" s="7" t="s">
        <v>626</v>
      </c>
      <c r="K4" s="7" t="s">
        <v>627</v>
      </c>
      <c r="L4" s="7" t="s">
        <v>628</v>
      </c>
      <c r="M4" s="7" t="s">
        <v>629</v>
      </c>
      <c r="N4" s="7" t="s">
        <v>630</v>
      </c>
      <c r="O4" s="7" t="s">
        <v>631</v>
      </c>
      <c r="P4" s="7" t="s">
        <v>632</v>
      </c>
      <c r="Q4" s="7" t="s">
        <v>633</v>
      </c>
      <c r="R4" s="7" t="s">
        <v>634</v>
      </c>
      <c r="S4" s="7" t="s">
        <v>635</v>
      </c>
      <c r="T4" s="7" t="s">
        <v>637</v>
      </c>
      <c r="U4" s="7" t="s">
        <v>638</v>
      </c>
      <c r="V4" s="7" t="s">
        <v>636</v>
      </c>
      <c r="W4" s="7" t="s">
        <v>639</v>
      </c>
      <c r="X4" s="50" t="s">
        <v>754</v>
      </c>
      <c r="Y4" s="50" t="s">
        <v>755</v>
      </c>
      <c r="Z4" s="50" t="s">
        <v>756</v>
      </c>
      <c r="AA4" s="50" t="s">
        <v>643</v>
      </c>
      <c r="AB4" s="50" t="s">
        <v>644</v>
      </c>
      <c r="AC4" s="50" t="s">
        <v>779</v>
      </c>
      <c r="AD4" s="7" t="s">
        <v>646</v>
      </c>
      <c r="AE4" s="7" t="s">
        <v>649</v>
      </c>
      <c r="AF4" s="7" t="s">
        <v>655</v>
      </c>
      <c r="AG4" s="7" t="s">
        <v>656</v>
      </c>
      <c r="AH4" s="7" t="s">
        <v>657</v>
      </c>
      <c r="AI4" s="7" t="s">
        <v>666</v>
      </c>
      <c r="AJ4" s="51" t="s">
        <v>780</v>
      </c>
      <c r="AK4" s="7" t="s">
        <v>647</v>
      </c>
      <c r="AL4" s="7" t="s">
        <v>648</v>
      </c>
      <c r="AM4" s="7" t="s">
        <v>650</v>
      </c>
      <c r="AN4" s="7" t="s">
        <v>651</v>
      </c>
      <c r="AO4" s="7" t="s">
        <v>652</v>
      </c>
      <c r="AP4" s="7" t="s">
        <v>653</v>
      </c>
      <c r="AQ4" s="7" t="s">
        <v>654</v>
      </c>
      <c r="AR4" s="9" t="s">
        <v>665</v>
      </c>
      <c r="AS4" s="106" t="s">
        <v>759</v>
      </c>
      <c r="AT4" s="9" t="s">
        <v>664</v>
      </c>
    </row>
    <row r="5" spans="1:46" s="4" customFormat="1" x14ac:dyDescent="0.35">
      <c r="B5" s="27" t="s">
        <v>668</v>
      </c>
      <c r="C5" s="27" t="s">
        <v>668</v>
      </c>
      <c r="D5" s="27" t="s">
        <v>668</v>
      </c>
      <c r="E5" s="27" t="s">
        <v>669</v>
      </c>
      <c r="F5" s="27" t="s">
        <v>670</v>
      </c>
      <c r="G5" s="27" t="s">
        <v>671</v>
      </c>
      <c r="H5" s="27" t="s">
        <v>671</v>
      </c>
      <c r="I5" s="27" t="s">
        <v>668</v>
      </c>
      <c r="J5" s="27" t="s">
        <v>668</v>
      </c>
      <c r="K5" s="27" t="s">
        <v>668</v>
      </c>
      <c r="L5" s="27" t="s">
        <v>668</v>
      </c>
      <c r="M5" s="27" t="s">
        <v>668</v>
      </c>
      <c r="N5" s="27" t="s">
        <v>668</v>
      </c>
      <c r="O5" s="27" t="s">
        <v>668</v>
      </c>
      <c r="P5" s="27" t="s">
        <v>668</v>
      </c>
      <c r="Q5" s="27" t="s">
        <v>671</v>
      </c>
      <c r="R5" s="27" t="s">
        <v>668</v>
      </c>
      <c r="S5" s="27" t="s">
        <v>668</v>
      </c>
      <c r="T5" s="27" t="s">
        <v>668</v>
      </c>
      <c r="U5" s="27" t="s">
        <v>671</v>
      </c>
      <c r="V5" s="27" t="s">
        <v>671</v>
      </c>
      <c r="W5" s="27" t="s">
        <v>668</v>
      </c>
      <c r="X5" s="27" t="s">
        <v>669</v>
      </c>
      <c r="Y5" s="27" t="s">
        <v>669</v>
      </c>
      <c r="Z5" s="27" t="s">
        <v>669</v>
      </c>
      <c r="AA5" s="27" t="s">
        <v>669</v>
      </c>
      <c r="AB5" s="27" t="s">
        <v>669</v>
      </c>
      <c r="AC5" s="27" t="s">
        <v>669</v>
      </c>
      <c r="AD5" s="27" t="s">
        <v>673</v>
      </c>
      <c r="AE5" s="27" t="s">
        <v>674</v>
      </c>
      <c r="AF5" s="27" t="s">
        <v>674</v>
      </c>
      <c r="AG5" s="27" t="s">
        <v>674</v>
      </c>
      <c r="AH5" s="27" t="s">
        <v>673</v>
      </c>
      <c r="AI5" s="27" t="s">
        <v>670</v>
      </c>
      <c r="AJ5" s="28" t="s">
        <v>669</v>
      </c>
      <c r="AK5" s="27" t="s">
        <v>673</v>
      </c>
      <c r="AL5" s="27" t="s">
        <v>673</v>
      </c>
      <c r="AM5" s="27" t="s">
        <v>674</v>
      </c>
      <c r="AN5" s="27" t="s">
        <v>674</v>
      </c>
      <c r="AO5" s="27" t="s">
        <v>673</v>
      </c>
      <c r="AP5" s="28" t="s">
        <v>674</v>
      </c>
      <c r="AQ5" s="28" t="s">
        <v>674</v>
      </c>
      <c r="AR5" s="106" t="s">
        <v>673</v>
      </c>
      <c r="AS5" s="106" t="s">
        <v>673</v>
      </c>
      <c r="AT5" s="106" t="s">
        <v>673</v>
      </c>
    </row>
    <row r="6" spans="1:46" x14ac:dyDescent="0.35">
      <c r="A6" s="1" t="s">
        <v>65</v>
      </c>
      <c r="B6">
        <v>2500</v>
      </c>
      <c r="C6" s="25">
        <v>1000</v>
      </c>
      <c r="D6">
        <v>3</v>
      </c>
      <c r="E6">
        <v>1800</v>
      </c>
      <c r="F6">
        <v>1000</v>
      </c>
      <c r="G6">
        <v>400</v>
      </c>
      <c r="H6">
        <v>10000</v>
      </c>
      <c r="I6">
        <v>40</v>
      </c>
      <c r="J6">
        <v>10000</v>
      </c>
      <c r="K6">
        <v>10000</v>
      </c>
      <c r="L6">
        <v>3000</v>
      </c>
      <c r="M6">
        <v>10000</v>
      </c>
      <c r="N6">
        <v>100</v>
      </c>
      <c r="O6">
        <v>2611</v>
      </c>
      <c r="P6">
        <v>10000</v>
      </c>
      <c r="Q6">
        <v>10000</v>
      </c>
      <c r="R6">
        <v>40</v>
      </c>
      <c r="S6">
        <v>650</v>
      </c>
      <c r="T6">
        <v>300</v>
      </c>
      <c r="U6">
        <v>10000</v>
      </c>
      <c r="V6">
        <v>900</v>
      </c>
      <c r="W6">
        <v>12</v>
      </c>
      <c r="X6">
        <f>135*4</f>
        <v>540</v>
      </c>
      <c r="Y6">
        <f>293*4</f>
        <v>1172</v>
      </c>
      <c r="Z6">
        <f>70*9</f>
        <v>630</v>
      </c>
      <c r="AA6">
        <f>20*9</f>
        <v>180</v>
      </c>
      <c r="AB6">
        <f>2.4*9</f>
        <v>21.599999999999998</v>
      </c>
      <c r="AC6">
        <v>180</v>
      </c>
      <c r="AD6">
        <v>9.5116320470000009</v>
      </c>
      <c r="AE6">
        <v>1.5514540059999999</v>
      </c>
      <c r="AF6">
        <v>2.2514540059999999</v>
      </c>
      <c r="AG6">
        <v>3.6058160240000001</v>
      </c>
      <c r="AH6">
        <v>5.8572700299999996</v>
      </c>
      <c r="AI6">
        <v>31.620356080000001</v>
      </c>
      <c r="AJ6">
        <v>180</v>
      </c>
      <c r="AK6">
        <v>1.9029080119999999</v>
      </c>
      <c r="AL6">
        <v>3</v>
      </c>
      <c r="AM6">
        <v>0.2</v>
      </c>
      <c r="AN6">
        <v>0.5</v>
      </c>
      <c r="AO6">
        <v>0.2</v>
      </c>
      <c r="AP6">
        <v>0.29234421399999999</v>
      </c>
      <c r="AQ6">
        <v>0.4</v>
      </c>
      <c r="AR6">
        <v>1.1000000000000001</v>
      </c>
      <c r="AS6">
        <v>5.1543619999999999</v>
      </c>
      <c r="AT6">
        <v>0.7</v>
      </c>
    </row>
    <row r="7" spans="1:46" x14ac:dyDescent="0.35">
      <c r="A7" s="1" t="s">
        <v>67</v>
      </c>
      <c r="B7">
        <v>3000</v>
      </c>
      <c r="C7" s="25">
        <v>2000</v>
      </c>
      <c r="D7">
        <v>5</v>
      </c>
      <c r="E7">
        <v>2200</v>
      </c>
      <c r="F7">
        <v>1000</v>
      </c>
      <c r="G7">
        <v>600</v>
      </c>
      <c r="H7">
        <v>10000</v>
      </c>
      <c r="I7">
        <v>40</v>
      </c>
      <c r="J7">
        <v>10000</v>
      </c>
      <c r="K7">
        <v>10000</v>
      </c>
      <c r="L7">
        <v>4000</v>
      </c>
      <c r="M7">
        <v>10000</v>
      </c>
      <c r="N7">
        <v>100</v>
      </c>
      <c r="O7">
        <v>3172</v>
      </c>
      <c r="P7">
        <v>10000</v>
      </c>
      <c r="Q7">
        <v>10000</v>
      </c>
      <c r="R7">
        <v>60</v>
      </c>
      <c r="S7">
        <v>1200</v>
      </c>
      <c r="T7">
        <v>600</v>
      </c>
      <c r="U7">
        <v>10000</v>
      </c>
      <c r="V7">
        <v>1700</v>
      </c>
      <c r="W7">
        <v>23</v>
      </c>
      <c r="X7">
        <f>165*4</f>
        <v>660</v>
      </c>
      <c r="Y7">
        <f>358*4</f>
        <v>1432</v>
      </c>
      <c r="Z7">
        <f>86*9</f>
        <v>774</v>
      </c>
      <c r="AA7">
        <f>24.4*9</f>
        <v>219.6</v>
      </c>
      <c r="AB7">
        <f>2.93*9</f>
        <v>26.37</v>
      </c>
      <c r="AC7">
        <v>220</v>
      </c>
      <c r="AD7">
        <v>10.564354639999999</v>
      </c>
      <c r="AE7">
        <v>1.8508443910000001</v>
      </c>
      <c r="AF7">
        <v>2.2525331720000001</v>
      </c>
      <c r="AG7">
        <v>3.7559107360000001</v>
      </c>
      <c r="AH7">
        <v>7.4711097710000001</v>
      </c>
      <c r="AI7">
        <v>36.987997589999999</v>
      </c>
      <c r="AJ7">
        <v>220</v>
      </c>
      <c r="AK7">
        <v>2.052533172</v>
      </c>
      <c r="AL7">
        <v>3.5</v>
      </c>
      <c r="AM7">
        <v>0.2</v>
      </c>
      <c r="AN7">
        <v>0.55084439100000004</v>
      </c>
      <c r="AO7">
        <v>0.2</v>
      </c>
      <c r="AP7">
        <v>0.29620024099999998</v>
      </c>
      <c r="AQ7">
        <v>0.5</v>
      </c>
      <c r="AR7">
        <v>1.2508440000000001</v>
      </c>
      <c r="AS7">
        <v>6.8643549999999998</v>
      </c>
      <c r="AT7">
        <v>0.75084399999999996</v>
      </c>
    </row>
    <row r="8" spans="1:46" x14ac:dyDescent="0.35">
      <c r="A8" s="1" t="s">
        <v>24</v>
      </c>
      <c r="B8">
        <v>2500</v>
      </c>
      <c r="C8" s="25">
        <v>3500</v>
      </c>
      <c r="D8">
        <v>10</v>
      </c>
      <c r="E8">
        <v>2200</v>
      </c>
      <c r="F8">
        <v>1000</v>
      </c>
      <c r="G8">
        <v>1000</v>
      </c>
      <c r="H8">
        <v>10000</v>
      </c>
      <c r="I8">
        <v>45</v>
      </c>
      <c r="J8">
        <v>10000</v>
      </c>
      <c r="K8">
        <v>10000</v>
      </c>
      <c r="L8">
        <v>4000</v>
      </c>
      <c r="M8">
        <v>10000</v>
      </c>
      <c r="N8">
        <v>100</v>
      </c>
      <c r="O8">
        <v>3072</v>
      </c>
      <c r="P8">
        <v>10000</v>
      </c>
      <c r="Q8">
        <v>10000</v>
      </c>
      <c r="R8">
        <v>100</v>
      </c>
      <c r="S8">
        <v>2000</v>
      </c>
      <c r="T8">
        <v>1000</v>
      </c>
      <c r="U8">
        <v>10000</v>
      </c>
      <c r="V8">
        <v>3000</v>
      </c>
      <c r="W8">
        <v>40</v>
      </c>
      <c r="X8">
        <f>193*4</f>
        <v>772</v>
      </c>
      <c r="Y8">
        <f>358*4</f>
        <v>1432</v>
      </c>
      <c r="Z8">
        <f>86*9</f>
        <v>774</v>
      </c>
      <c r="AA8">
        <f>24.4*9</f>
        <v>219.6</v>
      </c>
      <c r="AB8">
        <f>2.93*9</f>
        <v>26.37</v>
      </c>
      <c r="AC8">
        <v>220</v>
      </c>
      <c r="AD8">
        <v>9.612397541</v>
      </c>
      <c r="AE8">
        <v>2.7625341529999998</v>
      </c>
      <c r="AF8">
        <v>2.2374658470000002</v>
      </c>
      <c r="AG8">
        <v>1.6912909840000001</v>
      </c>
      <c r="AH8">
        <v>8.425068306</v>
      </c>
      <c r="AI8">
        <v>42.64986339</v>
      </c>
      <c r="AJ8">
        <v>220</v>
      </c>
      <c r="AK8">
        <v>2.037465847</v>
      </c>
      <c r="AL8">
        <v>3.5</v>
      </c>
      <c r="AM8">
        <v>0.6</v>
      </c>
      <c r="AN8">
        <v>0.66253415299999996</v>
      </c>
      <c r="AO8">
        <v>0.3</v>
      </c>
      <c r="AP8">
        <v>0.7</v>
      </c>
      <c r="AQ8">
        <v>1.0625341530000001</v>
      </c>
      <c r="AR8">
        <v>2.1250680000000002</v>
      </c>
      <c r="AS8">
        <v>8.5625339999999994</v>
      </c>
      <c r="AT8">
        <v>1.625068</v>
      </c>
    </row>
    <row r="9" spans="1:46" s="17" customFormat="1" ht="15" thickBot="1" x14ac:dyDescent="0.4">
      <c r="A9" s="18" t="s">
        <v>72</v>
      </c>
      <c r="B9" s="17">
        <v>2500</v>
      </c>
      <c r="C9" s="36">
        <v>3500</v>
      </c>
      <c r="D9" s="17">
        <v>10</v>
      </c>
      <c r="E9" s="17">
        <v>3000</v>
      </c>
      <c r="F9" s="17">
        <v>1000</v>
      </c>
      <c r="G9" s="17">
        <v>1000</v>
      </c>
      <c r="H9" s="17">
        <v>10000</v>
      </c>
      <c r="I9" s="17">
        <v>45</v>
      </c>
      <c r="J9" s="17">
        <v>10000</v>
      </c>
      <c r="K9" s="17">
        <v>10000</v>
      </c>
      <c r="L9" s="17">
        <v>4000</v>
      </c>
      <c r="M9" s="17">
        <v>10000</v>
      </c>
      <c r="N9" s="17">
        <v>100</v>
      </c>
      <c r="O9" s="17">
        <v>4188</v>
      </c>
      <c r="P9" s="17">
        <v>10000</v>
      </c>
      <c r="Q9" s="17">
        <v>10000</v>
      </c>
      <c r="R9" s="17">
        <v>100</v>
      </c>
      <c r="S9" s="17">
        <v>2000</v>
      </c>
      <c r="T9" s="17">
        <v>1000</v>
      </c>
      <c r="U9" s="17">
        <v>10000</v>
      </c>
      <c r="V9" s="17">
        <v>3000</v>
      </c>
      <c r="W9" s="17">
        <v>40</v>
      </c>
      <c r="X9" s="17">
        <f>263*4</f>
        <v>1052</v>
      </c>
      <c r="Y9" s="17">
        <f>488*4</f>
        <v>1952</v>
      </c>
      <c r="Z9" s="17">
        <f>117*9</f>
        <v>1053</v>
      </c>
      <c r="AA9" s="17">
        <f>33.3*9</f>
        <v>299.7</v>
      </c>
      <c r="AB9" s="17">
        <f>4*9</f>
        <v>36</v>
      </c>
      <c r="AC9" s="17">
        <v>300</v>
      </c>
      <c r="AD9" s="17">
        <v>12.555262170000001</v>
      </c>
      <c r="AE9" s="17">
        <v>2.8835533760000001</v>
      </c>
      <c r="AF9" s="17">
        <v>2.7</v>
      </c>
      <c r="AG9" s="17">
        <v>3.8776310829999998</v>
      </c>
      <c r="AH9" s="17">
        <v>12.783553380000001</v>
      </c>
      <c r="AI9" s="17">
        <v>52.256582420000001</v>
      </c>
      <c r="AJ9" s="17">
        <v>300</v>
      </c>
      <c r="AK9" s="17">
        <v>2.461184459</v>
      </c>
      <c r="AL9" s="17">
        <v>5</v>
      </c>
      <c r="AM9" s="17">
        <v>0.46118445899999999</v>
      </c>
      <c r="AN9" s="17">
        <v>0.76118445899999998</v>
      </c>
      <c r="AO9" s="17">
        <v>0.5</v>
      </c>
      <c r="AP9" s="17">
        <v>0.96118445900000005</v>
      </c>
      <c r="AQ9" s="17">
        <v>1.0223689170000001</v>
      </c>
      <c r="AR9" s="17">
        <v>2.883553</v>
      </c>
      <c r="AS9" s="17">
        <v>10.4</v>
      </c>
      <c r="AT9" s="17">
        <v>1.9671069999999999</v>
      </c>
    </row>
    <row r="10" spans="1:46" x14ac:dyDescent="0.35">
      <c r="A10" s="1" t="s">
        <v>75</v>
      </c>
      <c r="B10">
        <f>SUM(B6:B9)</f>
        <v>10500</v>
      </c>
      <c r="C10" s="2">
        <f>SUM(C6:C9)</f>
        <v>10000</v>
      </c>
      <c r="D10">
        <f t="shared" ref="D10:AQ10" si="0">SUM(D6:D9)</f>
        <v>28</v>
      </c>
      <c r="E10">
        <f t="shared" si="0"/>
        <v>9200</v>
      </c>
      <c r="F10">
        <f t="shared" si="0"/>
        <v>4000</v>
      </c>
      <c r="G10">
        <f t="shared" si="0"/>
        <v>3000</v>
      </c>
      <c r="H10">
        <f>SUM(H6:H9)</f>
        <v>40000</v>
      </c>
      <c r="I10">
        <f t="shared" si="0"/>
        <v>170</v>
      </c>
      <c r="J10">
        <f t="shared" si="0"/>
        <v>40000</v>
      </c>
      <c r="K10">
        <f t="shared" si="0"/>
        <v>40000</v>
      </c>
      <c r="L10">
        <f t="shared" si="0"/>
        <v>15000</v>
      </c>
      <c r="M10">
        <f t="shared" si="0"/>
        <v>40000</v>
      </c>
      <c r="N10">
        <f t="shared" si="0"/>
        <v>400</v>
      </c>
      <c r="O10">
        <f t="shared" si="0"/>
        <v>13043</v>
      </c>
      <c r="P10">
        <f t="shared" si="0"/>
        <v>40000</v>
      </c>
      <c r="Q10">
        <f t="shared" si="0"/>
        <v>40000</v>
      </c>
      <c r="R10">
        <f t="shared" si="0"/>
        <v>300</v>
      </c>
      <c r="S10">
        <f t="shared" si="0"/>
        <v>5850</v>
      </c>
      <c r="T10">
        <f>SUM(T6:T9)</f>
        <v>2900</v>
      </c>
      <c r="U10">
        <f>SUM(U6:U9)</f>
        <v>40000</v>
      </c>
      <c r="V10">
        <f t="shared" si="0"/>
        <v>8600</v>
      </c>
      <c r="W10">
        <f t="shared" si="0"/>
        <v>115</v>
      </c>
      <c r="X10">
        <f t="shared" ref="X10:AC10" si="1">SUM(X6:X9)</f>
        <v>3024</v>
      </c>
      <c r="Y10">
        <f t="shared" si="1"/>
        <v>5988</v>
      </c>
      <c r="Z10">
        <f t="shared" si="1"/>
        <v>3231</v>
      </c>
      <c r="AA10">
        <f t="shared" si="1"/>
        <v>918.90000000000009</v>
      </c>
      <c r="AB10">
        <f t="shared" si="1"/>
        <v>110.34</v>
      </c>
      <c r="AC10">
        <f t="shared" si="1"/>
        <v>920</v>
      </c>
      <c r="AD10">
        <f t="shared" si="0"/>
        <v>42.243646398000003</v>
      </c>
      <c r="AE10">
        <f t="shared" si="0"/>
        <v>9.0483859259999999</v>
      </c>
      <c r="AF10">
        <f t="shared" si="0"/>
        <v>9.4414530250000013</v>
      </c>
      <c r="AG10">
        <f t="shared" si="0"/>
        <v>12.930648826999999</v>
      </c>
      <c r="AH10">
        <f t="shared" si="0"/>
        <v>34.537001486999998</v>
      </c>
      <c r="AI10">
        <f t="shared" si="0"/>
        <v>163.51479947999999</v>
      </c>
      <c r="AJ10">
        <f>SUM(AJ6:AJ9)</f>
        <v>920</v>
      </c>
      <c r="AK10">
        <f t="shared" si="0"/>
        <v>8.4540914899999997</v>
      </c>
      <c r="AL10" s="4">
        <f>SUM(AL6:AL9)</f>
        <v>15</v>
      </c>
      <c r="AM10">
        <f t="shared" si="0"/>
        <v>1.461184459</v>
      </c>
      <c r="AN10">
        <f t="shared" si="0"/>
        <v>2.4745630030000001</v>
      </c>
      <c r="AO10">
        <f t="shared" si="0"/>
        <v>1.2</v>
      </c>
      <c r="AP10">
        <f t="shared" si="0"/>
        <v>2.2497289139999999</v>
      </c>
      <c r="AQ10">
        <f t="shared" si="0"/>
        <v>2.9849030700000001</v>
      </c>
      <c r="AR10">
        <f>SUM(AR6:AR9)</f>
        <v>7.359465000000001</v>
      </c>
      <c r="AS10">
        <f>SUM(AS6:AS9)</f>
        <v>30.981251</v>
      </c>
      <c r="AT10">
        <f>SUM(AT6:AT9)</f>
        <v>5.0430189999999993</v>
      </c>
    </row>
    <row r="11" spans="1:46" x14ac:dyDescent="0.35">
      <c r="A11" s="1" t="s">
        <v>760</v>
      </c>
      <c r="B11">
        <f>AVERAGE(B6:B9)</f>
        <v>2625</v>
      </c>
      <c r="C11" s="2">
        <f>AVERAGE(C6:C9)</f>
        <v>2500</v>
      </c>
      <c r="D11">
        <f t="shared" ref="D11:AQ11" si="2">AVERAGE(D6:D9)</f>
        <v>7</v>
      </c>
      <c r="E11">
        <f t="shared" si="2"/>
        <v>2300</v>
      </c>
      <c r="F11">
        <f t="shared" si="2"/>
        <v>1000</v>
      </c>
      <c r="G11">
        <f t="shared" si="2"/>
        <v>750</v>
      </c>
      <c r="H11">
        <f>AVERAGE(H6:H9)</f>
        <v>10000</v>
      </c>
      <c r="I11">
        <f t="shared" si="2"/>
        <v>42.5</v>
      </c>
      <c r="J11">
        <f t="shared" si="2"/>
        <v>10000</v>
      </c>
      <c r="K11">
        <f t="shared" si="2"/>
        <v>10000</v>
      </c>
      <c r="L11">
        <f t="shared" si="2"/>
        <v>3750</v>
      </c>
      <c r="M11">
        <f t="shared" si="2"/>
        <v>10000</v>
      </c>
      <c r="N11">
        <f t="shared" si="2"/>
        <v>100</v>
      </c>
      <c r="O11">
        <f t="shared" si="2"/>
        <v>3260.75</v>
      </c>
      <c r="P11">
        <f t="shared" si="2"/>
        <v>10000</v>
      </c>
      <c r="Q11">
        <f t="shared" si="2"/>
        <v>10000</v>
      </c>
      <c r="R11">
        <f t="shared" si="2"/>
        <v>75</v>
      </c>
      <c r="S11">
        <f t="shared" si="2"/>
        <v>1462.5</v>
      </c>
      <c r="T11">
        <f>AVERAGE(T6:T9)</f>
        <v>725</v>
      </c>
      <c r="U11">
        <f>AVERAGE(U6:U9)</f>
        <v>10000</v>
      </c>
      <c r="V11">
        <f t="shared" si="2"/>
        <v>2150</v>
      </c>
      <c r="W11">
        <f t="shared" si="2"/>
        <v>28.75</v>
      </c>
      <c r="X11">
        <f t="shared" ref="X11:AC11" si="3">AVERAGE(X6:X9)</f>
        <v>756</v>
      </c>
      <c r="Y11">
        <f t="shared" si="3"/>
        <v>1497</v>
      </c>
      <c r="Z11">
        <f t="shared" si="3"/>
        <v>807.75</v>
      </c>
      <c r="AA11">
        <f t="shared" si="3"/>
        <v>229.72500000000002</v>
      </c>
      <c r="AB11">
        <f t="shared" si="3"/>
        <v>27.585000000000001</v>
      </c>
      <c r="AC11">
        <f t="shared" si="3"/>
        <v>230</v>
      </c>
      <c r="AD11">
        <f t="shared" si="2"/>
        <v>10.560911599500001</v>
      </c>
      <c r="AE11">
        <f t="shared" si="2"/>
        <v>2.2620964815</v>
      </c>
      <c r="AF11">
        <f t="shared" si="2"/>
        <v>2.3603632562500003</v>
      </c>
      <c r="AG11">
        <f t="shared" si="2"/>
        <v>3.2326622067499997</v>
      </c>
      <c r="AH11">
        <f t="shared" si="2"/>
        <v>8.6342503717499994</v>
      </c>
      <c r="AI11">
        <f t="shared" si="2"/>
        <v>40.878699869999998</v>
      </c>
      <c r="AJ11">
        <f>AVERAGE(AJ6:AJ9)</f>
        <v>230</v>
      </c>
      <c r="AK11">
        <f t="shared" si="2"/>
        <v>2.1135228724999999</v>
      </c>
      <c r="AL11" s="4">
        <f>AVERAGE(AL6:AL9)</f>
        <v>3.75</v>
      </c>
      <c r="AM11">
        <f t="shared" si="2"/>
        <v>0.36529611475000001</v>
      </c>
      <c r="AN11">
        <f t="shared" si="2"/>
        <v>0.61864075075000002</v>
      </c>
      <c r="AO11">
        <f t="shared" si="2"/>
        <v>0.3</v>
      </c>
      <c r="AP11">
        <f t="shared" si="2"/>
        <v>0.56243222849999996</v>
      </c>
      <c r="AQ11">
        <f t="shared" si="2"/>
        <v>0.74622576750000003</v>
      </c>
      <c r="AR11">
        <f>AVERAGE(AR6:AR9)</f>
        <v>1.8398662500000003</v>
      </c>
      <c r="AS11">
        <f>AVERAGE(AS6:AS9)</f>
        <v>7.7453127500000001</v>
      </c>
      <c r="AT11">
        <f>AVERAGE(AT6:AT9)</f>
        <v>1.2607547499999998</v>
      </c>
    </row>
    <row r="12" spans="1:46" x14ac:dyDescent="0.35">
      <c r="A12" s="1"/>
      <c r="O12" t="s">
        <v>781</v>
      </c>
      <c r="AJ12" s="1" t="s">
        <v>782</v>
      </c>
    </row>
  </sheetData>
  <sheetProtection sheet="1" objects="1" scenarios="1" selectLockedCell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3F0DC-9A13-42D7-8152-41C9B526A0B8}">
  <sheetPr>
    <tabColor theme="0"/>
  </sheetPr>
  <dimension ref="A2:U29"/>
  <sheetViews>
    <sheetView topLeftCell="A2" zoomScale="108" workbookViewId="0">
      <pane xSplit="1" ySplit="4" topLeftCell="B6" activePane="bottomRight" state="frozen"/>
      <selection pane="topRight" activeCell="B2" sqref="B2"/>
      <selection pane="bottomLeft" activeCell="A6" sqref="A6"/>
      <selection pane="bottomRight" activeCell="A2" sqref="A1:XFD1048576"/>
    </sheetView>
  </sheetViews>
  <sheetFormatPr defaultRowHeight="14.5" x14ac:dyDescent="0.35"/>
  <cols>
    <col min="1" max="1" width="31.1796875" customWidth="1"/>
    <col min="2" max="21" width="15.54296875" customWidth="1"/>
  </cols>
  <sheetData>
    <row r="2" spans="1:21" ht="21" x14ac:dyDescent="0.5">
      <c r="A2" s="45" t="s">
        <v>783</v>
      </c>
      <c r="H2" s="1"/>
    </row>
    <row r="3" spans="1:21" x14ac:dyDescent="0.35">
      <c r="A3" s="1" t="s">
        <v>784</v>
      </c>
      <c r="H3" s="1"/>
      <c r="I3" s="106"/>
    </row>
    <row r="4" spans="1:21" ht="15" thickBot="1" x14ac:dyDescent="0.4">
      <c r="A4" s="1" t="s">
        <v>785</v>
      </c>
      <c r="G4" s="1" t="s">
        <v>786</v>
      </c>
      <c r="H4" s="1" t="s">
        <v>787</v>
      </c>
      <c r="I4" s="1" t="s">
        <v>788</v>
      </c>
      <c r="J4" s="1" t="s">
        <v>787</v>
      </c>
      <c r="L4" s="1" t="s">
        <v>786</v>
      </c>
      <c r="M4" s="1" t="s">
        <v>787</v>
      </c>
      <c r="N4" s="1" t="s">
        <v>788</v>
      </c>
      <c r="O4" s="1" t="s">
        <v>787</v>
      </c>
      <c r="Q4" s="1" t="s">
        <v>786</v>
      </c>
      <c r="R4" s="1" t="s">
        <v>787</v>
      </c>
      <c r="S4" s="1" t="s">
        <v>788</v>
      </c>
      <c r="T4" s="1" t="s">
        <v>787</v>
      </c>
    </row>
    <row r="5" spans="1:21" ht="15" thickBot="1" x14ac:dyDescent="0.4">
      <c r="B5" s="193" t="s">
        <v>217</v>
      </c>
      <c r="C5" s="194"/>
      <c r="D5" s="194"/>
      <c r="E5" s="194"/>
      <c r="F5" s="195"/>
      <c r="G5" s="193" t="s">
        <v>222</v>
      </c>
      <c r="H5" s="194"/>
      <c r="I5" s="194"/>
      <c r="J5" s="194"/>
      <c r="K5" s="195"/>
      <c r="L5" s="193" t="s">
        <v>224</v>
      </c>
      <c r="M5" s="194"/>
      <c r="N5" s="194"/>
      <c r="O5" s="194"/>
      <c r="P5" s="195"/>
      <c r="Q5" s="193" t="s">
        <v>226</v>
      </c>
      <c r="R5" s="194"/>
      <c r="S5" s="194"/>
      <c r="T5" s="194"/>
      <c r="U5" s="195"/>
    </row>
    <row r="6" spans="1:21" x14ac:dyDescent="0.35">
      <c r="A6" t="s">
        <v>789</v>
      </c>
      <c r="B6" s="103" t="s">
        <v>65</v>
      </c>
      <c r="C6" s="69" t="s">
        <v>67</v>
      </c>
      <c r="D6" s="106" t="s">
        <v>72</v>
      </c>
      <c r="E6" s="69" t="s">
        <v>24</v>
      </c>
      <c r="F6" s="70" t="s">
        <v>75</v>
      </c>
      <c r="G6" s="103" t="s">
        <v>65</v>
      </c>
      <c r="H6" s="69" t="s">
        <v>67</v>
      </c>
      <c r="I6" s="106" t="s">
        <v>72</v>
      </c>
      <c r="J6" s="69" t="s">
        <v>24</v>
      </c>
      <c r="K6" s="70" t="s">
        <v>75</v>
      </c>
      <c r="L6" s="103" t="s">
        <v>65</v>
      </c>
      <c r="M6" s="69" t="s">
        <v>67</v>
      </c>
      <c r="N6" s="106" t="s">
        <v>72</v>
      </c>
      <c r="O6" s="69" t="s">
        <v>24</v>
      </c>
      <c r="P6" s="70" t="s">
        <v>75</v>
      </c>
      <c r="Q6" s="103" t="s">
        <v>65</v>
      </c>
      <c r="R6" s="69" t="s">
        <v>67</v>
      </c>
      <c r="S6" s="106" t="s">
        <v>72</v>
      </c>
      <c r="T6" s="69" t="s">
        <v>24</v>
      </c>
      <c r="U6" s="70" t="s">
        <v>75</v>
      </c>
    </row>
    <row r="7" spans="1:21" x14ac:dyDescent="0.35">
      <c r="B7" s="103" t="str">
        <f>B6&amp;"|"&amp;$B$5</f>
        <v>Child, 6-8yrs|TFP Constraint</v>
      </c>
      <c r="C7" s="103" t="str">
        <f t="shared" ref="C7:F7" si="0">C6&amp;"|"&amp;$B$5</f>
        <v>Child, 9-11yrs|TFP Constraint</v>
      </c>
      <c r="D7" s="103" t="str">
        <f t="shared" si="0"/>
        <v>Male, 20-50yrs|TFP Constraint</v>
      </c>
      <c r="E7" s="103" t="str">
        <f t="shared" si="0"/>
        <v>Female, 20-50yrs|TFP Constraint</v>
      </c>
      <c r="F7" s="103" t="str">
        <f t="shared" si="0"/>
        <v>Reference Family of Four|TFP Constraint</v>
      </c>
      <c r="G7" s="103" t="str">
        <f>G6&amp;"|"&amp;$G$5</f>
        <v>Child, 6-8yrs|Healthy US-Style Reference</v>
      </c>
      <c r="H7" s="103" t="str">
        <f t="shared" ref="H7:K7" si="1">H6&amp;"|"&amp;$G$5</f>
        <v>Child, 9-11yrs|Healthy US-Style Reference</v>
      </c>
      <c r="I7" s="103" t="str">
        <f t="shared" si="1"/>
        <v>Male, 20-50yrs|Healthy US-Style Reference</v>
      </c>
      <c r="J7" s="103" t="str">
        <f t="shared" si="1"/>
        <v>Female, 20-50yrs|Healthy US-Style Reference</v>
      </c>
      <c r="K7" s="103" t="str">
        <f t="shared" si="1"/>
        <v>Reference Family of Four|Healthy US-Style Reference</v>
      </c>
      <c r="L7" s="103" t="str">
        <f>L6&amp;"|"&amp;$L$5</f>
        <v>Child, 6-8yrs|Healthy Vegetarian Reference</v>
      </c>
      <c r="M7" s="103" t="str">
        <f t="shared" ref="M7:P7" si="2">M6&amp;"|"&amp;$L$5</f>
        <v>Child, 9-11yrs|Healthy Vegetarian Reference</v>
      </c>
      <c r="N7" s="103" t="str">
        <f t="shared" si="2"/>
        <v>Male, 20-50yrs|Healthy Vegetarian Reference</v>
      </c>
      <c r="O7" s="103" t="str">
        <f t="shared" si="2"/>
        <v>Female, 20-50yrs|Healthy Vegetarian Reference</v>
      </c>
      <c r="P7" s="103" t="str">
        <f t="shared" si="2"/>
        <v>Reference Family of Four|Healthy Vegetarian Reference</v>
      </c>
      <c r="Q7" s="103" t="str">
        <f>Q6&amp;"|"&amp;$Q$5</f>
        <v>Child, 6-8yrs|Healthy Mediterranean Reference</v>
      </c>
      <c r="R7" s="103" t="str">
        <f t="shared" ref="R7:U7" si="3">R6&amp;"|"&amp;$Q$5</f>
        <v>Child, 9-11yrs|Healthy Mediterranean Reference</v>
      </c>
      <c r="S7" s="103" t="str">
        <f t="shared" si="3"/>
        <v>Male, 20-50yrs|Healthy Mediterranean Reference</v>
      </c>
      <c r="T7" s="103" t="str">
        <f t="shared" si="3"/>
        <v>Female, 20-50yrs|Healthy Mediterranean Reference</v>
      </c>
      <c r="U7" s="103" t="str">
        <f t="shared" si="3"/>
        <v>Reference Family of Four|Healthy Mediterranean Reference</v>
      </c>
    </row>
    <row r="8" spans="1:21" x14ac:dyDescent="0.35">
      <c r="A8" s="9" t="s">
        <v>223</v>
      </c>
      <c r="B8" s="71">
        <v>2.5</v>
      </c>
      <c r="C8" s="12">
        <v>3</v>
      </c>
      <c r="D8" s="16">
        <v>4</v>
      </c>
      <c r="E8" s="12">
        <v>3</v>
      </c>
      <c r="F8" s="49">
        <f t="shared" ref="F8:F22" si="4">SUM(B8:E8)</f>
        <v>12.5</v>
      </c>
      <c r="G8" s="71">
        <v>2.5</v>
      </c>
      <c r="H8" s="12">
        <v>3</v>
      </c>
      <c r="I8" s="16">
        <v>4</v>
      </c>
      <c r="J8" s="12">
        <v>3</v>
      </c>
      <c r="K8" s="49">
        <f>SUM(G8:J8)</f>
        <v>12.5</v>
      </c>
      <c r="L8" s="71">
        <v>2.5</v>
      </c>
      <c r="M8" s="12">
        <v>3</v>
      </c>
      <c r="N8" s="16">
        <v>4</v>
      </c>
      <c r="O8" s="12">
        <v>3</v>
      </c>
      <c r="P8" s="49">
        <f>SUM(L8:O8)</f>
        <v>12.5</v>
      </c>
      <c r="Q8" s="71">
        <v>2.5</v>
      </c>
      <c r="R8" s="12">
        <v>3</v>
      </c>
      <c r="S8" s="16">
        <v>4</v>
      </c>
      <c r="T8" s="12">
        <v>3</v>
      </c>
      <c r="U8" s="49">
        <f>SUM(Q8:T8)</f>
        <v>12.5</v>
      </c>
    </row>
    <row r="9" spans="1:21" x14ac:dyDescent="0.35">
      <c r="A9" s="43" t="s">
        <v>225</v>
      </c>
      <c r="B9" s="71">
        <v>0.21</v>
      </c>
      <c r="C9" s="12">
        <v>0.28999999999999998</v>
      </c>
      <c r="D9" s="16">
        <v>0.36</v>
      </c>
      <c r="E9" s="12">
        <v>0.28999999999999998</v>
      </c>
      <c r="F9" s="49">
        <f t="shared" si="4"/>
        <v>1.1499999999999999</v>
      </c>
      <c r="G9" s="71">
        <v>0.21</v>
      </c>
      <c r="H9" s="12">
        <v>0.28999999999999998</v>
      </c>
      <c r="I9" s="16">
        <v>0.36</v>
      </c>
      <c r="J9" s="12">
        <v>0.28999999999999998</v>
      </c>
      <c r="K9" s="49">
        <f t="shared" ref="K9:K22" si="5">SUM(G9:J9)</f>
        <v>1.1499999999999999</v>
      </c>
      <c r="L9" s="71">
        <v>0.21</v>
      </c>
      <c r="M9" s="12">
        <v>0.28999999999999998</v>
      </c>
      <c r="N9" s="16">
        <v>0.36</v>
      </c>
      <c r="O9" s="12">
        <v>0.28999999999999998</v>
      </c>
      <c r="P9" s="49">
        <f t="shared" ref="P9:P19" si="6">SUM(L9:O9)</f>
        <v>1.1499999999999999</v>
      </c>
      <c r="Q9" s="71">
        <v>0.21</v>
      </c>
      <c r="R9" s="12">
        <v>0.28999999999999998</v>
      </c>
      <c r="S9" s="16">
        <v>0.36</v>
      </c>
      <c r="T9" s="12">
        <v>0.28999999999999998</v>
      </c>
      <c r="U9" s="49">
        <f t="shared" ref="U9:U27" si="7">SUM(Q9:T9)</f>
        <v>1.1499999999999999</v>
      </c>
    </row>
    <row r="10" spans="1:21" x14ac:dyDescent="0.35">
      <c r="A10" s="43" t="s">
        <v>227</v>
      </c>
      <c r="B10" s="71">
        <v>0.79</v>
      </c>
      <c r="C10" s="12">
        <v>0.86</v>
      </c>
      <c r="D10" s="16">
        <v>1.07</v>
      </c>
      <c r="E10" s="12">
        <v>0.86</v>
      </c>
      <c r="F10" s="49">
        <f t="shared" si="4"/>
        <v>3.5799999999999996</v>
      </c>
      <c r="G10" s="71">
        <v>0.79</v>
      </c>
      <c r="H10" s="12">
        <v>0.86</v>
      </c>
      <c r="I10" s="16">
        <v>1.07</v>
      </c>
      <c r="J10" s="12">
        <v>0.86</v>
      </c>
      <c r="K10" s="49">
        <f t="shared" si="5"/>
        <v>3.5799999999999996</v>
      </c>
      <c r="L10" s="71">
        <v>0.79</v>
      </c>
      <c r="M10" s="12">
        <v>0.86</v>
      </c>
      <c r="N10" s="16">
        <v>1.07</v>
      </c>
      <c r="O10" s="12">
        <v>0.86</v>
      </c>
      <c r="P10" s="49">
        <f t="shared" si="6"/>
        <v>3.5799999999999996</v>
      </c>
      <c r="Q10" s="71">
        <v>0.79</v>
      </c>
      <c r="R10" s="12">
        <v>0.86</v>
      </c>
      <c r="S10" s="16">
        <v>1.07</v>
      </c>
      <c r="T10" s="12">
        <v>0.86</v>
      </c>
      <c r="U10" s="49">
        <f t="shared" si="7"/>
        <v>3.5799999999999996</v>
      </c>
    </row>
    <row r="11" spans="1:21" x14ac:dyDescent="0.35">
      <c r="A11" s="43" t="s">
        <v>228</v>
      </c>
      <c r="B11" s="71">
        <v>0.21</v>
      </c>
      <c r="C11" s="12">
        <v>0.28999999999999998</v>
      </c>
      <c r="D11" s="16">
        <v>0.43</v>
      </c>
      <c r="E11" s="12">
        <v>0.28999999999999998</v>
      </c>
      <c r="F11" s="49">
        <f t="shared" si="4"/>
        <v>1.22</v>
      </c>
      <c r="G11" s="71">
        <v>0.21</v>
      </c>
      <c r="H11" s="12">
        <v>0.28999999999999998</v>
      </c>
      <c r="I11" s="16">
        <v>0.43</v>
      </c>
      <c r="J11" s="12">
        <v>0.28999999999999998</v>
      </c>
      <c r="K11" s="49">
        <f t="shared" si="5"/>
        <v>1.22</v>
      </c>
      <c r="L11" s="71">
        <v>0.21</v>
      </c>
      <c r="M11" s="12">
        <v>0.28999999999999998</v>
      </c>
      <c r="N11" s="16">
        <v>0.43</v>
      </c>
      <c r="O11" s="12">
        <v>0.28999999999999998</v>
      </c>
      <c r="P11" s="49">
        <f t="shared" si="6"/>
        <v>1.22</v>
      </c>
      <c r="Q11" s="71">
        <v>0.21</v>
      </c>
      <c r="R11" s="12">
        <v>0.28999999999999998</v>
      </c>
      <c r="S11" s="16">
        <v>0.43</v>
      </c>
      <c r="T11" s="12">
        <v>0.28999999999999998</v>
      </c>
      <c r="U11" s="49">
        <f t="shared" si="7"/>
        <v>1.22</v>
      </c>
    </row>
    <row r="12" spans="1:21" x14ac:dyDescent="0.35">
      <c r="A12" s="43" t="s">
        <v>229</v>
      </c>
      <c r="B12" s="71">
        <v>0.71</v>
      </c>
      <c r="C12" s="12">
        <v>0.86</v>
      </c>
      <c r="D12" s="16">
        <v>1.1399999999999999</v>
      </c>
      <c r="E12" s="12">
        <v>0.86</v>
      </c>
      <c r="F12" s="49">
        <f t="shared" si="4"/>
        <v>3.57</v>
      </c>
      <c r="G12" s="71">
        <v>0.71</v>
      </c>
      <c r="H12" s="12">
        <v>0.86</v>
      </c>
      <c r="I12" s="16">
        <v>1.1399999999999999</v>
      </c>
      <c r="J12" s="12">
        <v>0.86</v>
      </c>
      <c r="K12" s="49">
        <f t="shared" si="5"/>
        <v>3.57</v>
      </c>
      <c r="L12" s="71">
        <v>0.71</v>
      </c>
      <c r="M12" s="12">
        <v>0.86</v>
      </c>
      <c r="N12" s="16">
        <v>1.1399999999999999</v>
      </c>
      <c r="O12" s="12">
        <v>0.86</v>
      </c>
      <c r="P12" s="49">
        <f t="shared" si="6"/>
        <v>3.57</v>
      </c>
      <c r="Q12" s="71">
        <v>0.71</v>
      </c>
      <c r="R12" s="12">
        <v>0.86</v>
      </c>
      <c r="S12" s="16">
        <v>1.1399999999999999</v>
      </c>
      <c r="T12" s="12">
        <v>0.86</v>
      </c>
      <c r="U12" s="49">
        <f t="shared" si="7"/>
        <v>3.57</v>
      </c>
    </row>
    <row r="13" spans="1:21" x14ac:dyDescent="0.35">
      <c r="A13" s="43" t="s">
        <v>230</v>
      </c>
      <c r="B13" s="71">
        <v>0.56999999999999995</v>
      </c>
      <c r="C13" s="12">
        <v>0.71</v>
      </c>
      <c r="D13" s="56">
        <v>1</v>
      </c>
      <c r="E13" s="12">
        <v>0.71</v>
      </c>
      <c r="F13" s="49">
        <f t="shared" si="4"/>
        <v>2.9899999999999998</v>
      </c>
      <c r="G13" s="71">
        <v>0.56999999999999995</v>
      </c>
      <c r="H13" s="12">
        <v>0.71</v>
      </c>
      <c r="I13" s="16">
        <v>1</v>
      </c>
      <c r="J13" s="12">
        <v>0.71</v>
      </c>
      <c r="K13" s="49">
        <f t="shared" si="5"/>
        <v>2.9899999999999998</v>
      </c>
      <c r="L13" s="71">
        <v>0.56999999999999995</v>
      </c>
      <c r="M13" s="12">
        <v>0.71</v>
      </c>
      <c r="N13" s="16">
        <v>1</v>
      </c>
      <c r="O13" s="12">
        <v>0.71</v>
      </c>
      <c r="P13" s="49">
        <f t="shared" si="6"/>
        <v>2.9899999999999998</v>
      </c>
      <c r="Q13" s="71">
        <v>0.56999999999999995</v>
      </c>
      <c r="R13" s="12">
        <v>0.71</v>
      </c>
      <c r="S13" s="16">
        <v>1</v>
      </c>
      <c r="T13" s="12">
        <v>0.71</v>
      </c>
      <c r="U13" s="49">
        <f t="shared" si="7"/>
        <v>2.9899999999999998</v>
      </c>
    </row>
    <row r="14" spans="1:21" x14ac:dyDescent="0.35">
      <c r="A14" s="44" t="s">
        <v>231</v>
      </c>
      <c r="B14" s="71">
        <v>1.5</v>
      </c>
      <c r="C14" s="12">
        <v>2</v>
      </c>
      <c r="D14" s="16">
        <v>2.5</v>
      </c>
      <c r="E14" s="12">
        <v>2</v>
      </c>
      <c r="F14" s="49">
        <f t="shared" si="4"/>
        <v>8</v>
      </c>
      <c r="G14" s="71">
        <v>1.5</v>
      </c>
      <c r="H14" s="12">
        <v>2</v>
      </c>
      <c r="I14" s="16">
        <v>2.5</v>
      </c>
      <c r="J14" s="12">
        <v>2</v>
      </c>
      <c r="K14" s="49">
        <f t="shared" si="5"/>
        <v>8</v>
      </c>
      <c r="L14" s="71">
        <v>1.5</v>
      </c>
      <c r="M14" s="12">
        <v>2</v>
      </c>
      <c r="N14" s="16">
        <v>2.5</v>
      </c>
      <c r="O14" s="12">
        <v>2</v>
      </c>
      <c r="P14" s="49">
        <f t="shared" si="6"/>
        <v>8</v>
      </c>
      <c r="Q14" s="71">
        <v>2</v>
      </c>
      <c r="R14" s="12">
        <v>2.5</v>
      </c>
      <c r="S14" s="16">
        <v>3</v>
      </c>
      <c r="T14" s="12">
        <v>2.5</v>
      </c>
      <c r="U14" s="49">
        <f t="shared" si="7"/>
        <v>10</v>
      </c>
    </row>
    <row r="15" spans="1:21" x14ac:dyDescent="0.35">
      <c r="A15" s="44" t="s">
        <v>232</v>
      </c>
      <c r="B15" s="71">
        <v>6</v>
      </c>
      <c r="C15" s="12">
        <v>7</v>
      </c>
      <c r="D15" s="16">
        <v>10</v>
      </c>
      <c r="E15" s="12">
        <v>7</v>
      </c>
      <c r="F15" s="49">
        <f t="shared" si="4"/>
        <v>30</v>
      </c>
      <c r="G15" s="71">
        <v>6</v>
      </c>
      <c r="H15" s="12">
        <v>7</v>
      </c>
      <c r="I15" s="16">
        <v>10</v>
      </c>
      <c r="J15" s="12">
        <v>7</v>
      </c>
      <c r="K15" s="49">
        <f t="shared" si="5"/>
        <v>30</v>
      </c>
      <c r="L15" s="71">
        <v>6.5</v>
      </c>
      <c r="M15" s="12">
        <v>7.5</v>
      </c>
      <c r="N15" s="16">
        <v>10.5</v>
      </c>
      <c r="O15" s="12">
        <v>7.5</v>
      </c>
      <c r="P15" s="49">
        <f t="shared" si="6"/>
        <v>32</v>
      </c>
      <c r="Q15" s="71">
        <v>6</v>
      </c>
      <c r="R15" s="12">
        <v>7</v>
      </c>
      <c r="S15" s="16">
        <v>10</v>
      </c>
      <c r="T15" s="12">
        <v>7</v>
      </c>
      <c r="U15" s="49">
        <f t="shared" si="7"/>
        <v>30</v>
      </c>
    </row>
    <row r="16" spans="1:21" x14ac:dyDescent="0.35">
      <c r="A16" s="43" t="s">
        <v>234</v>
      </c>
      <c r="B16" s="71">
        <v>3</v>
      </c>
      <c r="C16" s="12">
        <v>3.5</v>
      </c>
      <c r="D16" s="16">
        <v>5</v>
      </c>
      <c r="E16" s="12">
        <v>3.5</v>
      </c>
      <c r="F16" s="49">
        <f t="shared" si="4"/>
        <v>15</v>
      </c>
      <c r="G16" s="71">
        <v>3</v>
      </c>
      <c r="H16" s="12">
        <v>3.5</v>
      </c>
      <c r="I16" s="16">
        <v>5</v>
      </c>
      <c r="J16" s="12">
        <v>3.5</v>
      </c>
      <c r="K16" s="49">
        <f t="shared" si="5"/>
        <v>15</v>
      </c>
      <c r="L16" s="71">
        <v>3.5</v>
      </c>
      <c r="M16" s="12">
        <v>4</v>
      </c>
      <c r="N16" s="16">
        <v>5.5</v>
      </c>
      <c r="O16" s="12">
        <v>4</v>
      </c>
      <c r="P16" s="49">
        <f t="shared" si="6"/>
        <v>17</v>
      </c>
      <c r="Q16" s="71">
        <v>3</v>
      </c>
      <c r="R16" s="41">
        <v>3.5</v>
      </c>
      <c r="S16" s="16">
        <v>5</v>
      </c>
      <c r="T16" s="12">
        <v>3.5</v>
      </c>
      <c r="U16" s="49">
        <f t="shared" si="7"/>
        <v>15</v>
      </c>
    </row>
    <row r="17" spans="1:21" x14ac:dyDescent="0.35">
      <c r="A17" s="43" t="s">
        <v>235</v>
      </c>
      <c r="B17" s="71">
        <v>3</v>
      </c>
      <c r="C17" s="12">
        <v>3.5</v>
      </c>
      <c r="D17" s="16">
        <v>5</v>
      </c>
      <c r="E17" s="12">
        <v>3.5</v>
      </c>
      <c r="F17" s="49">
        <f t="shared" si="4"/>
        <v>15</v>
      </c>
      <c r="G17" s="71">
        <v>3</v>
      </c>
      <c r="H17" s="12">
        <v>3.5</v>
      </c>
      <c r="I17" s="16">
        <v>5</v>
      </c>
      <c r="J17" s="12">
        <v>3.5</v>
      </c>
      <c r="K17" s="49">
        <f t="shared" si="5"/>
        <v>15</v>
      </c>
      <c r="L17" s="71">
        <v>3</v>
      </c>
      <c r="M17" s="12">
        <v>3.5</v>
      </c>
      <c r="N17" s="16">
        <v>5</v>
      </c>
      <c r="O17" s="12">
        <v>3.5</v>
      </c>
      <c r="P17" s="49">
        <f t="shared" si="6"/>
        <v>15</v>
      </c>
      <c r="Q17" s="71">
        <v>3</v>
      </c>
      <c r="R17" s="12">
        <v>3.5</v>
      </c>
      <c r="S17" s="16">
        <v>5</v>
      </c>
      <c r="T17" s="12">
        <v>3.5</v>
      </c>
      <c r="U17" s="49">
        <f t="shared" si="7"/>
        <v>15</v>
      </c>
    </row>
    <row r="18" spans="1:21" x14ac:dyDescent="0.35">
      <c r="A18" s="9" t="s">
        <v>236</v>
      </c>
      <c r="B18" s="71">
        <v>2.5</v>
      </c>
      <c r="C18" s="12">
        <v>3</v>
      </c>
      <c r="D18" s="16">
        <v>3</v>
      </c>
      <c r="E18" s="12">
        <v>3</v>
      </c>
      <c r="F18" s="49">
        <f t="shared" si="4"/>
        <v>11.5</v>
      </c>
      <c r="G18" s="71">
        <v>2.5</v>
      </c>
      <c r="H18" s="12">
        <v>3</v>
      </c>
      <c r="I18" s="16">
        <v>3</v>
      </c>
      <c r="J18" s="12">
        <v>3</v>
      </c>
      <c r="K18" s="49">
        <f t="shared" si="5"/>
        <v>11.5</v>
      </c>
      <c r="L18" s="71">
        <v>3</v>
      </c>
      <c r="M18" s="12">
        <v>3</v>
      </c>
      <c r="N18" s="16">
        <v>3</v>
      </c>
      <c r="O18" s="12">
        <v>3</v>
      </c>
      <c r="P18" s="49">
        <f t="shared" si="6"/>
        <v>12</v>
      </c>
      <c r="Q18" s="71">
        <v>2</v>
      </c>
      <c r="R18" s="12">
        <v>2</v>
      </c>
      <c r="S18" s="16">
        <v>2.5</v>
      </c>
      <c r="T18" s="12">
        <v>2</v>
      </c>
      <c r="U18" s="49">
        <f t="shared" si="7"/>
        <v>8.5</v>
      </c>
    </row>
    <row r="19" spans="1:21" x14ac:dyDescent="0.35">
      <c r="A19" s="9" t="s">
        <v>237</v>
      </c>
      <c r="B19" s="71">
        <v>5</v>
      </c>
      <c r="C19" s="12">
        <v>6</v>
      </c>
      <c r="D19" s="16">
        <v>7</v>
      </c>
      <c r="E19" s="12">
        <v>6</v>
      </c>
      <c r="F19" s="49">
        <f t="shared" si="4"/>
        <v>24</v>
      </c>
      <c r="G19" s="71">
        <v>5</v>
      </c>
      <c r="H19" s="12">
        <v>6</v>
      </c>
      <c r="I19" s="16">
        <v>7</v>
      </c>
      <c r="J19" s="12">
        <v>6</v>
      </c>
      <c r="K19" s="49">
        <f t="shared" si="5"/>
        <v>24</v>
      </c>
      <c r="L19" s="71">
        <v>3</v>
      </c>
      <c r="M19" s="12">
        <v>3.5</v>
      </c>
      <c r="N19" s="16">
        <v>5.5</v>
      </c>
      <c r="O19" s="12">
        <v>3.5</v>
      </c>
      <c r="P19" s="49">
        <f t="shared" si="6"/>
        <v>15.5</v>
      </c>
      <c r="Q19" s="71">
        <v>6</v>
      </c>
      <c r="R19" s="12">
        <v>7</v>
      </c>
      <c r="S19" s="16">
        <v>8</v>
      </c>
      <c r="T19" s="12">
        <v>7</v>
      </c>
      <c r="U19" s="49">
        <f t="shared" si="7"/>
        <v>28</v>
      </c>
    </row>
    <row r="20" spans="1:21" x14ac:dyDescent="0.35">
      <c r="A20" s="43" t="s">
        <v>238</v>
      </c>
      <c r="B20" s="71">
        <v>3.3</v>
      </c>
      <c r="C20" s="12">
        <v>4.03</v>
      </c>
      <c r="D20" s="57">
        <v>4.7</v>
      </c>
      <c r="E20" s="12">
        <v>4.03</v>
      </c>
      <c r="F20" s="49">
        <f t="shared" si="4"/>
        <v>16.060000000000002</v>
      </c>
      <c r="G20" s="71">
        <v>3.29</v>
      </c>
      <c r="H20" s="12">
        <v>4</v>
      </c>
      <c r="I20" s="57">
        <v>4.71</v>
      </c>
      <c r="J20" s="12">
        <v>4</v>
      </c>
      <c r="K20" s="49">
        <f t="shared" si="5"/>
        <v>16</v>
      </c>
      <c r="L20" s="72" t="s">
        <v>240</v>
      </c>
      <c r="M20" s="42" t="s">
        <v>240</v>
      </c>
      <c r="N20" s="57" t="s">
        <v>240</v>
      </c>
      <c r="O20" s="46" t="s">
        <v>240</v>
      </c>
      <c r="P20" s="52" t="s">
        <v>240</v>
      </c>
      <c r="Q20" s="71">
        <v>3.29</v>
      </c>
      <c r="R20" s="12">
        <v>4</v>
      </c>
      <c r="S20" s="57">
        <v>4.71</v>
      </c>
      <c r="T20" s="12">
        <v>4</v>
      </c>
      <c r="U20" s="49">
        <f t="shared" si="7"/>
        <v>16</v>
      </c>
    </row>
    <row r="21" spans="1:21" x14ac:dyDescent="0.35">
      <c r="A21" s="43" t="s">
        <v>178</v>
      </c>
      <c r="B21" s="71">
        <v>1.1100000000000001</v>
      </c>
      <c r="C21" s="12">
        <v>1.26</v>
      </c>
      <c r="D21" s="57">
        <v>1.47</v>
      </c>
      <c r="E21" s="12">
        <v>1.26</v>
      </c>
      <c r="F21" s="49">
        <f t="shared" si="4"/>
        <v>5.0999999999999996</v>
      </c>
      <c r="G21" s="71">
        <v>1.1399999999999999</v>
      </c>
      <c r="H21" s="12">
        <v>1.29</v>
      </c>
      <c r="I21" s="57">
        <v>1.43</v>
      </c>
      <c r="J21" s="12">
        <v>1.29</v>
      </c>
      <c r="K21" s="49">
        <f t="shared" si="5"/>
        <v>5.1499999999999995</v>
      </c>
      <c r="L21" s="72" t="s">
        <v>240</v>
      </c>
      <c r="M21" s="42" t="s">
        <v>240</v>
      </c>
      <c r="N21" s="57" t="s">
        <v>240</v>
      </c>
      <c r="O21" s="46" t="s">
        <v>240</v>
      </c>
      <c r="P21" s="52" t="s">
        <v>240</v>
      </c>
      <c r="Q21" s="71">
        <v>2.14</v>
      </c>
      <c r="R21" s="12">
        <v>2.29</v>
      </c>
      <c r="S21" s="57">
        <v>2.4300000000000002</v>
      </c>
      <c r="T21" s="12">
        <v>2.29</v>
      </c>
      <c r="U21" s="49">
        <f t="shared" si="7"/>
        <v>9.1499999999999986</v>
      </c>
    </row>
    <row r="22" spans="1:21" x14ac:dyDescent="0.35">
      <c r="A22" s="43" t="s">
        <v>239</v>
      </c>
      <c r="B22" s="71">
        <v>0.59</v>
      </c>
      <c r="C22" s="12">
        <v>0.7</v>
      </c>
      <c r="D22" s="57">
        <v>0.81</v>
      </c>
      <c r="E22" s="12">
        <v>0.7</v>
      </c>
      <c r="F22" s="49">
        <f t="shared" si="4"/>
        <v>2.8</v>
      </c>
      <c r="G22" s="71">
        <v>0.56999999999999995</v>
      </c>
      <c r="H22" s="12">
        <v>0.71</v>
      </c>
      <c r="I22" s="57">
        <v>0.86</v>
      </c>
      <c r="J22" s="12">
        <v>0.71</v>
      </c>
      <c r="K22" s="49">
        <f t="shared" si="5"/>
        <v>2.8499999999999996</v>
      </c>
      <c r="L22" s="72" t="s">
        <v>240</v>
      </c>
      <c r="M22" s="42" t="s">
        <v>240</v>
      </c>
      <c r="N22" s="57" t="s">
        <v>240</v>
      </c>
      <c r="O22" s="46" t="s">
        <v>240</v>
      </c>
      <c r="P22" s="52" t="s">
        <v>240</v>
      </c>
      <c r="Q22" s="71">
        <v>0.56999999999999995</v>
      </c>
      <c r="R22" s="12">
        <v>0.71</v>
      </c>
      <c r="S22" s="57">
        <v>0.86</v>
      </c>
      <c r="T22" s="12">
        <v>0.71</v>
      </c>
      <c r="U22" s="49">
        <f t="shared" si="7"/>
        <v>2.8499999999999996</v>
      </c>
    </row>
    <row r="23" spans="1:21" x14ac:dyDescent="0.35">
      <c r="A23" s="43" t="s">
        <v>87</v>
      </c>
      <c r="B23" s="72" t="s">
        <v>240</v>
      </c>
      <c r="C23" s="42" t="s">
        <v>240</v>
      </c>
      <c r="D23" s="57" t="s">
        <v>240</v>
      </c>
      <c r="E23" s="42" t="s">
        <v>240</v>
      </c>
      <c r="F23" s="74" t="s">
        <v>240</v>
      </c>
      <c r="G23" s="72" t="s">
        <v>240</v>
      </c>
      <c r="H23" s="42" t="s">
        <v>240</v>
      </c>
      <c r="I23" s="57" t="s">
        <v>240</v>
      </c>
      <c r="J23" s="42" t="s">
        <v>240</v>
      </c>
      <c r="K23" s="52" t="s">
        <v>240</v>
      </c>
      <c r="L23" s="72">
        <v>0.43</v>
      </c>
      <c r="M23" s="42">
        <v>0.43</v>
      </c>
      <c r="N23" s="16">
        <v>0.56999999999999995</v>
      </c>
      <c r="O23" s="42">
        <v>0.43</v>
      </c>
      <c r="P23" s="49">
        <f>SUM(L23:O23)</f>
        <v>1.8599999999999999</v>
      </c>
      <c r="Q23" s="72" t="s">
        <v>240</v>
      </c>
      <c r="R23" s="42" t="s">
        <v>240</v>
      </c>
      <c r="S23" s="57" t="s">
        <v>240</v>
      </c>
      <c r="T23" s="42" t="s">
        <v>240</v>
      </c>
      <c r="U23" s="74" t="s">
        <v>240</v>
      </c>
    </row>
    <row r="24" spans="1:21" x14ac:dyDescent="0.35">
      <c r="A24" s="43" t="s">
        <v>228</v>
      </c>
      <c r="B24" s="72" t="s">
        <v>240</v>
      </c>
      <c r="C24" s="42" t="s">
        <v>240</v>
      </c>
      <c r="D24" s="57" t="s">
        <v>240</v>
      </c>
      <c r="E24" s="42" t="s">
        <v>240</v>
      </c>
      <c r="F24" s="74" t="s">
        <v>240</v>
      </c>
      <c r="G24" s="72" t="s">
        <v>240</v>
      </c>
      <c r="H24" s="42" t="s">
        <v>240</v>
      </c>
      <c r="I24" s="57" t="s">
        <v>240</v>
      </c>
      <c r="J24" s="42" t="s">
        <v>240</v>
      </c>
      <c r="K24" s="52" t="s">
        <v>240</v>
      </c>
      <c r="L24" s="72">
        <v>0.86</v>
      </c>
      <c r="M24" s="42">
        <v>0.86</v>
      </c>
      <c r="N24" s="16">
        <v>1.57</v>
      </c>
      <c r="O24" s="42">
        <v>0.86</v>
      </c>
      <c r="P24" s="49">
        <f t="shared" ref="P24:P27" si="8">SUM(L24:O24)</f>
        <v>4.1500000000000004</v>
      </c>
      <c r="Q24" s="72" t="s">
        <v>240</v>
      </c>
      <c r="R24" s="42" t="s">
        <v>240</v>
      </c>
      <c r="S24" s="57" t="s">
        <v>240</v>
      </c>
      <c r="T24" s="42" t="s">
        <v>240</v>
      </c>
      <c r="U24" s="74" t="s">
        <v>240</v>
      </c>
    </row>
    <row r="25" spans="1:21" x14ac:dyDescent="0.35">
      <c r="A25" s="43" t="s">
        <v>241</v>
      </c>
      <c r="B25" s="72" t="s">
        <v>240</v>
      </c>
      <c r="C25" s="42" t="s">
        <v>240</v>
      </c>
      <c r="D25" s="57" t="s">
        <v>240</v>
      </c>
      <c r="E25" s="42" t="s">
        <v>240</v>
      </c>
      <c r="F25" s="74" t="s">
        <v>240</v>
      </c>
      <c r="G25" s="72" t="s">
        <v>240</v>
      </c>
      <c r="H25" s="42" t="s">
        <v>240</v>
      </c>
      <c r="I25" s="57" t="s">
        <v>240</v>
      </c>
      <c r="J25" s="42" t="s">
        <v>240</v>
      </c>
      <c r="K25" s="52" t="s">
        <v>240</v>
      </c>
      <c r="L25" s="72">
        <v>0.86</v>
      </c>
      <c r="M25" s="42">
        <v>1.1399999999999999</v>
      </c>
      <c r="N25" s="16">
        <v>1.71</v>
      </c>
      <c r="O25" s="42">
        <v>1.1399999999999999</v>
      </c>
      <c r="P25" s="49">
        <f t="shared" si="8"/>
        <v>4.8499999999999996</v>
      </c>
      <c r="Q25" s="72" t="s">
        <v>240</v>
      </c>
      <c r="R25" s="42" t="s">
        <v>240</v>
      </c>
      <c r="S25" s="57" t="s">
        <v>240</v>
      </c>
      <c r="T25" s="42" t="s">
        <v>240</v>
      </c>
      <c r="U25" s="74" t="s">
        <v>240</v>
      </c>
    </row>
    <row r="26" spans="1:21" x14ac:dyDescent="0.35">
      <c r="A26" s="43" t="s">
        <v>242</v>
      </c>
      <c r="B26" s="72" t="s">
        <v>240</v>
      </c>
      <c r="C26" s="42" t="s">
        <v>240</v>
      </c>
      <c r="D26" s="57" t="s">
        <v>240</v>
      </c>
      <c r="E26" s="42" t="s">
        <v>240</v>
      </c>
      <c r="F26" s="74" t="s">
        <v>240</v>
      </c>
      <c r="G26" s="72" t="s">
        <v>240</v>
      </c>
      <c r="H26" s="42" t="s">
        <v>240</v>
      </c>
      <c r="I26" s="57" t="s">
        <v>240</v>
      </c>
      <c r="J26" s="42" t="s">
        <v>240</v>
      </c>
      <c r="K26" s="52" t="s">
        <v>240</v>
      </c>
      <c r="L26" s="72">
        <v>0.86</v>
      </c>
      <c r="M26" s="42">
        <v>1</v>
      </c>
      <c r="N26" s="16">
        <v>1.71</v>
      </c>
      <c r="O26" s="42">
        <v>1</v>
      </c>
      <c r="P26" s="49">
        <f t="shared" si="8"/>
        <v>4.57</v>
      </c>
      <c r="Q26" s="72" t="s">
        <v>240</v>
      </c>
      <c r="R26" s="42" t="s">
        <v>240</v>
      </c>
      <c r="S26" s="57" t="s">
        <v>240</v>
      </c>
      <c r="T26" s="42" t="s">
        <v>240</v>
      </c>
      <c r="U26" s="74" t="s">
        <v>240</v>
      </c>
    </row>
    <row r="27" spans="1:21" ht="15" thickBot="1" x14ac:dyDescent="0.4">
      <c r="A27" s="9" t="s">
        <v>243</v>
      </c>
      <c r="B27" s="73">
        <v>24</v>
      </c>
      <c r="C27" s="11">
        <v>29</v>
      </c>
      <c r="D27" s="38">
        <v>44</v>
      </c>
      <c r="E27" s="11">
        <v>29</v>
      </c>
      <c r="F27" s="32">
        <f>SUM(B27:E27)</f>
        <v>126</v>
      </c>
      <c r="G27" s="73">
        <v>24</v>
      </c>
      <c r="H27" s="11">
        <v>29</v>
      </c>
      <c r="I27" s="38">
        <v>44</v>
      </c>
      <c r="J27" s="11">
        <v>29</v>
      </c>
      <c r="K27" s="32">
        <f>SUM(G27:J27)</f>
        <v>126</v>
      </c>
      <c r="L27" s="73">
        <v>24</v>
      </c>
      <c r="M27" s="11">
        <v>29</v>
      </c>
      <c r="N27" s="38">
        <v>44</v>
      </c>
      <c r="O27" s="11">
        <v>29</v>
      </c>
      <c r="P27" s="32">
        <f t="shared" si="8"/>
        <v>126</v>
      </c>
      <c r="Q27" s="73">
        <v>24</v>
      </c>
      <c r="R27" s="11">
        <v>29</v>
      </c>
      <c r="S27" s="38">
        <v>44</v>
      </c>
      <c r="T27" s="11">
        <v>29</v>
      </c>
      <c r="U27" s="32">
        <f t="shared" si="7"/>
        <v>126</v>
      </c>
    </row>
    <row r="28" spans="1:21" x14ac:dyDescent="0.35">
      <c r="A28" s="4"/>
    </row>
    <row r="29" spans="1:21" x14ac:dyDescent="0.35">
      <c r="B29" s="1" t="s">
        <v>790</v>
      </c>
      <c r="D29" s="1"/>
    </row>
  </sheetData>
  <sheetProtection sheet="1" objects="1" scenarios="1" selectLockedCells="1"/>
  <mergeCells count="4">
    <mergeCell ref="B5:F5"/>
    <mergeCell ref="G5:K5"/>
    <mergeCell ref="L5:P5"/>
    <mergeCell ref="Q5:U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95C3-3602-4E76-97FA-0247038C50E4}">
  <sheetPr>
    <tabColor theme="8" tint="0.59999389629810485"/>
  </sheetPr>
  <dimension ref="B1:DR110"/>
  <sheetViews>
    <sheetView zoomScale="70" zoomScaleNormal="70" workbookViewId="0">
      <pane xSplit="4" ySplit="11" topLeftCell="E12" activePane="bottomRight" state="frozen"/>
      <selection pane="topRight" activeCell="D1" sqref="D1"/>
      <selection pane="bottomLeft" activeCell="A11" sqref="A11"/>
      <selection pane="bottomRight" activeCell="E6" sqref="E6:H6"/>
    </sheetView>
  </sheetViews>
  <sheetFormatPr defaultRowHeight="15" customHeight="1" x14ac:dyDescent="0.35"/>
  <cols>
    <col min="1" max="1" width="8.7265625" style="109"/>
    <col min="2" max="2" width="4.54296875" style="109" customWidth="1"/>
    <col min="3" max="3" width="25.54296875" style="109" customWidth="1"/>
    <col min="4" max="4" width="42.7265625" style="109" customWidth="1"/>
    <col min="5" max="8" width="8.81640625" style="109" customWidth="1"/>
    <col min="9" max="9" width="3.54296875" style="109" customWidth="1"/>
    <col min="10" max="10" width="13.54296875" style="109" customWidth="1"/>
    <col min="11" max="11" width="3.54296875" style="109" customWidth="1"/>
    <col min="12" max="15" width="8.81640625" style="109" customWidth="1"/>
    <col min="16" max="16" width="3.54296875" style="109" customWidth="1"/>
    <col min="17" max="20" width="8.81640625" style="109" customWidth="1"/>
    <col min="21" max="21" width="8.7265625" style="109"/>
    <col min="22" max="23" width="16.7265625" style="109" customWidth="1"/>
    <col min="24" max="16384" width="8.7265625" style="109"/>
  </cols>
  <sheetData>
    <row r="1" spans="2:122" thickBot="1" x14ac:dyDescent="0.4">
      <c r="C1" s="123"/>
      <c r="D1" s="110"/>
      <c r="E1" s="110"/>
      <c r="F1" s="110"/>
      <c r="G1" s="110"/>
      <c r="H1" s="110"/>
      <c r="I1" s="110"/>
      <c r="J1" s="110"/>
      <c r="K1" s="124"/>
      <c r="L1" s="110"/>
      <c r="M1" s="123"/>
      <c r="N1" s="125"/>
      <c r="O1" s="124"/>
      <c r="P1" s="124"/>
      <c r="Q1" s="110"/>
      <c r="R1" s="110"/>
      <c r="S1" s="110"/>
      <c r="T1" s="110"/>
    </row>
    <row r="2" spans="2:122" ht="35.5" customHeight="1" x14ac:dyDescent="0.35">
      <c r="B2" s="196" t="s">
        <v>21</v>
      </c>
      <c r="C2" s="197"/>
      <c r="D2" s="197"/>
      <c r="E2" s="197"/>
      <c r="F2" s="197"/>
      <c r="G2" s="197"/>
      <c r="H2" s="197"/>
      <c r="I2" s="197"/>
      <c r="J2" s="197"/>
      <c r="K2" s="197"/>
      <c r="L2" s="197"/>
      <c r="M2" s="197"/>
      <c r="N2" s="197"/>
      <c r="O2" s="197"/>
      <c r="P2" s="197"/>
      <c r="Q2" s="197"/>
      <c r="R2" s="197"/>
      <c r="S2" s="197"/>
      <c r="T2" s="198"/>
      <c r="W2" s="126"/>
    </row>
    <row r="3" spans="2:122" ht="17.25" customHeight="1" x14ac:dyDescent="0.35">
      <c r="B3" s="110"/>
      <c r="C3" s="127"/>
      <c r="D3" s="127"/>
      <c r="E3" s="127"/>
      <c r="F3" s="127"/>
      <c r="G3" s="127"/>
      <c r="H3" s="127"/>
      <c r="I3" s="127"/>
      <c r="J3" s="127"/>
      <c r="K3" s="127"/>
      <c r="L3" s="127"/>
      <c r="M3" s="127"/>
      <c r="N3" s="127"/>
      <c r="O3" s="127"/>
      <c r="P3" s="127"/>
      <c r="Q3" s="127"/>
      <c r="R3" s="127"/>
      <c r="S3" s="127"/>
      <c r="T3" s="127"/>
      <c r="W3" s="126"/>
    </row>
    <row r="4" spans="2:122" ht="17.25" customHeight="1" thickBot="1" x14ac:dyDescent="0.4">
      <c r="B4" s="110"/>
      <c r="C4" s="127"/>
      <c r="D4" s="127"/>
      <c r="E4" s="127"/>
      <c r="F4" s="127"/>
      <c r="G4" s="127"/>
      <c r="H4" s="127"/>
      <c r="I4" s="127"/>
      <c r="J4" s="127"/>
      <c r="K4" s="127"/>
      <c r="L4" s="127"/>
      <c r="M4" s="127"/>
      <c r="N4" s="127"/>
      <c r="O4" s="127"/>
      <c r="P4" s="127"/>
      <c r="Q4" s="127"/>
      <c r="R4" s="127"/>
      <c r="S4" s="127"/>
      <c r="T4" s="127"/>
      <c r="W4" s="126"/>
    </row>
    <row r="5" spans="2:122" ht="17.5" customHeight="1" x14ac:dyDescent="0.35">
      <c r="C5" s="124"/>
      <c r="D5" s="124"/>
      <c r="E5" s="199" t="s">
        <v>22</v>
      </c>
      <c r="F5" s="200"/>
      <c r="G5" s="200"/>
      <c r="H5" s="201"/>
      <c r="I5" s="124"/>
      <c r="J5" s="202" t="s">
        <v>23</v>
      </c>
      <c r="K5" s="203"/>
      <c r="L5" s="204"/>
      <c r="M5" s="128"/>
      <c r="N5" s="128"/>
      <c r="O5" s="128"/>
      <c r="P5" s="128"/>
      <c r="Q5" s="110"/>
      <c r="R5" s="110"/>
      <c r="S5" s="110"/>
      <c r="T5" s="110"/>
      <c r="V5" s="129"/>
      <c r="W5" s="129"/>
    </row>
    <row r="6" spans="2:122" ht="17.5" customHeight="1" thickBot="1" x14ac:dyDescent="0.4">
      <c r="C6" s="126"/>
      <c r="D6" s="126"/>
      <c r="E6" s="168" t="s">
        <v>24</v>
      </c>
      <c r="F6" s="169"/>
      <c r="G6" s="169"/>
      <c r="H6" s="170"/>
      <c r="I6" s="124"/>
      <c r="J6" s="171" t="s">
        <v>25</v>
      </c>
      <c r="K6" s="172"/>
      <c r="L6" s="173"/>
      <c r="M6" s="124"/>
      <c r="N6" s="124"/>
      <c r="O6" s="124"/>
      <c r="P6" s="130"/>
      <c r="W6" s="126"/>
    </row>
    <row r="7" spans="2:122" thickBot="1" x14ac:dyDescent="0.4">
      <c r="B7" s="110"/>
      <c r="C7" s="110"/>
      <c r="D7" s="110"/>
      <c r="E7" s="124"/>
      <c r="F7" s="124"/>
      <c r="G7" s="124"/>
      <c r="H7" s="124"/>
      <c r="I7" s="124"/>
      <c r="J7" s="110"/>
      <c r="K7" s="124"/>
      <c r="L7" s="124"/>
      <c r="M7" s="131"/>
      <c r="N7" s="110"/>
      <c r="O7" s="124"/>
      <c r="P7" s="124"/>
      <c r="V7" s="110"/>
      <c r="W7" s="124"/>
    </row>
    <row r="8" spans="2:122" ht="18" customHeight="1" x14ac:dyDescent="0.45">
      <c r="B8" s="205"/>
      <c r="C8" s="206"/>
      <c r="D8" s="207" t="s">
        <v>26</v>
      </c>
      <c r="E8" s="202" t="s">
        <v>27</v>
      </c>
      <c r="F8" s="203"/>
      <c r="G8" s="203"/>
      <c r="H8" s="203"/>
      <c r="I8" s="208"/>
      <c r="J8" s="209" t="s">
        <v>28</v>
      </c>
      <c r="K8" s="208"/>
      <c r="L8" s="203" t="s">
        <v>29</v>
      </c>
      <c r="M8" s="203"/>
      <c r="N8" s="203"/>
      <c r="O8" s="203"/>
      <c r="P8" s="208"/>
      <c r="Q8" s="202" t="s">
        <v>30</v>
      </c>
      <c r="R8" s="203"/>
      <c r="S8" s="203"/>
      <c r="T8" s="204"/>
      <c r="V8" s="107"/>
      <c r="W8" s="107"/>
    </row>
    <row r="9" spans="2:122" ht="18" customHeight="1" x14ac:dyDescent="0.45">
      <c r="B9" s="210"/>
      <c r="C9" s="211"/>
      <c r="D9" s="212" t="s">
        <v>31</v>
      </c>
      <c r="E9" s="213" t="s">
        <v>32</v>
      </c>
      <c r="F9" s="214"/>
      <c r="G9" s="215" t="s">
        <v>33</v>
      </c>
      <c r="H9" s="215"/>
      <c r="I9" s="216"/>
      <c r="J9" s="217"/>
      <c r="K9" s="218"/>
      <c r="L9" s="215" t="s">
        <v>32</v>
      </c>
      <c r="M9" s="214"/>
      <c r="N9" s="219" t="s">
        <v>33</v>
      </c>
      <c r="O9" s="215"/>
      <c r="P9" s="218"/>
      <c r="Q9" s="213" t="s">
        <v>32</v>
      </c>
      <c r="R9" s="214"/>
      <c r="S9" s="219" t="s">
        <v>33</v>
      </c>
      <c r="T9" s="220"/>
      <c r="V9" s="132"/>
      <c r="W9" s="132"/>
    </row>
    <row r="10" spans="2:122" ht="16.5" customHeight="1" thickBot="1" x14ac:dyDescent="0.4">
      <c r="B10" s="221" t="s">
        <v>34</v>
      </c>
      <c r="C10" s="222" t="s">
        <v>35</v>
      </c>
      <c r="D10" s="223" t="s">
        <v>36</v>
      </c>
      <c r="E10" s="224" t="s">
        <v>37</v>
      </c>
      <c r="F10" s="225" t="s">
        <v>38</v>
      </c>
      <c r="G10" s="225" t="s">
        <v>39</v>
      </c>
      <c r="H10" s="226" t="s">
        <v>38</v>
      </c>
      <c r="I10" s="227"/>
      <c r="J10" s="228"/>
      <c r="K10" s="227"/>
      <c r="L10" s="229" t="s">
        <v>37</v>
      </c>
      <c r="M10" s="225" t="s">
        <v>38</v>
      </c>
      <c r="N10" s="225" t="s">
        <v>39</v>
      </c>
      <c r="O10" s="230" t="s">
        <v>38</v>
      </c>
      <c r="P10" s="227"/>
      <c r="Q10" s="231" t="s">
        <v>37</v>
      </c>
      <c r="R10" s="232" t="s">
        <v>38</v>
      </c>
      <c r="S10" s="232" t="s">
        <v>39</v>
      </c>
      <c r="T10" s="233" t="s">
        <v>38</v>
      </c>
      <c r="V10" s="133"/>
      <c r="W10" s="133"/>
    </row>
    <row r="11" spans="2:122" thickBot="1" x14ac:dyDescent="0.4">
      <c r="B11" s="234"/>
      <c r="C11" s="235"/>
      <c r="D11" s="235" t="s">
        <v>40</v>
      </c>
      <c r="E11" s="249">
        <f>SUM(E12:E108)</f>
        <v>1206.1389133632183</v>
      </c>
      <c r="F11" s="250">
        <f>SUM(F12:F108)</f>
        <v>100</v>
      </c>
      <c r="G11" s="251">
        <f>SUM(G12:G108)</f>
        <v>4.7903676451172528</v>
      </c>
      <c r="H11" s="252">
        <f>SUM(H12:H108)</f>
        <v>99.999999999999972</v>
      </c>
      <c r="I11" s="236"/>
      <c r="J11" s="253">
        <f>SUM(J12:J108)</f>
        <v>0</v>
      </c>
      <c r="K11" s="236"/>
      <c r="L11" s="254">
        <f>SUM(L12:L108)</f>
        <v>1206.1389133632183</v>
      </c>
      <c r="M11" s="250">
        <f>SUM(M12:M108)</f>
        <v>100</v>
      </c>
      <c r="N11" s="251">
        <f>SUM(N12:N108)</f>
        <v>4.7903676451172528</v>
      </c>
      <c r="O11" s="252">
        <f>SUM(O12:O108)</f>
        <v>99.999999999999972</v>
      </c>
      <c r="P11" s="236"/>
      <c r="Q11" s="249">
        <f>SUM(Q12:Q108)</f>
        <v>2177.547046146</v>
      </c>
      <c r="R11" s="250">
        <f>SUM(R12:R108)</f>
        <v>100</v>
      </c>
      <c r="S11" s="251">
        <f>SUM(S12:S108)</f>
        <v>6.8110963552553168</v>
      </c>
      <c r="T11" s="253">
        <f>SUM(T12:T108)</f>
        <v>100.00000000000004</v>
      </c>
      <c r="U11" s="134"/>
      <c r="V11" s="135"/>
      <c r="W11" s="135"/>
    </row>
    <row r="12" spans="2:122" ht="17.5" customHeight="1" x14ac:dyDescent="0.35">
      <c r="B12" s="237">
        <v>1</v>
      </c>
      <c r="C12" s="238" t="s">
        <v>41</v>
      </c>
      <c r="D12" s="239" t="s">
        <v>42</v>
      </c>
      <c r="E12" s="83">
        <f>HLOOKUP($E$6, CurrConsumption_Ref!$B$5:$F$102, (B12+1), FALSE)</f>
        <v>19.799135208129879</v>
      </c>
      <c r="F12" s="255">
        <f>100*E12/E$11</f>
        <v>1.6415302573168484</v>
      </c>
      <c r="G12" s="256">
        <f>Calculation_TFP!$H4</f>
        <v>4.0452063650264887E-2</v>
      </c>
      <c r="H12" s="257">
        <f>100*G12/G$11</f>
        <v>0.84444590993964819</v>
      </c>
      <c r="I12" s="240"/>
      <c r="J12" s="261">
        <f>'Distance Function'!$C6</f>
        <v>0</v>
      </c>
      <c r="K12" s="241"/>
      <c r="L12" s="263">
        <f>HLOOKUP($E$6,CurrConsumption_Ref!$B$5:$F$102,(B12+1),FALSE)</f>
        <v>19.799135208129879</v>
      </c>
      <c r="M12" s="264">
        <f>100*L12/L$11</f>
        <v>1.6415302573168484</v>
      </c>
      <c r="N12" s="265">
        <f>CurrConsumption_Ref!$L6</f>
        <v>4.0452063650264887E-2</v>
      </c>
      <c r="O12" s="263">
        <f>100*N12/N$11</f>
        <v>0.84444590993964819</v>
      </c>
      <c r="P12" s="241"/>
      <c r="Q12" s="269">
        <f>HLOOKUP($E$6,TFPConsumption_Ref!$B$5:$F$102,(B12+1),FALSE)</f>
        <v>84.754735620000005</v>
      </c>
      <c r="R12" s="264">
        <f>100*Q12/Q$11</f>
        <v>3.8922114573830147</v>
      </c>
      <c r="S12" s="270">
        <f>TFPConsumption_Ref!$L6</f>
        <v>0.17316432884168634</v>
      </c>
      <c r="T12" s="271">
        <f>100*S12/S$11</f>
        <v>2.5423855398562365</v>
      </c>
      <c r="V12" s="136"/>
      <c r="W12" s="136"/>
    </row>
    <row r="13" spans="2:122" ht="16.5" customHeight="1" x14ac:dyDescent="0.35">
      <c r="B13" s="237">
        <v>2</v>
      </c>
      <c r="C13" s="238" t="s">
        <v>43</v>
      </c>
      <c r="D13" s="239" t="s">
        <v>44</v>
      </c>
      <c r="E13" s="83">
        <f>HLOOKUP($E$6, CurrConsumption_Ref!$B$5:$F$102, (B13+1), FALSE)</f>
        <v>13.049125671386721</v>
      </c>
      <c r="F13" s="255">
        <f t="shared" ref="F13:F76" si="0">100*E13/E$11</f>
        <v>1.0818924360047648</v>
      </c>
      <c r="G13" s="256">
        <f>Calculation_TFP!$H5</f>
        <v>5.0242530569063047E-2</v>
      </c>
      <c r="H13" s="257">
        <f t="shared" ref="H13:H76" si="1">100*G13/G$11</f>
        <v>1.0488241047693798</v>
      </c>
      <c r="I13" s="240"/>
      <c r="J13" s="261">
        <f>'Distance Function'!$C7</f>
        <v>0</v>
      </c>
      <c r="K13" s="241"/>
      <c r="L13" s="263">
        <f>HLOOKUP($E$6,CurrConsumption_Ref!$B$5:$F$102,(B13+1),FALSE)</f>
        <v>13.049125671386721</v>
      </c>
      <c r="M13" s="264">
        <f t="shared" ref="M13:M76" si="2">100*L13/L$11</f>
        <v>1.0818924360047648</v>
      </c>
      <c r="N13" s="265">
        <f>CurrConsumption_Ref!$L7</f>
        <v>5.0242530569063047E-2</v>
      </c>
      <c r="O13" s="263">
        <f t="shared" ref="O13:O76" si="3">100*N13/N$11</f>
        <v>1.0488241047693798</v>
      </c>
      <c r="P13" s="241"/>
      <c r="Q13" s="269">
        <f>HLOOKUP($E$6,TFPConsumption_Ref!$B$5:$F$102,(B13+1),FALSE)</f>
        <v>0</v>
      </c>
      <c r="R13" s="264">
        <f t="shared" ref="R13:R76" si="4">100*Q13/Q$11</f>
        <v>0</v>
      </c>
      <c r="S13" s="270">
        <f>TFPConsumption_Ref!$L7</f>
        <v>0</v>
      </c>
      <c r="T13" s="271">
        <f t="shared" ref="T13:T76" si="5">100*S13/S$11</f>
        <v>0</v>
      </c>
      <c r="V13" s="136"/>
      <c r="W13" s="136"/>
    </row>
    <row r="14" spans="2:122" ht="14.5" customHeight="1" x14ac:dyDescent="0.35">
      <c r="B14" s="237">
        <v>3</v>
      </c>
      <c r="C14" s="238" t="s">
        <v>45</v>
      </c>
      <c r="D14" s="239" t="s">
        <v>46</v>
      </c>
      <c r="E14" s="83">
        <f>HLOOKUP($E$6, CurrConsumption_Ref!$B$5:$F$102, (B14+1), FALSE)</f>
        <v>1.407788991928101</v>
      </c>
      <c r="F14" s="255">
        <f t="shared" si="0"/>
        <v>0.11671864462133953</v>
      </c>
      <c r="G14" s="256">
        <f>Calculation_TFP!$H6</f>
        <v>6.6478491504121245E-2</v>
      </c>
      <c r="H14" s="257">
        <f t="shared" si="1"/>
        <v>1.3877534341624433</v>
      </c>
      <c r="I14" s="240"/>
      <c r="J14" s="261">
        <f>'Distance Function'!$C8</f>
        <v>0</v>
      </c>
      <c r="K14" s="241"/>
      <c r="L14" s="263">
        <f>HLOOKUP($E$6,CurrConsumption_Ref!$B$5:$F$102,(B14+1),FALSE)</f>
        <v>1.407788991928101</v>
      </c>
      <c r="M14" s="264">
        <f t="shared" si="2"/>
        <v>0.11671864462133953</v>
      </c>
      <c r="N14" s="265">
        <f>CurrConsumption_Ref!$L8</f>
        <v>6.6478491504121245E-2</v>
      </c>
      <c r="O14" s="263">
        <f t="shared" si="3"/>
        <v>1.3877534341624433</v>
      </c>
      <c r="P14" s="241"/>
      <c r="Q14" s="269">
        <f>HLOOKUP($E$6,TFPConsumption_Ref!$B$5:$F$102,(B14+1),FALSE)</f>
        <v>2.6360897049999998</v>
      </c>
      <c r="R14" s="264">
        <f t="shared" si="4"/>
        <v>0.12105776128536769</v>
      </c>
      <c r="S14" s="270">
        <f>TFPConsumption_Ref!$L8</f>
        <v>0.12448120283845353</v>
      </c>
      <c r="T14" s="271">
        <f t="shared" si="5"/>
        <v>1.8276235769650522</v>
      </c>
      <c r="V14" s="136"/>
      <c r="W14" s="136"/>
    </row>
    <row r="15" spans="2:122" ht="14.5" x14ac:dyDescent="0.35">
      <c r="B15" s="237">
        <v>4</v>
      </c>
      <c r="C15" s="238" t="s">
        <v>47</v>
      </c>
      <c r="D15" s="239" t="s">
        <v>48</v>
      </c>
      <c r="E15" s="275">
        <v>0</v>
      </c>
      <c r="F15" s="255">
        <f>100*E15/E$11</f>
        <v>0</v>
      </c>
      <c r="G15" s="256">
        <f>Calculation_TFP!$H7</f>
        <v>0</v>
      </c>
      <c r="H15" s="257">
        <f>100*G15/G$11</f>
        <v>0</v>
      </c>
      <c r="I15" s="240"/>
      <c r="J15" s="261">
        <f>'Distance Function'!$C9</f>
        <v>0</v>
      </c>
      <c r="K15" s="241"/>
      <c r="L15" s="263">
        <f>HLOOKUP($E$6,CurrConsumption_Ref!$B$5:$F$102,(B15+1),FALSE)</f>
        <v>0</v>
      </c>
      <c r="M15" s="264">
        <f>100*L15/L$11</f>
        <v>0</v>
      </c>
      <c r="N15" s="265">
        <f>CurrConsumption_Ref!$L9</f>
        <v>0</v>
      </c>
      <c r="O15" s="263">
        <f>100*N15/N$11</f>
        <v>0</v>
      </c>
      <c r="P15" s="241"/>
      <c r="Q15" s="269">
        <f>HLOOKUP($E$6,TFPConsumption_Ref!$B$5:$F$102,(B15+1),FALSE)</f>
        <v>0</v>
      </c>
      <c r="R15" s="264">
        <f>100*Q15/Q$11</f>
        <v>0</v>
      </c>
      <c r="S15" s="270">
        <f>TFPConsumption_Ref!$L9</f>
        <v>0</v>
      </c>
      <c r="T15" s="271">
        <f>100*S15/S$11</f>
        <v>0</v>
      </c>
      <c r="V15" s="136"/>
      <c r="W15" s="136"/>
    </row>
    <row r="16" spans="2:122" ht="14.5" x14ac:dyDescent="0.35">
      <c r="B16" s="237">
        <v>5</v>
      </c>
      <c r="C16" s="238" t="s">
        <v>49</v>
      </c>
      <c r="D16" s="239" t="s">
        <v>50</v>
      </c>
      <c r="E16" s="83">
        <f>HLOOKUP($E$6, CurrConsumption_Ref!$B$5:$F$102, (B16+1), FALSE)</f>
        <v>0.19421657919883731</v>
      </c>
      <c r="F16" s="255">
        <f t="shared" si="0"/>
        <v>1.6102339212096268E-2</v>
      </c>
      <c r="G16" s="256">
        <f>Calculation_TFP!$H8</f>
        <v>2.1226755027337345E-3</v>
      </c>
      <c r="H16" s="257">
        <f t="shared" si="1"/>
        <v>4.4311327647207722E-2</v>
      </c>
      <c r="I16" s="240"/>
      <c r="J16" s="261">
        <f>'Distance Function'!$C10</f>
        <v>0</v>
      </c>
      <c r="K16" s="241"/>
      <c r="L16" s="263">
        <f>HLOOKUP($E$6,CurrConsumption_Ref!$B$5:$F$102,(B16+1),FALSE)</f>
        <v>0.19421657919883731</v>
      </c>
      <c r="M16" s="264">
        <f t="shared" si="2"/>
        <v>1.6102339212096268E-2</v>
      </c>
      <c r="N16" s="265">
        <f>CurrConsumption_Ref!$L10</f>
        <v>2.1226755027337345E-3</v>
      </c>
      <c r="O16" s="263">
        <f t="shared" si="3"/>
        <v>4.4311327647207722E-2</v>
      </c>
      <c r="P16" s="241"/>
      <c r="Q16" s="269">
        <f>HLOOKUP($E$6,TFPConsumption_Ref!$B$5:$F$102,(B16+1),FALSE)</f>
        <v>0</v>
      </c>
      <c r="R16" s="264">
        <f t="shared" si="4"/>
        <v>0</v>
      </c>
      <c r="S16" s="270">
        <f>TFPConsumption_Ref!$L10</f>
        <v>0</v>
      </c>
      <c r="T16" s="271">
        <f t="shared" si="5"/>
        <v>0</v>
      </c>
      <c r="V16" s="136"/>
      <c r="W16" s="136"/>
      <c r="DR16" s="126" t="s">
        <v>51</v>
      </c>
    </row>
    <row r="17" spans="2:122" ht="14.5" x14ac:dyDescent="0.35">
      <c r="B17" s="237">
        <v>6</v>
      </c>
      <c r="C17" s="238" t="s">
        <v>52</v>
      </c>
      <c r="D17" s="239" t="s">
        <v>53</v>
      </c>
      <c r="E17" s="83">
        <f>HLOOKUP($E$6, CurrConsumption_Ref!$B$5:$F$102, (B17+1), FALSE)</f>
        <v>6.281407356262207</v>
      </c>
      <c r="F17" s="255">
        <f t="shared" si="0"/>
        <v>0.52078639422610318</v>
      </c>
      <c r="G17" s="256">
        <f>Calculation_TFP!$H9</f>
        <v>1.9269518439193847E-2</v>
      </c>
      <c r="H17" s="257">
        <f t="shared" si="1"/>
        <v>0.40225552330696301</v>
      </c>
      <c r="I17" s="240"/>
      <c r="J17" s="261">
        <f>'Distance Function'!$C11</f>
        <v>0</v>
      </c>
      <c r="K17" s="241"/>
      <c r="L17" s="263">
        <f>HLOOKUP($E$6,CurrConsumption_Ref!$B$5:$F$102,(B17+1),FALSE)</f>
        <v>6.281407356262207</v>
      </c>
      <c r="M17" s="264">
        <f t="shared" si="2"/>
        <v>0.52078639422610318</v>
      </c>
      <c r="N17" s="265">
        <f>CurrConsumption_Ref!$L11</f>
        <v>1.9269518439193847E-2</v>
      </c>
      <c r="O17" s="263">
        <f t="shared" si="3"/>
        <v>0.40225552330696301</v>
      </c>
      <c r="P17" s="241"/>
      <c r="Q17" s="269">
        <f>HLOOKUP($E$6,TFPConsumption_Ref!$B$5:$F$102,(B17+1),FALSE)</f>
        <v>0</v>
      </c>
      <c r="R17" s="264">
        <f t="shared" si="4"/>
        <v>0</v>
      </c>
      <c r="S17" s="270">
        <f>TFPConsumption_Ref!$L11</f>
        <v>0</v>
      </c>
      <c r="T17" s="271">
        <f t="shared" si="5"/>
        <v>0</v>
      </c>
      <c r="U17" s="126"/>
      <c r="V17" s="136"/>
      <c r="W17" s="136"/>
      <c r="X17" s="126"/>
      <c r="AK17" s="126"/>
      <c r="DR17" s="126" t="s">
        <v>54</v>
      </c>
    </row>
    <row r="18" spans="2:122" ht="16" customHeight="1" x14ac:dyDescent="0.35">
      <c r="B18" s="237">
        <v>7</v>
      </c>
      <c r="C18" s="238" t="s">
        <v>55</v>
      </c>
      <c r="D18" s="239" t="s">
        <v>56</v>
      </c>
      <c r="E18" s="83">
        <f>HLOOKUP($E$6, CurrConsumption_Ref!$B$5:$F$102, (B18+1), FALSE)</f>
        <v>36.960758209228523</v>
      </c>
      <c r="F18" s="255">
        <f t="shared" si="0"/>
        <v>3.0643865146649252</v>
      </c>
      <c r="G18" s="256">
        <f>Calculation_TFP!$H10</f>
        <v>0.211648792983611</v>
      </c>
      <c r="H18" s="257">
        <f t="shared" si="1"/>
        <v>4.4182160673897615</v>
      </c>
      <c r="I18" s="240"/>
      <c r="J18" s="261">
        <f>'Distance Function'!$C12</f>
        <v>0</v>
      </c>
      <c r="K18" s="241"/>
      <c r="L18" s="263">
        <f>HLOOKUP($E$6,CurrConsumption_Ref!$B$5:$F$102,(B18+1),FALSE)</f>
        <v>36.960758209228523</v>
      </c>
      <c r="M18" s="264">
        <f t="shared" si="2"/>
        <v>3.0643865146649252</v>
      </c>
      <c r="N18" s="265">
        <f>CurrConsumption_Ref!$L12</f>
        <v>0.211648792983611</v>
      </c>
      <c r="O18" s="263">
        <f t="shared" si="3"/>
        <v>4.4182160673897615</v>
      </c>
      <c r="P18" s="241"/>
      <c r="Q18" s="269">
        <f>HLOOKUP($E$6,TFPConsumption_Ref!$B$5:$F$102,(B18+1),FALSE)</f>
        <v>0</v>
      </c>
      <c r="R18" s="264">
        <f t="shared" si="4"/>
        <v>0</v>
      </c>
      <c r="S18" s="270">
        <f>TFPConsumption_Ref!$L12</f>
        <v>0</v>
      </c>
      <c r="T18" s="271">
        <f t="shared" si="5"/>
        <v>0</v>
      </c>
      <c r="V18" s="136"/>
      <c r="W18" s="136"/>
      <c r="AK18" s="126"/>
      <c r="DR18" s="126" t="s">
        <v>57</v>
      </c>
    </row>
    <row r="19" spans="2:122" ht="14.5" x14ac:dyDescent="0.35">
      <c r="B19" s="237">
        <v>8</v>
      </c>
      <c r="C19" s="238" t="s">
        <v>58</v>
      </c>
      <c r="D19" s="239" t="s">
        <v>59</v>
      </c>
      <c r="E19" s="83">
        <f>HLOOKUP($E$6, CurrConsumption_Ref!$B$5:$F$102, (B19+1), FALSE)</f>
        <v>40.154331207275391</v>
      </c>
      <c r="F19" s="255">
        <f t="shared" si="0"/>
        <v>3.3291630642533843</v>
      </c>
      <c r="G19" s="256">
        <f>Calculation_TFP!$H11</f>
        <v>0.14159419241129415</v>
      </c>
      <c r="H19" s="257">
        <f t="shared" si="1"/>
        <v>2.9558105536141657</v>
      </c>
      <c r="I19" s="240"/>
      <c r="J19" s="261">
        <f>'Distance Function'!$C13</f>
        <v>0</v>
      </c>
      <c r="K19" s="241"/>
      <c r="L19" s="263">
        <f>HLOOKUP($E$6,CurrConsumption_Ref!$B$5:$F$102,(B19+1),FALSE)</f>
        <v>40.154331207275391</v>
      </c>
      <c r="M19" s="264">
        <f t="shared" si="2"/>
        <v>3.3291630642533843</v>
      </c>
      <c r="N19" s="265">
        <f>CurrConsumption_Ref!$L13</f>
        <v>0.14159419241129415</v>
      </c>
      <c r="O19" s="263">
        <f t="shared" si="3"/>
        <v>2.9558105536141657</v>
      </c>
      <c r="P19" s="241"/>
      <c r="Q19" s="269">
        <f>HLOOKUP($E$6,TFPConsumption_Ref!$B$5:$F$102,(B19+1),FALSE)</f>
        <v>0</v>
      </c>
      <c r="R19" s="264">
        <f t="shared" si="4"/>
        <v>0</v>
      </c>
      <c r="S19" s="270">
        <f>TFPConsumption_Ref!$L13</f>
        <v>0</v>
      </c>
      <c r="T19" s="271">
        <f t="shared" si="5"/>
        <v>0</v>
      </c>
      <c r="V19" s="136"/>
      <c r="W19" s="136"/>
      <c r="AK19" s="126"/>
      <c r="DR19" s="126" t="s">
        <v>60</v>
      </c>
    </row>
    <row r="20" spans="2:122" ht="14.5" x14ac:dyDescent="0.35">
      <c r="B20" s="237">
        <v>9</v>
      </c>
      <c r="C20" s="238" t="s">
        <v>61</v>
      </c>
      <c r="D20" s="239" t="s">
        <v>62</v>
      </c>
      <c r="E20" s="83">
        <f>HLOOKUP($E$6, CurrConsumption_Ref!$B$5:$F$102, (B20+1), FALSE)</f>
        <v>26.988901138305661</v>
      </c>
      <c r="F20" s="255">
        <f t="shared" si="0"/>
        <v>2.2376279248838218</v>
      </c>
      <c r="G20" s="256">
        <f>Calculation_TFP!$H12</f>
        <v>6.5661652428260511E-2</v>
      </c>
      <c r="H20" s="257">
        <f t="shared" si="1"/>
        <v>1.3707017350784843</v>
      </c>
      <c r="I20" s="240"/>
      <c r="J20" s="261">
        <f>'Distance Function'!$C14</f>
        <v>0</v>
      </c>
      <c r="K20" s="241"/>
      <c r="L20" s="263">
        <f>HLOOKUP($E$6,CurrConsumption_Ref!$B$5:$F$102,(B20+1),FALSE)</f>
        <v>26.988901138305661</v>
      </c>
      <c r="M20" s="264">
        <f t="shared" si="2"/>
        <v>2.2376279248838218</v>
      </c>
      <c r="N20" s="265">
        <f>CurrConsumption_Ref!$L14</f>
        <v>6.5661652428260511E-2</v>
      </c>
      <c r="O20" s="263">
        <f t="shared" si="3"/>
        <v>1.3707017350784843</v>
      </c>
      <c r="P20" s="241"/>
      <c r="Q20" s="269">
        <f>HLOOKUP($E$6,TFPConsumption_Ref!$B$5:$F$102,(B20+1),FALSE)</f>
        <v>0</v>
      </c>
      <c r="R20" s="264">
        <f t="shared" si="4"/>
        <v>0</v>
      </c>
      <c r="S20" s="270">
        <f>TFPConsumption_Ref!$L14</f>
        <v>0</v>
      </c>
      <c r="T20" s="271">
        <f t="shared" si="5"/>
        <v>0</v>
      </c>
      <c r="V20" s="136"/>
      <c r="W20" s="136"/>
      <c r="AK20" s="126"/>
    </row>
    <row r="21" spans="2:122" ht="14.5" x14ac:dyDescent="0.35">
      <c r="B21" s="237">
        <v>10</v>
      </c>
      <c r="C21" s="238" t="s">
        <v>63</v>
      </c>
      <c r="D21" s="239" t="s">
        <v>64</v>
      </c>
      <c r="E21" s="83">
        <f>HLOOKUP($E$6, CurrConsumption_Ref!$B$5:$F$102, (B21+1), FALSE)</f>
        <v>6.8205256462097168</v>
      </c>
      <c r="F21" s="255">
        <f t="shared" si="0"/>
        <v>0.56548425481035569</v>
      </c>
      <c r="G21" s="256">
        <f>Calculation_TFP!$H13</f>
        <v>4.2330828952813225E-2</v>
      </c>
      <c r="H21" s="257">
        <f t="shared" si="1"/>
        <v>0.88366555740164077</v>
      </c>
      <c r="I21" s="240"/>
      <c r="J21" s="261">
        <f>'Distance Function'!$C15</f>
        <v>0</v>
      </c>
      <c r="K21" s="241"/>
      <c r="L21" s="263">
        <f>HLOOKUP($E$6,CurrConsumption_Ref!$B$5:$F$102,(B21+1),FALSE)</f>
        <v>6.8205256462097168</v>
      </c>
      <c r="M21" s="264">
        <f t="shared" si="2"/>
        <v>0.56548425481035569</v>
      </c>
      <c r="N21" s="265">
        <f>CurrConsumption_Ref!$L15</f>
        <v>4.2330828952813225E-2</v>
      </c>
      <c r="O21" s="263">
        <f t="shared" si="3"/>
        <v>0.88366555740164077</v>
      </c>
      <c r="P21" s="241"/>
      <c r="Q21" s="269">
        <f>HLOOKUP($E$6,TFPConsumption_Ref!$B$5:$F$102,(B21+1),FALSE)</f>
        <v>0</v>
      </c>
      <c r="R21" s="264">
        <f t="shared" si="4"/>
        <v>0</v>
      </c>
      <c r="S21" s="270">
        <f>TFPConsumption_Ref!$L15</f>
        <v>0</v>
      </c>
      <c r="T21" s="271">
        <f t="shared" si="5"/>
        <v>0</v>
      </c>
      <c r="V21" s="136"/>
      <c r="W21" s="136"/>
      <c r="DR21" s="126" t="s">
        <v>65</v>
      </c>
    </row>
    <row r="22" spans="2:122" ht="14.5" x14ac:dyDescent="0.35">
      <c r="B22" s="237">
        <v>11</v>
      </c>
      <c r="C22" s="238" t="s">
        <v>66</v>
      </c>
      <c r="D22" s="239" t="s">
        <v>64</v>
      </c>
      <c r="E22" s="83">
        <f>HLOOKUP($E$6, CurrConsumption_Ref!$B$5:$F$102, (B22+1), FALSE)</f>
        <v>7.1413569450378418</v>
      </c>
      <c r="F22" s="255">
        <f t="shared" si="0"/>
        <v>0.59208411783388704</v>
      </c>
      <c r="G22" s="256">
        <f>Calculation_TFP!$H14</f>
        <v>5.04989168734351E-2</v>
      </c>
      <c r="H22" s="257">
        <f t="shared" si="1"/>
        <v>1.0541762264303003</v>
      </c>
      <c r="I22" s="240"/>
      <c r="J22" s="261">
        <f>'Distance Function'!$C16</f>
        <v>0</v>
      </c>
      <c r="K22" s="241"/>
      <c r="L22" s="263">
        <f>HLOOKUP($E$6,CurrConsumption_Ref!$B$5:$F$102,(B22+1),FALSE)</f>
        <v>7.1413569450378418</v>
      </c>
      <c r="M22" s="264">
        <f t="shared" si="2"/>
        <v>0.59208411783388704</v>
      </c>
      <c r="N22" s="265">
        <f>CurrConsumption_Ref!$L16</f>
        <v>5.04989168734351E-2</v>
      </c>
      <c r="O22" s="263">
        <f t="shared" si="3"/>
        <v>1.0541762264303003</v>
      </c>
      <c r="P22" s="241"/>
      <c r="Q22" s="269">
        <f>HLOOKUP($E$6,TFPConsumption_Ref!$B$5:$F$102,(B22+1),FALSE)</f>
        <v>0</v>
      </c>
      <c r="R22" s="264">
        <f t="shared" si="4"/>
        <v>0</v>
      </c>
      <c r="S22" s="270">
        <f>TFPConsumption_Ref!$L16</f>
        <v>0</v>
      </c>
      <c r="T22" s="271">
        <f t="shared" si="5"/>
        <v>0</v>
      </c>
      <c r="V22" s="136"/>
      <c r="W22" s="136"/>
      <c r="DR22" s="126" t="s">
        <v>67</v>
      </c>
    </row>
    <row r="23" spans="2:122" ht="14.5" customHeight="1" x14ac:dyDescent="0.35">
      <c r="B23" s="237">
        <v>12</v>
      </c>
      <c r="C23" s="238" t="s">
        <v>68</v>
      </c>
      <c r="D23" s="239" t="s">
        <v>69</v>
      </c>
      <c r="E23" s="83">
        <f>HLOOKUP($E$6, CurrConsumption_Ref!$B$5:$F$102, (B23+1), FALSE)</f>
        <v>11.552620887756349</v>
      </c>
      <c r="F23" s="255">
        <f t="shared" si="0"/>
        <v>0.95781843697777935</v>
      </c>
      <c r="G23" s="256">
        <f>Calculation_TFP!$H15</f>
        <v>2.1368856636229439E-2</v>
      </c>
      <c r="H23" s="257">
        <f t="shared" si="1"/>
        <v>0.44607967945863997</v>
      </c>
      <c r="I23" s="240"/>
      <c r="J23" s="261">
        <f>'Distance Function'!$C17</f>
        <v>0</v>
      </c>
      <c r="K23" s="241"/>
      <c r="L23" s="263">
        <f>HLOOKUP($E$6,CurrConsumption_Ref!$B$5:$F$102,(B23+1),FALSE)</f>
        <v>11.552620887756349</v>
      </c>
      <c r="M23" s="264">
        <f t="shared" si="2"/>
        <v>0.95781843697777935</v>
      </c>
      <c r="N23" s="265">
        <f>CurrConsumption_Ref!$L17</f>
        <v>2.1368856636229439E-2</v>
      </c>
      <c r="O23" s="263">
        <f t="shared" si="3"/>
        <v>0.44607967945863997</v>
      </c>
      <c r="P23" s="241"/>
      <c r="Q23" s="269">
        <f>HLOOKUP($E$6,TFPConsumption_Ref!$B$5:$F$102,(B23+1),FALSE)</f>
        <v>0.27393469599999998</v>
      </c>
      <c r="R23" s="264">
        <f t="shared" si="4"/>
        <v>1.2579966824819325E-2</v>
      </c>
      <c r="S23" s="270">
        <f>TFPConsumption_Ref!$L17</f>
        <v>5.0669638546841842E-4</v>
      </c>
      <c r="T23" s="271">
        <f t="shared" si="5"/>
        <v>7.4392778936016781E-3</v>
      </c>
      <c r="V23" s="136"/>
      <c r="W23" s="136"/>
      <c r="DR23" s="126" t="s">
        <v>24</v>
      </c>
    </row>
    <row r="24" spans="2:122" ht="14.5" x14ac:dyDescent="0.35">
      <c r="B24" s="237">
        <v>13</v>
      </c>
      <c r="C24" s="238" t="s">
        <v>70</v>
      </c>
      <c r="D24" s="239" t="s">
        <v>71</v>
      </c>
      <c r="E24" s="83">
        <f>HLOOKUP($E$6, CurrConsumption_Ref!$B$5:$F$102, (B24+1), FALSE)</f>
        <v>20.324872970581051</v>
      </c>
      <c r="F24" s="255">
        <f t="shared" si="0"/>
        <v>1.6851187492083171</v>
      </c>
      <c r="G24" s="256">
        <f>Calculation_TFP!$H16</f>
        <v>3.8242763285648969E-2</v>
      </c>
      <c r="H24" s="257">
        <f t="shared" si="1"/>
        <v>0.79832626885389935</v>
      </c>
      <c r="I24" s="240"/>
      <c r="J24" s="261">
        <f>'Distance Function'!$C18</f>
        <v>0</v>
      </c>
      <c r="K24" s="241"/>
      <c r="L24" s="263">
        <f>HLOOKUP($E$6,CurrConsumption_Ref!$B$5:$F$102,(B24+1),FALSE)</f>
        <v>20.324872970581051</v>
      </c>
      <c r="M24" s="264">
        <f t="shared" si="2"/>
        <v>1.6851187492083171</v>
      </c>
      <c r="N24" s="265">
        <f>CurrConsumption_Ref!$L18</f>
        <v>3.8242763285648969E-2</v>
      </c>
      <c r="O24" s="263">
        <f t="shared" si="3"/>
        <v>0.79832626885389935</v>
      </c>
      <c r="P24" s="241"/>
      <c r="Q24" s="269">
        <f>HLOOKUP($E$6,TFPConsumption_Ref!$B$5:$F$102,(B24+1),FALSE)</f>
        <v>103.3585557</v>
      </c>
      <c r="R24" s="264">
        <f t="shared" si="4"/>
        <v>4.7465590184575985</v>
      </c>
      <c r="S24" s="270">
        <f>TFPConsumption_Ref!$L18</f>
        <v>0.19447682575448158</v>
      </c>
      <c r="T24" s="271">
        <f t="shared" si="5"/>
        <v>2.8552940027698601</v>
      </c>
      <c r="V24" s="136"/>
      <c r="W24" s="136"/>
      <c r="DR24" s="126" t="s">
        <v>72</v>
      </c>
    </row>
    <row r="25" spans="2:122" ht="14.5" x14ac:dyDescent="0.35">
      <c r="B25" s="237">
        <v>14</v>
      </c>
      <c r="C25" s="238" t="s">
        <v>73</v>
      </c>
      <c r="D25" s="239" t="s">
        <v>74</v>
      </c>
      <c r="E25" s="83">
        <f>HLOOKUP($E$6, CurrConsumption_Ref!$B$5:$F$102, (B25+1), FALSE)</f>
        <v>23.762161254882809</v>
      </c>
      <c r="F25" s="255">
        <f t="shared" si="0"/>
        <v>1.9701015357032128</v>
      </c>
      <c r="G25" s="256">
        <f>Calculation_TFP!$H17</f>
        <v>8.9918410958914285E-2</v>
      </c>
      <c r="H25" s="257">
        <f t="shared" si="1"/>
        <v>1.8770670148995083</v>
      </c>
      <c r="I25" s="240"/>
      <c r="J25" s="261">
        <f>'Distance Function'!$C19</f>
        <v>0</v>
      </c>
      <c r="K25" s="241"/>
      <c r="L25" s="263">
        <f>HLOOKUP($E$6,CurrConsumption_Ref!$B$5:$F$102,(B25+1),FALSE)</f>
        <v>23.762161254882809</v>
      </c>
      <c r="M25" s="264">
        <f t="shared" si="2"/>
        <v>1.9701015357032128</v>
      </c>
      <c r="N25" s="265">
        <f>CurrConsumption_Ref!$L19</f>
        <v>8.9918410958914285E-2</v>
      </c>
      <c r="O25" s="263">
        <f t="shared" si="3"/>
        <v>1.8770670148995083</v>
      </c>
      <c r="P25" s="241"/>
      <c r="Q25" s="269">
        <f>HLOOKUP($E$6,TFPConsumption_Ref!$B$5:$F$102,(B25+1),FALSE)</f>
        <v>0</v>
      </c>
      <c r="R25" s="264">
        <f t="shared" si="4"/>
        <v>0</v>
      </c>
      <c r="S25" s="270">
        <f>TFPConsumption_Ref!$L19</f>
        <v>0</v>
      </c>
      <c r="T25" s="271">
        <f t="shared" si="5"/>
        <v>0</v>
      </c>
      <c r="V25" s="136"/>
      <c r="W25" s="136"/>
      <c r="DR25" s="126" t="s">
        <v>75</v>
      </c>
    </row>
    <row r="26" spans="2:122" ht="14.5" x14ac:dyDescent="0.35">
      <c r="B26" s="237">
        <v>15</v>
      </c>
      <c r="C26" s="238" t="s">
        <v>76</v>
      </c>
      <c r="D26" s="239" t="s">
        <v>74</v>
      </c>
      <c r="E26" s="83">
        <f>HLOOKUP($E$6, CurrConsumption_Ref!$B$5:$F$102, (B26+1), FALSE)</f>
        <v>13.04429721832275</v>
      </c>
      <c r="F26" s="255">
        <f t="shared" si="0"/>
        <v>1.0814921128736166</v>
      </c>
      <c r="G26" s="256">
        <f>Calculation_TFP!$H18</f>
        <v>4.6752280208468867E-2</v>
      </c>
      <c r="H26" s="257">
        <f t="shared" si="1"/>
        <v>0.97596434495216122</v>
      </c>
      <c r="I26" s="240"/>
      <c r="J26" s="261">
        <f>'Distance Function'!$C20</f>
        <v>0</v>
      </c>
      <c r="K26" s="241"/>
      <c r="L26" s="263">
        <f>HLOOKUP($E$6,CurrConsumption_Ref!$B$5:$F$102,(B26+1),FALSE)</f>
        <v>13.04429721832275</v>
      </c>
      <c r="M26" s="264">
        <f t="shared" si="2"/>
        <v>1.0814921128736166</v>
      </c>
      <c r="N26" s="265">
        <f>CurrConsumption_Ref!$L20</f>
        <v>4.6752280208468867E-2</v>
      </c>
      <c r="O26" s="263">
        <f t="shared" si="3"/>
        <v>0.97596434495216122</v>
      </c>
      <c r="P26" s="241"/>
      <c r="Q26" s="269">
        <f>HLOOKUP($E$6,TFPConsumption_Ref!$B$5:$F$102,(B26+1),FALSE)</f>
        <v>69.726014759999998</v>
      </c>
      <c r="R26" s="264">
        <f t="shared" si="4"/>
        <v>3.2020440101814001</v>
      </c>
      <c r="S26" s="270">
        <f>TFPConsumption_Ref!$L20</f>
        <v>0.24990615633170241</v>
      </c>
      <c r="T26" s="271">
        <f t="shared" si="5"/>
        <v>3.6691032294511499</v>
      </c>
      <c r="V26" s="136"/>
      <c r="W26" s="136"/>
    </row>
    <row r="27" spans="2:122" ht="14.5" x14ac:dyDescent="0.35">
      <c r="B27" s="237">
        <v>16</v>
      </c>
      <c r="C27" s="238" t="s">
        <v>77</v>
      </c>
      <c r="D27" s="239" t="s">
        <v>78</v>
      </c>
      <c r="E27" s="83">
        <f>HLOOKUP($E$6, CurrConsumption_Ref!$B$5:$F$102, (B27+1), FALSE)</f>
        <v>11.043459892272949</v>
      </c>
      <c r="F27" s="255">
        <f t="shared" si="0"/>
        <v>0.91560431140383136</v>
      </c>
      <c r="G27" s="256">
        <f>Calculation_TFP!$H19</f>
        <v>3.7616617435850673E-2</v>
      </c>
      <c r="H27" s="257">
        <f t="shared" si="1"/>
        <v>0.78525533367345424</v>
      </c>
      <c r="I27" s="240"/>
      <c r="J27" s="261">
        <f>'Distance Function'!$C21</f>
        <v>0</v>
      </c>
      <c r="K27" s="241"/>
      <c r="L27" s="263">
        <f>HLOOKUP($E$6,CurrConsumption_Ref!$B$5:$F$102,(B27+1),FALSE)</f>
        <v>11.043459892272949</v>
      </c>
      <c r="M27" s="264">
        <f t="shared" si="2"/>
        <v>0.91560431140383136</v>
      </c>
      <c r="N27" s="265">
        <f>CurrConsumption_Ref!$L21</f>
        <v>3.7616617435850673E-2</v>
      </c>
      <c r="O27" s="263">
        <f t="shared" si="3"/>
        <v>0.78525533367345424</v>
      </c>
      <c r="P27" s="241"/>
      <c r="Q27" s="269">
        <f>HLOOKUP($E$6,TFPConsumption_Ref!$B$5:$F$102,(B27+1),FALSE)</f>
        <v>237.8428936</v>
      </c>
      <c r="R27" s="264">
        <f t="shared" si="4"/>
        <v>10.922514579923943</v>
      </c>
      <c r="S27" s="270">
        <f>TFPConsumption_Ref!$L21</f>
        <v>0.81014874193974284</v>
      </c>
      <c r="T27" s="271">
        <f t="shared" si="5"/>
        <v>11.894542371503039</v>
      </c>
      <c r="V27" s="136"/>
      <c r="W27" s="136"/>
      <c r="DR27" s="137" t="s">
        <v>25</v>
      </c>
    </row>
    <row r="28" spans="2:122" ht="14.5" x14ac:dyDescent="0.35">
      <c r="B28" s="237">
        <v>17</v>
      </c>
      <c r="C28" s="238" t="s">
        <v>79</v>
      </c>
      <c r="D28" s="239" t="s">
        <v>80</v>
      </c>
      <c r="E28" s="83">
        <f>HLOOKUP($E$6, CurrConsumption_Ref!$B$5:$F$102, (B28+1), FALSE)</f>
        <v>17.289800643920898</v>
      </c>
      <c r="F28" s="255">
        <f t="shared" si="0"/>
        <v>1.4334833618550391</v>
      </c>
      <c r="G28" s="256">
        <f>Calculation_TFP!$H20</f>
        <v>4.5443092441530594E-2</v>
      </c>
      <c r="H28" s="257">
        <f t="shared" si="1"/>
        <v>0.94863475641269479</v>
      </c>
      <c r="I28" s="240"/>
      <c r="J28" s="261">
        <f>'Distance Function'!$C22</f>
        <v>0</v>
      </c>
      <c r="K28" s="241"/>
      <c r="L28" s="263">
        <f>HLOOKUP($E$6,CurrConsumption_Ref!$B$5:$F$102,(B28+1),FALSE)</f>
        <v>17.289800643920898</v>
      </c>
      <c r="M28" s="264">
        <f t="shared" si="2"/>
        <v>1.4334833618550391</v>
      </c>
      <c r="N28" s="265">
        <f>CurrConsumption_Ref!$L22</f>
        <v>4.5443092441530594E-2</v>
      </c>
      <c r="O28" s="263">
        <f t="shared" si="3"/>
        <v>0.94863475641269479</v>
      </c>
      <c r="P28" s="241"/>
      <c r="Q28" s="269">
        <f>HLOOKUP($E$6,TFPConsumption_Ref!$B$5:$F$102,(B28+1),FALSE)</f>
        <v>0</v>
      </c>
      <c r="R28" s="264">
        <f t="shared" si="4"/>
        <v>0</v>
      </c>
      <c r="S28" s="270">
        <f>TFPConsumption_Ref!$L22</f>
        <v>0</v>
      </c>
      <c r="T28" s="271">
        <f t="shared" si="5"/>
        <v>0</v>
      </c>
      <c r="V28" s="136"/>
      <c r="W28" s="136"/>
      <c r="DR28" s="137" t="s">
        <v>81</v>
      </c>
    </row>
    <row r="29" spans="2:122" ht="14.5" x14ac:dyDescent="0.35">
      <c r="B29" s="237">
        <v>18</v>
      </c>
      <c r="C29" s="238" t="s">
        <v>82</v>
      </c>
      <c r="D29" s="239" t="s">
        <v>83</v>
      </c>
      <c r="E29" s="83">
        <f>HLOOKUP($E$6, CurrConsumption_Ref!$B$5:$F$102, (B29+1), FALSE)</f>
        <v>0</v>
      </c>
      <c r="F29" s="255">
        <f t="shared" si="0"/>
        <v>0</v>
      </c>
      <c r="G29" s="256">
        <f>Calculation_TFP!$H21</f>
        <v>0</v>
      </c>
      <c r="H29" s="257">
        <f t="shared" si="1"/>
        <v>0</v>
      </c>
      <c r="I29" s="240"/>
      <c r="J29" s="261">
        <f>'Distance Function'!$C23</f>
        <v>0</v>
      </c>
      <c r="K29" s="241"/>
      <c r="L29" s="263">
        <f>HLOOKUP($E$6,CurrConsumption_Ref!$B$5:$F$102,(B29+1),FALSE)</f>
        <v>0</v>
      </c>
      <c r="M29" s="264">
        <f t="shared" si="2"/>
        <v>0</v>
      </c>
      <c r="N29" s="265">
        <f>CurrConsumption_Ref!$L23</f>
        <v>0</v>
      </c>
      <c r="O29" s="263">
        <f t="shared" si="3"/>
        <v>0</v>
      </c>
      <c r="P29" s="241"/>
      <c r="Q29" s="269">
        <f>HLOOKUP($E$6,TFPConsumption_Ref!$B$5:$F$102,(B29+1),FALSE)</f>
        <v>0</v>
      </c>
      <c r="R29" s="264">
        <f t="shared" si="4"/>
        <v>0</v>
      </c>
      <c r="S29" s="270">
        <f>TFPConsumption_Ref!$L23</f>
        <v>0</v>
      </c>
      <c r="T29" s="271">
        <f t="shared" si="5"/>
        <v>0</v>
      </c>
      <c r="V29" s="136"/>
      <c r="W29" s="136"/>
    </row>
    <row r="30" spans="2:122" ht="14.5" x14ac:dyDescent="0.35">
      <c r="B30" s="237">
        <v>19</v>
      </c>
      <c r="C30" s="238" t="s">
        <v>84</v>
      </c>
      <c r="D30" s="239" t="s">
        <v>85</v>
      </c>
      <c r="E30" s="83">
        <f>HLOOKUP($E$6, CurrConsumption_Ref!$B$5:$F$102, (B30+1), FALSE)</f>
        <v>0</v>
      </c>
      <c r="F30" s="255">
        <f t="shared" si="0"/>
        <v>0</v>
      </c>
      <c r="G30" s="256">
        <f>Calculation_TFP!$H22</f>
        <v>0</v>
      </c>
      <c r="H30" s="257">
        <f t="shared" si="1"/>
        <v>0</v>
      </c>
      <c r="I30" s="240"/>
      <c r="J30" s="261">
        <f>'Distance Function'!$C24</f>
        <v>0</v>
      </c>
      <c r="K30" s="241"/>
      <c r="L30" s="263">
        <f>HLOOKUP($E$6,CurrConsumption_Ref!$B$5:$F$102,(B30+1),FALSE)</f>
        <v>0</v>
      </c>
      <c r="M30" s="264">
        <f t="shared" si="2"/>
        <v>0</v>
      </c>
      <c r="N30" s="265">
        <f>CurrConsumption_Ref!$L24</f>
        <v>0</v>
      </c>
      <c r="O30" s="263">
        <f t="shared" si="3"/>
        <v>0</v>
      </c>
      <c r="P30" s="241"/>
      <c r="Q30" s="269">
        <f>HLOOKUP($E$6,TFPConsumption_Ref!$B$5:$F$102,(B30+1),FALSE)</f>
        <v>0</v>
      </c>
      <c r="R30" s="264">
        <f t="shared" si="4"/>
        <v>0</v>
      </c>
      <c r="S30" s="270">
        <f>TFPConsumption_Ref!$L24</f>
        <v>0</v>
      </c>
      <c r="T30" s="271">
        <f t="shared" si="5"/>
        <v>0</v>
      </c>
      <c r="V30" s="136"/>
      <c r="W30" s="136"/>
      <c r="AJ30" s="124"/>
    </row>
    <row r="31" spans="2:122" ht="14.5" x14ac:dyDescent="0.35">
      <c r="B31" s="237">
        <v>20</v>
      </c>
      <c r="C31" s="238" t="s">
        <v>86</v>
      </c>
      <c r="D31" s="239" t="s">
        <v>87</v>
      </c>
      <c r="E31" s="83">
        <f>HLOOKUP($E$6, CurrConsumption_Ref!$B$5:$F$102, (B31+1), FALSE)</f>
        <v>28.572431564331051</v>
      </c>
      <c r="F31" s="255">
        <f t="shared" si="0"/>
        <v>2.3689171494068786</v>
      </c>
      <c r="G31" s="256">
        <f>Calculation_TFP!$H23</f>
        <v>6.168241666043011E-2</v>
      </c>
      <c r="H31" s="257">
        <f t="shared" si="1"/>
        <v>1.2876342951109825</v>
      </c>
      <c r="I31" s="240"/>
      <c r="J31" s="261">
        <f>'Distance Function'!$C25</f>
        <v>0</v>
      </c>
      <c r="K31" s="241"/>
      <c r="L31" s="263">
        <f>HLOOKUP($E$6,CurrConsumption_Ref!$B$5:$F$102,(B31+1),FALSE)</f>
        <v>28.572431564331051</v>
      </c>
      <c r="M31" s="264">
        <f t="shared" si="2"/>
        <v>2.3689171494068786</v>
      </c>
      <c r="N31" s="265">
        <f>CurrConsumption_Ref!$L25</f>
        <v>6.168241666043011E-2</v>
      </c>
      <c r="O31" s="263">
        <f t="shared" si="3"/>
        <v>1.2876342951109825</v>
      </c>
      <c r="P31" s="241"/>
      <c r="Q31" s="269">
        <f>HLOOKUP($E$6,TFPConsumption_Ref!$B$5:$F$102,(B31+1),FALSE)</f>
        <v>51.4090341</v>
      </c>
      <c r="R31" s="264">
        <f t="shared" si="4"/>
        <v>2.3608690425765033</v>
      </c>
      <c r="S31" s="270">
        <f>TFPConsumption_Ref!$L25</f>
        <v>0.11098227514612656</v>
      </c>
      <c r="T31" s="271">
        <f t="shared" si="5"/>
        <v>1.6294333446111753</v>
      </c>
      <c r="V31" s="136"/>
      <c r="W31" s="136"/>
      <c r="AJ31" s="126"/>
    </row>
    <row r="32" spans="2:122" ht="14.5" x14ac:dyDescent="0.35">
      <c r="B32" s="237">
        <v>21</v>
      </c>
      <c r="C32" s="238" t="s">
        <v>88</v>
      </c>
      <c r="D32" s="239" t="s">
        <v>89</v>
      </c>
      <c r="E32" s="83">
        <f>HLOOKUP($E$6, CurrConsumption_Ref!$B$5:$F$102, (B32+1), FALSE)</f>
        <v>7.1721968650817871</v>
      </c>
      <c r="F32" s="255">
        <f t="shared" si="0"/>
        <v>0.59464103061584428</v>
      </c>
      <c r="G32" s="256">
        <f>Calculation_TFP!$H24</f>
        <v>9.4969316193882301E-3</v>
      </c>
      <c r="H32" s="257">
        <f t="shared" si="1"/>
        <v>0.1982505795576735</v>
      </c>
      <c r="I32" s="240"/>
      <c r="J32" s="261">
        <f>'Distance Function'!$C26</f>
        <v>0</v>
      </c>
      <c r="K32" s="241"/>
      <c r="L32" s="263">
        <f>HLOOKUP($E$6,CurrConsumption_Ref!$B$5:$F$102,(B32+1),FALSE)</f>
        <v>7.1721968650817871</v>
      </c>
      <c r="M32" s="264">
        <f t="shared" si="2"/>
        <v>0.59464103061584428</v>
      </c>
      <c r="N32" s="265">
        <f>CurrConsumption_Ref!$L26</f>
        <v>9.4969316193882301E-3</v>
      </c>
      <c r="O32" s="263">
        <f t="shared" si="3"/>
        <v>0.1982505795576735</v>
      </c>
      <c r="P32" s="241"/>
      <c r="Q32" s="269">
        <f>HLOOKUP($E$6,TFPConsumption_Ref!$B$5:$F$102,(B32+1),FALSE)</f>
        <v>0</v>
      </c>
      <c r="R32" s="264">
        <f t="shared" si="4"/>
        <v>0</v>
      </c>
      <c r="S32" s="270">
        <f>TFPConsumption_Ref!$L26</f>
        <v>0</v>
      </c>
      <c r="T32" s="271">
        <f t="shared" si="5"/>
        <v>0</v>
      </c>
      <c r="V32" s="136"/>
      <c r="W32" s="136"/>
      <c r="AJ32" s="126"/>
    </row>
    <row r="33" spans="2:36" ht="14.5" x14ac:dyDescent="0.35">
      <c r="B33" s="237">
        <v>22</v>
      </c>
      <c r="C33" s="238" t="s">
        <v>90</v>
      </c>
      <c r="D33" s="239" t="s">
        <v>91</v>
      </c>
      <c r="E33" s="83">
        <f>HLOOKUP($E$6, CurrConsumption_Ref!$B$5:$F$102, (B33+1), FALSE)</f>
        <v>47.795597076416023</v>
      </c>
      <c r="F33" s="255">
        <f t="shared" si="0"/>
        <v>3.9626942259197961</v>
      </c>
      <c r="G33" s="256">
        <f>Calculation_TFP!$H25</f>
        <v>8.0174854886769925E-2</v>
      </c>
      <c r="H33" s="257">
        <f t="shared" si="1"/>
        <v>1.6736680945248725</v>
      </c>
      <c r="I33" s="240"/>
      <c r="J33" s="261">
        <f>'Distance Function'!$C27</f>
        <v>0</v>
      </c>
      <c r="K33" s="241"/>
      <c r="L33" s="263">
        <f>HLOOKUP($E$6,CurrConsumption_Ref!$B$5:$F$102,(B33+1),FALSE)</f>
        <v>47.795597076416023</v>
      </c>
      <c r="M33" s="264">
        <f t="shared" si="2"/>
        <v>3.9626942259197961</v>
      </c>
      <c r="N33" s="265">
        <f>CurrConsumption_Ref!$L27</f>
        <v>8.0174854886769925E-2</v>
      </c>
      <c r="O33" s="263">
        <f t="shared" si="3"/>
        <v>1.6736680945248725</v>
      </c>
      <c r="P33" s="241"/>
      <c r="Q33" s="269">
        <f>HLOOKUP($E$6,TFPConsumption_Ref!$B$5:$F$102,(B33+1),FALSE)</f>
        <v>54.42779462</v>
      </c>
      <c r="R33" s="264">
        <f t="shared" si="4"/>
        <v>2.4995002847966359</v>
      </c>
      <c r="S33" s="270">
        <f>TFPConsumption_Ref!$L27</f>
        <v>9.1300052774497834E-2</v>
      </c>
      <c r="T33" s="271">
        <f t="shared" si="5"/>
        <v>1.3404604488387892</v>
      </c>
      <c r="V33" s="136"/>
      <c r="W33" s="136"/>
      <c r="AJ33" s="126"/>
    </row>
    <row r="34" spans="2:36" ht="14.5" x14ac:dyDescent="0.35">
      <c r="B34" s="237">
        <v>23</v>
      </c>
      <c r="C34" s="238" t="s">
        <v>92</v>
      </c>
      <c r="D34" s="239" t="s">
        <v>93</v>
      </c>
      <c r="E34" s="83">
        <f>HLOOKUP($E$6, CurrConsumption_Ref!$B$5:$F$102, (B34+1), FALSE)</f>
        <v>7.4524970054626456</v>
      </c>
      <c r="F34" s="255">
        <f t="shared" si="0"/>
        <v>0.6178804881339891</v>
      </c>
      <c r="G34" s="256">
        <f>Calculation_TFP!$H26</f>
        <v>9.8177486767195149E-2</v>
      </c>
      <c r="H34" s="257">
        <f t="shared" si="1"/>
        <v>2.0494770765092722</v>
      </c>
      <c r="I34" s="240"/>
      <c r="J34" s="261">
        <f>'Distance Function'!$C28</f>
        <v>0</v>
      </c>
      <c r="K34" s="241"/>
      <c r="L34" s="263">
        <f>HLOOKUP($E$6,CurrConsumption_Ref!$B$5:$F$102,(B34+1),FALSE)</f>
        <v>7.4524970054626456</v>
      </c>
      <c r="M34" s="264">
        <f t="shared" si="2"/>
        <v>0.6178804881339891</v>
      </c>
      <c r="N34" s="265">
        <f>CurrConsumption_Ref!$L28</f>
        <v>9.8177486767195149E-2</v>
      </c>
      <c r="O34" s="263">
        <f t="shared" si="3"/>
        <v>2.0494770765092722</v>
      </c>
      <c r="P34" s="241"/>
      <c r="Q34" s="269">
        <f>HLOOKUP($E$6,TFPConsumption_Ref!$B$5:$F$102,(B34+1),FALSE)</f>
        <v>0</v>
      </c>
      <c r="R34" s="264">
        <f t="shared" si="4"/>
        <v>0</v>
      </c>
      <c r="S34" s="270">
        <f>TFPConsumption_Ref!$L28</f>
        <v>0</v>
      </c>
      <c r="T34" s="271">
        <f t="shared" si="5"/>
        <v>0</v>
      </c>
      <c r="V34" s="136"/>
      <c r="W34" s="136"/>
    </row>
    <row r="35" spans="2:36" ht="14.15" customHeight="1" x14ac:dyDescent="0.35">
      <c r="B35" s="237">
        <v>24</v>
      </c>
      <c r="C35" s="238" t="s">
        <v>94</v>
      </c>
      <c r="D35" s="239" t="s">
        <v>95</v>
      </c>
      <c r="E35" s="83">
        <f>HLOOKUP($E$6, CurrConsumption_Ref!$B$5:$F$102, (B35+1), FALSE)</f>
        <v>0.97494781017303467</v>
      </c>
      <c r="F35" s="255">
        <f t="shared" si="0"/>
        <v>8.0832132963397516E-2</v>
      </c>
      <c r="G35" s="256">
        <f>Calculation_TFP!$H27</f>
        <v>6.6014831634556848E-3</v>
      </c>
      <c r="H35" s="257">
        <f t="shared" si="1"/>
        <v>0.13780744302964876</v>
      </c>
      <c r="I35" s="240"/>
      <c r="J35" s="261">
        <f>'Distance Function'!$C29</f>
        <v>0</v>
      </c>
      <c r="K35" s="241"/>
      <c r="L35" s="263">
        <f>HLOOKUP($E$6,CurrConsumption_Ref!$B$5:$F$102,(B35+1),FALSE)</f>
        <v>0.97494781017303467</v>
      </c>
      <c r="M35" s="264">
        <f t="shared" si="2"/>
        <v>8.0832132963397516E-2</v>
      </c>
      <c r="N35" s="265">
        <f>CurrConsumption_Ref!$L29</f>
        <v>6.6014831634556848E-3</v>
      </c>
      <c r="O35" s="263">
        <f t="shared" si="3"/>
        <v>0.13780744302964876</v>
      </c>
      <c r="P35" s="241"/>
      <c r="Q35" s="269">
        <f>HLOOKUP($E$6,TFPConsumption_Ref!$B$5:$F$102,(B35+1),FALSE)</f>
        <v>0</v>
      </c>
      <c r="R35" s="264">
        <f t="shared" si="4"/>
        <v>0</v>
      </c>
      <c r="S35" s="270">
        <f>TFPConsumption_Ref!$L29</f>
        <v>0</v>
      </c>
      <c r="T35" s="271">
        <f t="shared" si="5"/>
        <v>0</v>
      </c>
      <c r="V35" s="136"/>
      <c r="W35" s="136"/>
    </row>
    <row r="36" spans="2:36" ht="15.65" customHeight="1" x14ac:dyDescent="0.35">
      <c r="B36" s="237">
        <v>25</v>
      </c>
      <c r="C36" s="238" t="s">
        <v>96</v>
      </c>
      <c r="D36" s="239" t="s">
        <v>95</v>
      </c>
      <c r="E36" s="83">
        <f>HLOOKUP($E$6, CurrConsumption_Ref!$B$5:$F$102, (B36+1), FALSE)</f>
        <v>0.79413604736328125</v>
      </c>
      <c r="F36" s="255">
        <f t="shared" si="0"/>
        <v>6.5841176216502192E-2</v>
      </c>
      <c r="G36" s="256">
        <f>Calculation_TFP!$H28</f>
        <v>4.1846703021865975E-3</v>
      </c>
      <c r="H36" s="257">
        <f t="shared" si="1"/>
        <v>8.7355931990981253E-2</v>
      </c>
      <c r="I36" s="240"/>
      <c r="J36" s="261">
        <f>'Distance Function'!$C30</f>
        <v>0</v>
      </c>
      <c r="K36" s="241"/>
      <c r="L36" s="263">
        <f>HLOOKUP($E$6,CurrConsumption_Ref!$B$5:$F$102,(B36+1),FALSE)</f>
        <v>0.79413604736328125</v>
      </c>
      <c r="M36" s="264">
        <f t="shared" si="2"/>
        <v>6.5841176216502192E-2</v>
      </c>
      <c r="N36" s="265">
        <f>CurrConsumption_Ref!$L30</f>
        <v>4.1846703021865975E-3</v>
      </c>
      <c r="O36" s="263">
        <f t="shared" si="3"/>
        <v>8.7355931990981253E-2</v>
      </c>
      <c r="P36" s="241"/>
      <c r="Q36" s="269">
        <f>HLOOKUP($E$6,TFPConsumption_Ref!$B$5:$F$102,(B36+1),FALSE)</f>
        <v>0</v>
      </c>
      <c r="R36" s="264">
        <f t="shared" si="4"/>
        <v>0</v>
      </c>
      <c r="S36" s="270">
        <f>TFPConsumption_Ref!$L30</f>
        <v>0</v>
      </c>
      <c r="T36" s="271">
        <f t="shared" si="5"/>
        <v>0</v>
      </c>
      <c r="V36" s="136"/>
      <c r="W36" s="136"/>
    </row>
    <row r="37" spans="2:36" ht="14.5" x14ac:dyDescent="0.35">
      <c r="B37" s="237">
        <v>26</v>
      </c>
      <c r="C37" s="238" t="s">
        <v>97</v>
      </c>
      <c r="D37" s="239" t="s">
        <v>93</v>
      </c>
      <c r="E37" s="83">
        <f>HLOOKUP($E$6, CurrConsumption_Ref!$B$5:$F$102, (B37+1), FALSE)</f>
        <v>23.245939254760739</v>
      </c>
      <c r="F37" s="255">
        <f t="shared" si="0"/>
        <v>1.9273019879560442</v>
      </c>
      <c r="G37" s="256">
        <f>Calculation_TFP!$H29</f>
        <v>0.13847600160322601</v>
      </c>
      <c r="H37" s="257">
        <f t="shared" si="1"/>
        <v>2.8907176204810177</v>
      </c>
      <c r="I37" s="240"/>
      <c r="J37" s="261">
        <f>'Distance Function'!$C31</f>
        <v>0</v>
      </c>
      <c r="K37" s="241"/>
      <c r="L37" s="263">
        <f>HLOOKUP($E$6,CurrConsumption_Ref!$B$5:$F$102,(B37+1),FALSE)</f>
        <v>23.245939254760739</v>
      </c>
      <c r="M37" s="264">
        <f t="shared" si="2"/>
        <v>1.9273019879560442</v>
      </c>
      <c r="N37" s="265">
        <f>CurrConsumption_Ref!$L31</f>
        <v>0.13847600160322601</v>
      </c>
      <c r="O37" s="263">
        <f t="shared" si="3"/>
        <v>2.8907176204810177</v>
      </c>
      <c r="P37" s="241"/>
      <c r="Q37" s="269">
        <f>HLOOKUP($E$6,TFPConsumption_Ref!$B$5:$F$102,(B37+1),FALSE)</f>
        <v>125.38719589999999</v>
      </c>
      <c r="R37" s="264">
        <f t="shared" si="4"/>
        <v>5.7581853913062613</v>
      </c>
      <c r="S37" s="270">
        <f>TFPConsumption_Ref!$L31</f>
        <v>0.74693121022917874</v>
      </c>
      <c r="T37" s="271">
        <f t="shared" si="5"/>
        <v>10.966387366592757</v>
      </c>
      <c r="V37" s="136"/>
      <c r="W37" s="136"/>
    </row>
    <row r="38" spans="2:36" ht="14.5" x14ac:dyDescent="0.35">
      <c r="B38" s="237">
        <v>27</v>
      </c>
      <c r="C38" s="238" t="s">
        <v>98</v>
      </c>
      <c r="D38" s="239" t="s">
        <v>99</v>
      </c>
      <c r="E38" s="83">
        <f>HLOOKUP($E$6, CurrConsumption_Ref!$B$5:$F$102, (B38+1), FALSE)</f>
        <v>4.6132140159606934</v>
      </c>
      <c r="F38" s="255">
        <f t="shared" si="0"/>
        <v>0.38247783608084818</v>
      </c>
      <c r="G38" s="256">
        <f>Calculation_TFP!$H30</f>
        <v>2.1886308742575442E-2</v>
      </c>
      <c r="H38" s="257">
        <f t="shared" si="1"/>
        <v>0.45688160834343933</v>
      </c>
      <c r="I38" s="240"/>
      <c r="J38" s="261">
        <f>'Distance Function'!$C32</f>
        <v>0</v>
      </c>
      <c r="K38" s="241"/>
      <c r="L38" s="263">
        <f>HLOOKUP($E$6,CurrConsumption_Ref!$B$5:$F$102,(B38+1),FALSE)</f>
        <v>4.6132140159606934</v>
      </c>
      <c r="M38" s="264">
        <f t="shared" si="2"/>
        <v>0.38247783608084818</v>
      </c>
      <c r="N38" s="265">
        <f>CurrConsumption_Ref!$L32</f>
        <v>2.1886308742575442E-2</v>
      </c>
      <c r="O38" s="263">
        <f t="shared" si="3"/>
        <v>0.45688160834343933</v>
      </c>
      <c r="P38" s="241"/>
      <c r="Q38" s="269">
        <f>HLOOKUP($E$6,TFPConsumption_Ref!$B$5:$F$102,(B38+1),FALSE)</f>
        <v>0</v>
      </c>
      <c r="R38" s="264">
        <f t="shared" si="4"/>
        <v>0</v>
      </c>
      <c r="S38" s="270">
        <f>TFPConsumption_Ref!$L32</f>
        <v>0</v>
      </c>
      <c r="T38" s="271">
        <f t="shared" si="5"/>
        <v>0</v>
      </c>
      <c r="V38" s="136"/>
      <c r="W38" s="136"/>
    </row>
    <row r="39" spans="2:36" ht="14.5" x14ac:dyDescent="0.35">
      <c r="B39" s="237">
        <v>28</v>
      </c>
      <c r="C39" s="238" t="s">
        <v>100</v>
      </c>
      <c r="D39" s="239" t="s">
        <v>99</v>
      </c>
      <c r="E39" s="83">
        <f>HLOOKUP($E$6, CurrConsumption_Ref!$B$5:$F$102, (B39+1), FALSE)</f>
        <v>20.982219696044918</v>
      </c>
      <c r="F39" s="255">
        <f t="shared" si="0"/>
        <v>1.7396188335834168</v>
      </c>
      <c r="G39" s="256">
        <f>Calculation_TFP!$H31</f>
        <v>8.0118704673999036E-2</v>
      </c>
      <c r="H39" s="257">
        <f t="shared" si="1"/>
        <v>1.6724959462279014</v>
      </c>
      <c r="I39" s="240"/>
      <c r="J39" s="261">
        <f>'Distance Function'!$C33</f>
        <v>0</v>
      </c>
      <c r="K39" s="241"/>
      <c r="L39" s="263">
        <f>HLOOKUP($E$6,CurrConsumption_Ref!$B$5:$F$102,(B39+1),FALSE)</f>
        <v>20.982219696044918</v>
      </c>
      <c r="M39" s="264">
        <f t="shared" si="2"/>
        <v>1.7396188335834168</v>
      </c>
      <c r="N39" s="265">
        <f>CurrConsumption_Ref!$L33</f>
        <v>8.0118704673999036E-2</v>
      </c>
      <c r="O39" s="263">
        <f t="shared" si="3"/>
        <v>1.6724959462279014</v>
      </c>
      <c r="P39" s="241"/>
      <c r="Q39" s="269">
        <f>HLOOKUP($E$6,TFPConsumption_Ref!$B$5:$F$102,(B39+1),FALSE)</f>
        <v>54.435413019999999</v>
      </c>
      <c r="R39" s="264">
        <f t="shared" si="4"/>
        <v>2.4998501463536331</v>
      </c>
      <c r="S39" s="270">
        <f>TFPConsumption_Ref!$L33</f>
        <v>0.20785669212960498</v>
      </c>
      <c r="T39" s="271">
        <f t="shared" si="5"/>
        <v>3.051736185896512</v>
      </c>
      <c r="V39" s="136"/>
      <c r="W39" s="136"/>
    </row>
    <row r="40" spans="2:36" ht="14.5" x14ac:dyDescent="0.35">
      <c r="B40" s="237">
        <v>29</v>
      </c>
      <c r="C40" s="238" t="s">
        <v>101</v>
      </c>
      <c r="D40" s="239" t="s">
        <v>102</v>
      </c>
      <c r="E40" s="83">
        <f>HLOOKUP($E$6, CurrConsumption_Ref!$B$5:$F$102, (B40+1), FALSE)</f>
        <v>35.648052215576172</v>
      </c>
      <c r="F40" s="255">
        <f t="shared" si="0"/>
        <v>2.9555511243870356</v>
      </c>
      <c r="G40" s="256">
        <f>Calculation_TFP!$H32</f>
        <v>4.5017285060528212E-2</v>
      </c>
      <c r="H40" s="257">
        <f t="shared" si="1"/>
        <v>0.9397459317431226</v>
      </c>
      <c r="I40" s="240"/>
      <c r="J40" s="261">
        <f>'Distance Function'!$C34</f>
        <v>0</v>
      </c>
      <c r="K40" s="241"/>
      <c r="L40" s="263">
        <f>HLOOKUP($E$6,CurrConsumption_Ref!$B$5:$F$102,(B40+1),FALSE)</f>
        <v>35.648052215576172</v>
      </c>
      <c r="M40" s="264">
        <f t="shared" si="2"/>
        <v>2.9555511243870356</v>
      </c>
      <c r="N40" s="265">
        <f>CurrConsumption_Ref!$L34</f>
        <v>4.5017285060528212E-2</v>
      </c>
      <c r="O40" s="263">
        <f t="shared" si="3"/>
        <v>0.9397459317431226</v>
      </c>
      <c r="P40" s="241"/>
      <c r="Q40" s="269">
        <f>HLOOKUP($E$6,TFPConsumption_Ref!$B$5:$F$102,(B40+1),FALSE)</f>
        <v>154.02149929999999</v>
      </c>
      <c r="R40" s="264">
        <f t="shared" si="4"/>
        <v>7.0731651732898166</v>
      </c>
      <c r="S40" s="270">
        <f>TFPConsumption_Ref!$L34</f>
        <v>0.19450234468654765</v>
      </c>
      <c r="T40" s="271">
        <f t="shared" si="5"/>
        <v>2.8556686697945945</v>
      </c>
      <c r="V40" s="136"/>
      <c r="W40" s="136"/>
    </row>
    <row r="41" spans="2:36" ht="16" customHeight="1" x14ac:dyDescent="0.35">
      <c r="B41" s="237">
        <v>30</v>
      </c>
      <c r="C41" s="238" t="s">
        <v>103</v>
      </c>
      <c r="D41" s="239" t="s">
        <v>104</v>
      </c>
      <c r="E41" s="83">
        <f>HLOOKUP($E$6, CurrConsumption_Ref!$B$5:$F$102, (B41+1), FALSE)</f>
        <v>5.4162611961364746</v>
      </c>
      <c r="F41" s="255">
        <f t="shared" si="0"/>
        <v>0.44905782709834635</v>
      </c>
      <c r="G41" s="256">
        <f>Calculation_TFP!$H33</f>
        <v>1.9745062716141366E-2</v>
      </c>
      <c r="H41" s="257">
        <f t="shared" si="1"/>
        <v>0.41218261684501817</v>
      </c>
      <c r="I41" s="240"/>
      <c r="J41" s="261">
        <f>'Distance Function'!$C35</f>
        <v>0</v>
      </c>
      <c r="K41" s="241"/>
      <c r="L41" s="263">
        <f>HLOOKUP($E$6,CurrConsumption_Ref!$B$5:$F$102,(B41+1),FALSE)</f>
        <v>5.4162611961364746</v>
      </c>
      <c r="M41" s="264">
        <f t="shared" si="2"/>
        <v>0.44905782709834635</v>
      </c>
      <c r="N41" s="265">
        <f>CurrConsumption_Ref!$L35</f>
        <v>1.9745062716141366E-2</v>
      </c>
      <c r="O41" s="263">
        <f t="shared" si="3"/>
        <v>0.41218261684501817</v>
      </c>
      <c r="P41" s="241"/>
      <c r="Q41" s="269">
        <f>HLOOKUP($E$6,TFPConsumption_Ref!$B$5:$F$102,(B41+1),FALSE)</f>
        <v>0</v>
      </c>
      <c r="R41" s="264">
        <f t="shared" si="4"/>
        <v>0</v>
      </c>
      <c r="S41" s="270">
        <f>TFPConsumption_Ref!$L35</f>
        <v>0</v>
      </c>
      <c r="T41" s="271">
        <f t="shared" si="5"/>
        <v>0</v>
      </c>
      <c r="V41" s="136"/>
      <c r="W41" s="136"/>
    </row>
    <row r="42" spans="2:36" ht="14.5" customHeight="1" x14ac:dyDescent="0.35">
      <c r="B42" s="237">
        <v>31</v>
      </c>
      <c r="C42" s="238" t="s">
        <v>105</v>
      </c>
      <c r="D42" s="239" t="s">
        <v>102</v>
      </c>
      <c r="E42" s="83">
        <f>HLOOKUP($E$6, CurrConsumption_Ref!$B$5:$F$102, (B42+1), FALSE)</f>
        <v>24.98805999755859</v>
      </c>
      <c r="F42" s="255">
        <f t="shared" si="0"/>
        <v>2.071739807140577</v>
      </c>
      <c r="G42" s="256">
        <f>Calculation_TFP!$H34</f>
        <v>7.3137448288204288E-2</v>
      </c>
      <c r="H42" s="257">
        <f t="shared" si="1"/>
        <v>1.526760651925164</v>
      </c>
      <c r="I42" s="240"/>
      <c r="J42" s="261">
        <f>'Distance Function'!$C36</f>
        <v>0</v>
      </c>
      <c r="K42" s="241"/>
      <c r="L42" s="263">
        <f>HLOOKUP($E$6,CurrConsumption_Ref!$B$5:$F$102,(B42+1),FALSE)</f>
        <v>24.98805999755859</v>
      </c>
      <c r="M42" s="264">
        <f t="shared" si="2"/>
        <v>2.071739807140577</v>
      </c>
      <c r="N42" s="265">
        <f>CurrConsumption_Ref!$L36</f>
        <v>7.3137448288204288E-2</v>
      </c>
      <c r="O42" s="263">
        <f t="shared" si="3"/>
        <v>1.526760651925164</v>
      </c>
      <c r="P42" s="241"/>
      <c r="Q42" s="269">
        <f>HLOOKUP($E$6,TFPConsumption_Ref!$B$5:$F$102,(B42+1),FALSE)</f>
        <v>0</v>
      </c>
      <c r="R42" s="264">
        <f t="shared" si="4"/>
        <v>0</v>
      </c>
      <c r="S42" s="270">
        <f>TFPConsumption_Ref!$L36</f>
        <v>0</v>
      </c>
      <c r="T42" s="271">
        <f t="shared" si="5"/>
        <v>0</v>
      </c>
      <c r="U42" s="126"/>
      <c r="V42" s="136"/>
      <c r="W42" s="136"/>
    </row>
    <row r="43" spans="2:36" ht="16.5" customHeight="1" x14ac:dyDescent="0.35">
      <c r="B43" s="237">
        <v>32</v>
      </c>
      <c r="C43" s="238" t="s">
        <v>106</v>
      </c>
      <c r="D43" s="239" t="s">
        <v>104</v>
      </c>
      <c r="E43" s="83">
        <f>HLOOKUP($E$6, CurrConsumption_Ref!$B$5:$F$102, (B43+1), FALSE)</f>
        <v>7.7496228218078613</v>
      </c>
      <c r="F43" s="255">
        <f t="shared" si="0"/>
        <v>0.64251494881287607</v>
      </c>
      <c r="G43" s="256">
        <f>Calculation_TFP!$H35</f>
        <v>1.616079978206323E-2</v>
      </c>
      <c r="H43" s="257">
        <f t="shared" si="1"/>
        <v>0.33736032345107547</v>
      </c>
      <c r="I43" s="240"/>
      <c r="J43" s="261">
        <f>'Distance Function'!$C37</f>
        <v>0</v>
      </c>
      <c r="K43" s="241"/>
      <c r="L43" s="263">
        <f>HLOOKUP($E$6,CurrConsumption_Ref!$B$5:$F$102,(B43+1),FALSE)</f>
        <v>7.7496228218078613</v>
      </c>
      <c r="M43" s="264">
        <f t="shared" si="2"/>
        <v>0.64251494881287607</v>
      </c>
      <c r="N43" s="265">
        <f>CurrConsumption_Ref!$L37</f>
        <v>1.616079978206323E-2</v>
      </c>
      <c r="O43" s="263">
        <f t="shared" si="3"/>
        <v>0.33736032345107547</v>
      </c>
      <c r="P43" s="241"/>
      <c r="Q43" s="269">
        <f>HLOOKUP($E$6,TFPConsumption_Ref!$B$5:$F$102,(B43+1),FALSE)</f>
        <v>240.7286211</v>
      </c>
      <c r="R43" s="264">
        <f t="shared" si="4"/>
        <v>11.055036515792441</v>
      </c>
      <c r="S43" s="270">
        <f>TFPConsumption_Ref!$L37</f>
        <v>0.50200727659435984</v>
      </c>
      <c r="T43" s="271">
        <f t="shared" si="5"/>
        <v>7.3704327528272335</v>
      </c>
      <c r="V43" s="136"/>
      <c r="W43" s="136"/>
    </row>
    <row r="44" spans="2:36" ht="15" customHeight="1" x14ac:dyDescent="0.35">
      <c r="B44" s="237">
        <v>33</v>
      </c>
      <c r="C44" s="238" t="s">
        <v>107</v>
      </c>
      <c r="D44" s="239" t="s">
        <v>108</v>
      </c>
      <c r="E44" s="83">
        <f>HLOOKUP($E$6, CurrConsumption_Ref!$B$5:$F$102, (B44+1), FALSE)</f>
        <v>2.0542738437652588</v>
      </c>
      <c r="F44" s="255">
        <f t="shared" si="0"/>
        <v>0.17031817985517825</v>
      </c>
      <c r="G44" s="256">
        <f>Calculation_TFP!$H36</f>
        <v>7.762914977689917E-3</v>
      </c>
      <c r="H44" s="257">
        <f t="shared" si="1"/>
        <v>0.16205259288611251</v>
      </c>
      <c r="I44" s="240"/>
      <c r="J44" s="261">
        <f>'Distance Function'!$C38</f>
        <v>0</v>
      </c>
      <c r="K44" s="241"/>
      <c r="L44" s="263">
        <f>HLOOKUP($E$6,CurrConsumption_Ref!$B$5:$F$102,(B44+1),FALSE)</f>
        <v>2.0542738437652588</v>
      </c>
      <c r="M44" s="264">
        <f t="shared" si="2"/>
        <v>0.17031817985517825</v>
      </c>
      <c r="N44" s="265">
        <f>CurrConsumption_Ref!$L38</f>
        <v>7.762914977689917E-3</v>
      </c>
      <c r="O44" s="263">
        <f t="shared" si="3"/>
        <v>0.16205259288611251</v>
      </c>
      <c r="P44" s="241"/>
      <c r="Q44" s="269">
        <f>HLOOKUP($E$6,TFPConsumption_Ref!$B$5:$F$102,(B44+1),FALSE)</f>
        <v>73.377897989999994</v>
      </c>
      <c r="R44" s="264">
        <f t="shared" si="4"/>
        <v>3.3697502940232757</v>
      </c>
      <c r="S44" s="270">
        <f>TFPConsumption_Ref!$L38</f>
        <v>0.27728843701476097</v>
      </c>
      <c r="T44" s="271">
        <f t="shared" si="5"/>
        <v>4.0711277972276863</v>
      </c>
      <c r="V44" s="136"/>
      <c r="W44" s="136"/>
    </row>
    <row r="45" spans="2:36" ht="14.5" x14ac:dyDescent="0.35">
      <c r="B45" s="237">
        <v>34</v>
      </c>
      <c r="C45" s="238" t="s">
        <v>109</v>
      </c>
      <c r="D45" s="239" t="s">
        <v>108</v>
      </c>
      <c r="E45" s="83">
        <f>HLOOKUP($E$6, CurrConsumption_Ref!$B$5:$F$102, (B45+1), FALSE)</f>
        <v>8.5643167495727539</v>
      </c>
      <c r="F45" s="255">
        <f t="shared" si="0"/>
        <v>0.71006056223589264</v>
      </c>
      <c r="G45" s="256">
        <f>Calculation_TFP!$H37</f>
        <v>6.2341865003279026E-2</v>
      </c>
      <c r="H45" s="257">
        <f t="shared" si="1"/>
        <v>1.301400427310065</v>
      </c>
      <c r="I45" s="240"/>
      <c r="J45" s="261">
        <f>'Distance Function'!$C39</f>
        <v>0</v>
      </c>
      <c r="K45" s="241"/>
      <c r="L45" s="263">
        <f>HLOOKUP($E$6,CurrConsumption_Ref!$B$5:$F$102,(B45+1),FALSE)</f>
        <v>8.5643167495727539</v>
      </c>
      <c r="M45" s="264">
        <f t="shared" si="2"/>
        <v>0.71006056223589264</v>
      </c>
      <c r="N45" s="265">
        <f>CurrConsumption_Ref!$L39</f>
        <v>6.2341865003279026E-2</v>
      </c>
      <c r="O45" s="263">
        <f t="shared" si="3"/>
        <v>1.301400427310065</v>
      </c>
      <c r="P45" s="241"/>
      <c r="Q45" s="269">
        <f>HLOOKUP($E$6,TFPConsumption_Ref!$B$5:$F$102,(B45+1),FALSE)</f>
        <v>0</v>
      </c>
      <c r="R45" s="264">
        <f t="shared" si="4"/>
        <v>0</v>
      </c>
      <c r="S45" s="270">
        <f>TFPConsumption_Ref!$L39</f>
        <v>0</v>
      </c>
      <c r="T45" s="271">
        <f t="shared" si="5"/>
        <v>0</v>
      </c>
      <c r="V45" s="136"/>
      <c r="W45" s="136"/>
    </row>
    <row r="46" spans="2:36" ht="14.5" x14ac:dyDescent="0.35">
      <c r="B46" s="237">
        <v>35</v>
      </c>
      <c r="C46" s="238" t="s">
        <v>110</v>
      </c>
      <c r="D46" s="239" t="s">
        <v>111</v>
      </c>
      <c r="E46" s="83">
        <f>HLOOKUP($E$6, CurrConsumption_Ref!$B$5:$F$102, (B46+1), FALSE)</f>
        <v>2.1334595680236821</v>
      </c>
      <c r="F46" s="255">
        <f t="shared" si="0"/>
        <v>0.17688340409105177</v>
      </c>
      <c r="G46" s="256">
        <f>Calculation_TFP!$H38</f>
        <v>1.3432012981757821E-2</v>
      </c>
      <c r="H46" s="257">
        <f t="shared" si="1"/>
        <v>0.28039628639878744</v>
      </c>
      <c r="I46" s="240"/>
      <c r="J46" s="261">
        <f>'Distance Function'!$C40</f>
        <v>0</v>
      </c>
      <c r="K46" s="241"/>
      <c r="L46" s="263">
        <f>HLOOKUP($E$6,CurrConsumption_Ref!$B$5:$F$102,(B46+1),FALSE)</f>
        <v>2.1334595680236821</v>
      </c>
      <c r="M46" s="264">
        <f t="shared" si="2"/>
        <v>0.17688340409105177</v>
      </c>
      <c r="N46" s="265">
        <f>CurrConsumption_Ref!$L40</f>
        <v>1.3432012981757821E-2</v>
      </c>
      <c r="O46" s="263">
        <f t="shared" si="3"/>
        <v>0.28039628639878744</v>
      </c>
      <c r="P46" s="241"/>
      <c r="Q46" s="269">
        <f>HLOOKUP($E$6,TFPConsumption_Ref!$B$5:$F$102,(B46+1),FALSE)</f>
        <v>0</v>
      </c>
      <c r="R46" s="264">
        <f t="shared" si="4"/>
        <v>0</v>
      </c>
      <c r="S46" s="270">
        <f>TFPConsumption_Ref!$L40</f>
        <v>0</v>
      </c>
      <c r="T46" s="271">
        <f t="shared" si="5"/>
        <v>0</v>
      </c>
      <c r="V46" s="136"/>
      <c r="W46" s="136"/>
    </row>
    <row r="47" spans="2:36" ht="14.5" x14ac:dyDescent="0.35">
      <c r="B47" s="237">
        <v>36</v>
      </c>
      <c r="C47" s="238" t="s">
        <v>112</v>
      </c>
      <c r="D47" s="239" t="s">
        <v>111</v>
      </c>
      <c r="E47" s="83">
        <f>HLOOKUP($E$6, CurrConsumption_Ref!$B$5:$F$102, (B47+1), FALSE)</f>
        <v>7.6381888389587402</v>
      </c>
      <c r="F47" s="255">
        <f t="shared" si="0"/>
        <v>0.63327604758727862</v>
      </c>
      <c r="G47" s="256">
        <f>Calculation_TFP!$H39</f>
        <v>0.1037050212552519</v>
      </c>
      <c r="H47" s="257">
        <f t="shared" si="1"/>
        <v>2.164865599845073</v>
      </c>
      <c r="I47" s="240"/>
      <c r="J47" s="261">
        <f>'Distance Function'!$C41</f>
        <v>0</v>
      </c>
      <c r="K47" s="241"/>
      <c r="L47" s="263">
        <f>HLOOKUP($E$6,CurrConsumption_Ref!$B$5:$F$102,(B47+1),FALSE)</f>
        <v>7.6381888389587402</v>
      </c>
      <c r="M47" s="264">
        <f t="shared" si="2"/>
        <v>0.63327604758727862</v>
      </c>
      <c r="N47" s="265">
        <f>CurrConsumption_Ref!$L41</f>
        <v>0.1037050212552519</v>
      </c>
      <c r="O47" s="263">
        <f t="shared" si="3"/>
        <v>2.164865599845073</v>
      </c>
      <c r="P47" s="241"/>
      <c r="Q47" s="269">
        <f>HLOOKUP($E$6,TFPConsumption_Ref!$B$5:$F$102,(B47+1),FALSE)</f>
        <v>0</v>
      </c>
      <c r="R47" s="264">
        <f t="shared" si="4"/>
        <v>0</v>
      </c>
      <c r="S47" s="270">
        <f>TFPConsumption_Ref!$L41</f>
        <v>0</v>
      </c>
      <c r="T47" s="271">
        <f t="shared" si="5"/>
        <v>0</v>
      </c>
      <c r="V47" s="136"/>
      <c r="W47" s="136"/>
    </row>
    <row r="48" spans="2:36" ht="14.5" x14ac:dyDescent="0.35">
      <c r="B48" s="237">
        <v>37</v>
      </c>
      <c r="C48" s="238" t="s">
        <v>113</v>
      </c>
      <c r="D48" s="239" t="s">
        <v>114</v>
      </c>
      <c r="E48" s="83">
        <f>HLOOKUP($E$6, CurrConsumption_Ref!$B$5:$F$102, (B48+1), FALSE)</f>
        <v>27.324586868286129</v>
      </c>
      <c r="F48" s="255">
        <f t="shared" si="0"/>
        <v>2.2654593567579862</v>
      </c>
      <c r="G48" s="256">
        <f>Calculation_TFP!$H40</f>
        <v>0.20233851698396543</v>
      </c>
      <c r="H48" s="257">
        <f t="shared" si="1"/>
        <v>4.2238619657972585</v>
      </c>
      <c r="I48" s="240"/>
      <c r="J48" s="261">
        <f>'Distance Function'!$C42</f>
        <v>0</v>
      </c>
      <c r="K48" s="241"/>
      <c r="L48" s="263">
        <f>HLOOKUP($E$6,CurrConsumption_Ref!$B$5:$F$102,(B48+1),FALSE)</f>
        <v>27.324586868286129</v>
      </c>
      <c r="M48" s="264">
        <f t="shared" si="2"/>
        <v>2.2654593567579862</v>
      </c>
      <c r="N48" s="265">
        <f>CurrConsumption_Ref!$L42</f>
        <v>0.20233851698396543</v>
      </c>
      <c r="O48" s="263">
        <f t="shared" si="3"/>
        <v>4.2238619657972585</v>
      </c>
      <c r="P48" s="241"/>
      <c r="Q48" s="269">
        <f>HLOOKUP($E$6,TFPConsumption_Ref!$B$5:$F$102,(B48+1),FALSE)</f>
        <v>0</v>
      </c>
      <c r="R48" s="264">
        <f t="shared" si="4"/>
        <v>0</v>
      </c>
      <c r="S48" s="270">
        <f>TFPConsumption_Ref!$L42</f>
        <v>0</v>
      </c>
      <c r="T48" s="271">
        <f t="shared" si="5"/>
        <v>0</v>
      </c>
      <c r="V48" s="136"/>
      <c r="W48" s="136"/>
    </row>
    <row r="49" spans="2:23" ht="14.5" x14ac:dyDescent="0.35">
      <c r="B49" s="237">
        <v>38</v>
      </c>
      <c r="C49" s="238" t="s">
        <v>115</v>
      </c>
      <c r="D49" s="239" t="s">
        <v>116</v>
      </c>
      <c r="E49" s="83">
        <f>HLOOKUP($E$6, CurrConsumption_Ref!$B$5:$F$102, (B49+1), FALSE)</f>
        <v>0.54776740074157715</v>
      </c>
      <c r="F49" s="255">
        <f t="shared" si="0"/>
        <v>4.5414951352010791E-2</v>
      </c>
      <c r="G49" s="256">
        <f>Calculation_TFP!$H41</f>
        <v>1.5368654459116142E-3</v>
      </c>
      <c r="H49" s="257">
        <f t="shared" si="1"/>
        <v>3.2082411200278479E-2</v>
      </c>
      <c r="I49" s="240"/>
      <c r="J49" s="261">
        <f>'Distance Function'!$C43</f>
        <v>0</v>
      </c>
      <c r="K49" s="241"/>
      <c r="L49" s="263">
        <f>HLOOKUP($E$6,CurrConsumption_Ref!$B$5:$F$102,(B49+1),FALSE)</f>
        <v>0.54776740074157715</v>
      </c>
      <c r="M49" s="264">
        <f t="shared" si="2"/>
        <v>4.5414951352010791E-2</v>
      </c>
      <c r="N49" s="265">
        <f>CurrConsumption_Ref!$L43</f>
        <v>1.5368654459116142E-3</v>
      </c>
      <c r="O49" s="263">
        <f t="shared" si="3"/>
        <v>3.2082411200278479E-2</v>
      </c>
      <c r="P49" s="241"/>
      <c r="Q49" s="269">
        <f>HLOOKUP($E$6,TFPConsumption_Ref!$B$5:$F$102,(B49+1),FALSE)</f>
        <v>5.4567766549999996</v>
      </c>
      <c r="R49" s="264">
        <f t="shared" si="4"/>
        <v>0.25059282483277906</v>
      </c>
      <c r="S49" s="270">
        <f>TFPConsumption_Ref!$L43</f>
        <v>1.5310022969189293E-2</v>
      </c>
      <c r="T49" s="271">
        <f t="shared" si="5"/>
        <v>0.22478059581959017</v>
      </c>
      <c r="V49" s="136"/>
      <c r="W49" s="136"/>
    </row>
    <row r="50" spans="2:23" ht="16" customHeight="1" x14ac:dyDescent="0.35">
      <c r="B50" s="237">
        <v>39</v>
      </c>
      <c r="C50" s="238" t="s">
        <v>117</v>
      </c>
      <c r="D50" s="239" t="s">
        <v>118</v>
      </c>
      <c r="E50" s="83">
        <f>HLOOKUP($E$6, CurrConsumption_Ref!$B$5:$F$102, (B50+1), FALSE)</f>
        <v>0.97191524505615234</v>
      </c>
      <c r="F50" s="255">
        <f t="shared" si="0"/>
        <v>8.0580705446775383E-2</v>
      </c>
      <c r="G50" s="256">
        <f>Calculation_TFP!$H42</f>
        <v>3.6328316537343969E-3</v>
      </c>
      <c r="H50" s="257">
        <f t="shared" si="1"/>
        <v>7.5836176320147067E-2</v>
      </c>
      <c r="I50" s="240"/>
      <c r="J50" s="261">
        <f>'Distance Function'!$C44</f>
        <v>0</v>
      </c>
      <c r="K50" s="241"/>
      <c r="L50" s="263">
        <f>HLOOKUP($E$6,CurrConsumption_Ref!$B$5:$F$102,(B50+1),FALSE)</f>
        <v>0.97191524505615234</v>
      </c>
      <c r="M50" s="264">
        <f t="shared" si="2"/>
        <v>8.0580705446775383E-2</v>
      </c>
      <c r="N50" s="265">
        <f>CurrConsumption_Ref!$L44</f>
        <v>3.6328316537343969E-3</v>
      </c>
      <c r="O50" s="263">
        <f t="shared" si="3"/>
        <v>7.5836176320147067E-2</v>
      </c>
      <c r="P50" s="241"/>
      <c r="Q50" s="269">
        <f>HLOOKUP($E$6,TFPConsumption_Ref!$B$5:$F$102,(B50+1),FALSE)</f>
        <v>0</v>
      </c>
      <c r="R50" s="264">
        <f t="shared" si="4"/>
        <v>0</v>
      </c>
      <c r="S50" s="270">
        <f>TFPConsumption_Ref!$L44</f>
        <v>0</v>
      </c>
      <c r="T50" s="271">
        <f t="shared" si="5"/>
        <v>0</v>
      </c>
      <c r="V50" s="136"/>
      <c r="W50" s="136"/>
    </row>
    <row r="51" spans="2:23" ht="14.5" x14ac:dyDescent="0.35">
      <c r="B51" s="237">
        <v>40</v>
      </c>
      <c r="C51" s="238" t="s">
        <v>119</v>
      </c>
      <c r="D51" s="239" t="s">
        <v>116</v>
      </c>
      <c r="E51" s="83">
        <f>HLOOKUP($E$6, CurrConsumption_Ref!$B$5:$F$102, (B51+1), FALSE)</f>
        <v>0.65534800291061401</v>
      </c>
      <c r="F51" s="255">
        <f t="shared" si="0"/>
        <v>5.4334371907729141E-2</v>
      </c>
      <c r="G51" s="256">
        <f>Calculation_TFP!$H43</f>
        <v>1.2926790452765767E-3</v>
      </c>
      <c r="H51" s="257">
        <f t="shared" si="1"/>
        <v>2.6984965268671689E-2</v>
      </c>
      <c r="I51" s="240"/>
      <c r="J51" s="261">
        <f>'Distance Function'!$C45</f>
        <v>0</v>
      </c>
      <c r="K51" s="241"/>
      <c r="L51" s="263">
        <f>HLOOKUP($E$6,CurrConsumption_Ref!$B$5:$F$102,(B51+1),FALSE)</f>
        <v>0.65534800291061401</v>
      </c>
      <c r="M51" s="264">
        <f t="shared" si="2"/>
        <v>5.4334371907729141E-2</v>
      </c>
      <c r="N51" s="265">
        <f>CurrConsumption_Ref!$L45</f>
        <v>1.2926790452765767E-3</v>
      </c>
      <c r="O51" s="263">
        <f t="shared" si="3"/>
        <v>2.6984965268671689E-2</v>
      </c>
      <c r="P51" s="241"/>
      <c r="Q51" s="269">
        <f>HLOOKUP($E$6,TFPConsumption_Ref!$B$5:$F$102,(B51+1),FALSE)</f>
        <v>0</v>
      </c>
      <c r="R51" s="264">
        <f t="shared" si="4"/>
        <v>0</v>
      </c>
      <c r="S51" s="270">
        <f>TFPConsumption_Ref!$L45</f>
        <v>0</v>
      </c>
      <c r="T51" s="271">
        <f t="shared" si="5"/>
        <v>0</v>
      </c>
      <c r="V51" s="136"/>
      <c r="W51" s="136"/>
    </row>
    <row r="52" spans="2:23" ht="14.5" x14ac:dyDescent="0.35">
      <c r="B52" s="237">
        <v>41</v>
      </c>
      <c r="C52" s="238" t="s">
        <v>120</v>
      </c>
      <c r="D52" s="239" t="s">
        <v>118</v>
      </c>
      <c r="E52" s="83">
        <f>HLOOKUP($E$6, CurrConsumption_Ref!$B$5:$F$102, (B52+1), FALSE)</f>
        <v>0.70358014106750488</v>
      </c>
      <c r="F52" s="255">
        <f t="shared" si="0"/>
        <v>5.8333259400911795E-2</v>
      </c>
      <c r="G52" s="256">
        <f>Calculation_TFP!$H44</f>
        <v>1.7204969371203305E-3</v>
      </c>
      <c r="H52" s="257">
        <f t="shared" si="1"/>
        <v>3.5915759803404779E-2</v>
      </c>
      <c r="I52" s="240"/>
      <c r="J52" s="261">
        <f>'Distance Function'!$C46</f>
        <v>0</v>
      </c>
      <c r="K52" s="241"/>
      <c r="L52" s="263">
        <f>HLOOKUP($E$6,CurrConsumption_Ref!$B$5:$F$102,(B52+1),FALSE)</f>
        <v>0.70358014106750488</v>
      </c>
      <c r="M52" s="264">
        <f t="shared" si="2"/>
        <v>5.8333259400911795E-2</v>
      </c>
      <c r="N52" s="265">
        <f>CurrConsumption_Ref!$L46</f>
        <v>1.7204969371203305E-3</v>
      </c>
      <c r="O52" s="263">
        <f t="shared" si="3"/>
        <v>3.5915759803404779E-2</v>
      </c>
      <c r="P52" s="241"/>
      <c r="Q52" s="269">
        <f>HLOOKUP($E$6,TFPConsumption_Ref!$B$5:$F$102,(B52+1),FALSE)</f>
        <v>0</v>
      </c>
      <c r="R52" s="264">
        <f t="shared" si="4"/>
        <v>0</v>
      </c>
      <c r="S52" s="270">
        <f>TFPConsumption_Ref!$L46</f>
        <v>0</v>
      </c>
      <c r="T52" s="271">
        <f t="shared" si="5"/>
        <v>0</v>
      </c>
      <c r="V52" s="136"/>
      <c r="W52" s="136"/>
    </row>
    <row r="53" spans="2:23" ht="14.5" x14ac:dyDescent="0.35">
      <c r="B53" s="237">
        <v>42</v>
      </c>
      <c r="C53" s="238" t="s">
        <v>121</v>
      </c>
      <c r="D53" s="239" t="s">
        <v>122</v>
      </c>
      <c r="E53" s="83">
        <f>HLOOKUP($E$6, CurrConsumption_Ref!$B$5:$F$102, (B53+1), FALSE)</f>
        <v>5.9619231224060059</v>
      </c>
      <c r="F53" s="255">
        <f t="shared" si="0"/>
        <v>0.49429821526789797</v>
      </c>
      <c r="G53" s="256">
        <f>Calculation_TFP!$H45</f>
        <v>1.3637828608870627E-2</v>
      </c>
      <c r="H53" s="257">
        <f t="shared" si="1"/>
        <v>0.28469273381911414</v>
      </c>
      <c r="I53" s="240"/>
      <c r="J53" s="261">
        <f>'Distance Function'!$C47</f>
        <v>0</v>
      </c>
      <c r="K53" s="241"/>
      <c r="L53" s="263">
        <f>HLOOKUP($E$6,CurrConsumption_Ref!$B$5:$F$102,(B53+1),FALSE)</f>
        <v>5.9619231224060059</v>
      </c>
      <c r="M53" s="264">
        <f t="shared" si="2"/>
        <v>0.49429821526789797</v>
      </c>
      <c r="N53" s="265">
        <f>CurrConsumption_Ref!$L47</f>
        <v>1.3637828608870627E-2</v>
      </c>
      <c r="O53" s="263">
        <f t="shared" si="3"/>
        <v>0.28469273381911414</v>
      </c>
      <c r="P53" s="241"/>
      <c r="Q53" s="269">
        <f>HLOOKUP($E$6,TFPConsumption_Ref!$B$5:$F$102,(B53+1),FALSE)</f>
        <v>13.025688369999999</v>
      </c>
      <c r="R53" s="264">
        <f t="shared" si="4"/>
        <v>0.59818171979585577</v>
      </c>
      <c r="S53" s="270">
        <f>TFPConsumption_Ref!$L47</f>
        <v>2.9796108043561916E-2</v>
      </c>
      <c r="T53" s="271">
        <f t="shared" si="5"/>
        <v>0.43746419797117958</v>
      </c>
      <c r="V53" s="136"/>
      <c r="W53" s="136"/>
    </row>
    <row r="54" spans="2:23" ht="14.5" x14ac:dyDescent="0.35">
      <c r="B54" s="237">
        <v>43</v>
      </c>
      <c r="C54" s="238" t="s">
        <v>123</v>
      </c>
      <c r="D54" s="239" t="s">
        <v>124</v>
      </c>
      <c r="E54" s="83">
        <f>HLOOKUP($E$6, CurrConsumption_Ref!$B$5:$F$102, (B54+1), FALSE)</f>
        <v>4.8597850799560547</v>
      </c>
      <c r="F54" s="255">
        <f t="shared" si="0"/>
        <v>0.40292084320577531</v>
      </c>
      <c r="G54" s="256">
        <f>Calculation_TFP!$H46</f>
        <v>1.3197792314377338E-2</v>
      </c>
      <c r="H54" s="257">
        <f t="shared" si="1"/>
        <v>0.27550687738611551</v>
      </c>
      <c r="I54" s="240"/>
      <c r="J54" s="261">
        <f>'Distance Function'!$C48</f>
        <v>0</v>
      </c>
      <c r="K54" s="241"/>
      <c r="L54" s="263">
        <f>HLOOKUP($E$6,CurrConsumption_Ref!$B$5:$F$102,(B54+1),FALSE)</f>
        <v>4.8597850799560547</v>
      </c>
      <c r="M54" s="264">
        <f t="shared" si="2"/>
        <v>0.40292084320577531</v>
      </c>
      <c r="N54" s="265">
        <f>CurrConsumption_Ref!$L48</f>
        <v>1.3197792314377338E-2</v>
      </c>
      <c r="O54" s="263">
        <f t="shared" si="3"/>
        <v>0.27550687738611551</v>
      </c>
      <c r="P54" s="241"/>
      <c r="Q54" s="269">
        <f>HLOOKUP($E$6,TFPConsumption_Ref!$B$5:$F$102,(B54+1),FALSE)</f>
        <v>0</v>
      </c>
      <c r="R54" s="264">
        <f t="shared" si="4"/>
        <v>0</v>
      </c>
      <c r="S54" s="270">
        <f>TFPConsumption_Ref!$L48</f>
        <v>0</v>
      </c>
      <c r="T54" s="271">
        <f t="shared" si="5"/>
        <v>0</v>
      </c>
      <c r="V54" s="136"/>
      <c r="W54" s="136"/>
    </row>
    <row r="55" spans="2:23" ht="14.5" x14ac:dyDescent="0.35">
      <c r="B55" s="237">
        <v>44</v>
      </c>
      <c r="C55" s="238" t="s">
        <v>125</v>
      </c>
      <c r="D55" s="239" t="s">
        <v>126</v>
      </c>
      <c r="E55" s="83">
        <f>HLOOKUP($E$6, CurrConsumption_Ref!$B$5:$F$102, (B55+1), FALSE)</f>
        <v>13.07961463928223</v>
      </c>
      <c r="F55" s="255">
        <f t="shared" si="0"/>
        <v>1.0844202516284638</v>
      </c>
      <c r="G55" s="256">
        <f>Calculation_TFP!$H47</f>
        <v>2.2749049784122517E-2</v>
      </c>
      <c r="H55" s="257">
        <f t="shared" si="1"/>
        <v>0.4748915212658108</v>
      </c>
      <c r="I55" s="240"/>
      <c r="J55" s="261">
        <f>'Distance Function'!$C49</f>
        <v>0</v>
      </c>
      <c r="K55" s="241"/>
      <c r="L55" s="263">
        <f>HLOOKUP($E$6,CurrConsumption_Ref!$B$5:$F$102,(B55+1),FALSE)</f>
        <v>13.07961463928223</v>
      </c>
      <c r="M55" s="264">
        <f t="shared" si="2"/>
        <v>1.0844202516284638</v>
      </c>
      <c r="N55" s="265">
        <f>CurrConsumption_Ref!$L49</f>
        <v>2.2749049784122517E-2</v>
      </c>
      <c r="O55" s="263">
        <f t="shared" si="3"/>
        <v>0.4748915212658108</v>
      </c>
      <c r="P55" s="241"/>
      <c r="Q55" s="269">
        <f>HLOOKUP($E$6,TFPConsumption_Ref!$B$5:$F$102,(B55+1),FALSE)</f>
        <v>63.003249269999998</v>
      </c>
      <c r="R55" s="264">
        <f t="shared" si="4"/>
        <v>2.8933128853178292</v>
      </c>
      <c r="S55" s="270">
        <f>TFPConsumption_Ref!$L49</f>
        <v>0.10957999098078657</v>
      </c>
      <c r="T55" s="271">
        <f t="shared" si="5"/>
        <v>1.6088451148725369</v>
      </c>
      <c r="V55" s="136"/>
      <c r="W55" s="136"/>
    </row>
    <row r="56" spans="2:23" ht="14.5" x14ac:dyDescent="0.35">
      <c r="B56" s="237">
        <v>45</v>
      </c>
      <c r="C56" s="238" t="s">
        <v>127</v>
      </c>
      <c r="D56" s="239" t="s">
        <v>128</v>
      </c>
      <c r="E56" s="83">
        <f>HLOOKUP($E$6, CurrConsumption_Ref!$B$5:$F$102, (B56+1), FALSE)</f>
        <v>20.965072631835941</v>
      </c>
      <c r="F56" s="255">
        <f t="shared" si="0"/>
        <v>1.7381971843837272</v>
      </c>
      <c r="G56" s="256">
        <f>Calculation_TFP!$H48</f>
        <v>5.649392303651786E-2</v>
      </c>
      <c r="H56" s="257">
        <f t="shared" si="1"/>
        <v>1.1793233259267948</v>
      </c>
      <c r="I56" s="240"/>
      <c r="J56" s="261">
        <f>'Distance Function'!$C50</f>
        <v>0</v>
      </c>
      <c r="K56" s="241"/>
      <c r="L56" s="263">
        <f>HLOOKUP($E$6,CurrConsumption_Ref!$B$5:$F$102,(B56+1),FALSE)</f>
        <v>20.965072631835941</v>
      </c>
      <c r="M56" s="264">
        <f t="shared" si="2"/>
        <v>1.7381971843837272</v>
      </c>
      <c r="N56" s="265">
        <f>CurrConsumption_Ref!$L50</f>
        <v>5.649392303651786E-2</v>
      </c>
      <c r="O56" s="263">
        <f t="shared" si="3"/>
        <v>1.1793233259267948</v>
      </c>
      <c r="P56" s="241"/>
      <c r="Q56" s="269">
        <f>HLOOKUP($E$6,TFPConsumption_Ref!$B$5:$F$102,(B56+1),FALSE)</f>
        <v>0</v>
      </c>
      <c r="R56" s="264">
        <f t="shared" si="4"/>
        <v>0</v>
      </c>
      <c r="S56" s="270">
        <f>TFPConsumption_Ref!$L50</f>
        <v>0</v>
      </c>
      <c r="T56" s="271">
        <f t="shared" si="5"/>
        <v>0</v>
      </c>
      <c r="V56" s="136"/>
      <c r="W56" s="136"/>
    </row>
    <row r="57" spans="2:23" ht="14.5" x14ac:dyDescent="0.35">
      <c r="B57" s="237">
        <v>46</v>
      </c>
      <c r="C57" s="238" t="s">
        <v>129</v>
      </c>
      <c r="D57" s="239" t="s">
        <v>126</v>
      </c>
      <c r="E57" s="83">
        <f>HLOOKUP($E$6, CurrConsumption_Ref!$B$5:$F$102, (B57+1), FALSE)</f>
        <v>11.304426193237299</v>
      </c>
      <c r="F57" s="255">
        <f t="shared" si="0"/>
        <v>0.93724081596172415</v>
      </c>
      <c r="G57" s="256">
        <f>Calculation_TFP!$H49</f>
        <v>4.7607653153820685E-2</v>
      </c>
      <c r="H57" s="257">
        <f t="shared" si="1"/>
        <v>0.99382044721236418</v>
      </c>
      <c r="I57" s="240"/>
      <c r="J57" s="261">
        <f>'Distance Function'!$C51</f>
        <v>0</v>
      </c>
      <c r="K57" s="241"/>
      <c r="L57" s="263">
        <f>HLOOKUP($E$6,CurrConsumption_Ref!$B$5:$F$102,(B57+1),FALSE)</f>
        <v>11.304426193237299</v>
      </c>
      <c r="M57" s="264">
        <f t="shared" si="2"/>
        <v>0.93724081596172415</v>
      </c>
      <c r="N57" s="265">
        <f>CurrConsumption_Ref!$L51</f>
        <v>4.7607653153820685E-2</v>
      </c>
      <c r="O57" s="263">
        <f t="shared" si="3"/>
        <v>0.99382044721236418</v>
      </c>
      <c r="P57" s="241"/>
      <c r="Q57" s="269">
        <f>HLOOKUP($E$6,TFPConsumption_Ref!$B$5:$F$102,(B57+1),FALSE)</f>
        <v>0</v>
      </c>
      <c r="R57" s="264">
        <f t="shared" si="4"/>
        <v>0</v>
      </c>
      <c r="S57" s="270">
        <f>TFPConsumption_Ref!$L51</f>
        <v>0</v>
      </c>
      <c r="T57" s="271">
        <f t="shared" si="5"/>
        <v>0</v>
      </c>
      <c r="V57" s="136"/>
      <c r="W57" s="136"/>
    </row>
    <row r="58" spans="2:23" ht="14.5" x14ac:dyDescent="0.35">
      <c r="B58" s="237">
        <v>47</v>
      </c>
      <c r="C58" s="238" t="s">
        <v>130</v>
      </c>
      <c r="D58" s="239" t="s">
        <v>128</v>
      </c>
      <c r="E58" s="83">
        <f>HLOOKUP($E$6, CurrConsumption_Ref!$B$5:$F$102, (B58+1), FALSE)</f>
        <v>33.270057678222663</v>
      </c>
      <c r="F58" s="255">
        <f t="shared" si="0"/>
        <v>2.7583935241299753</v>
      </c>
      <c r="G58" s="256">
        <f>Calculation_TFP!$H50</f>
        <v>0.12567862369489807</v>
      </c>
      <c r="H58" s="257">
        <f t="shared" si="1"/>
        <v>2.6235694837117634</v>
      </c>
      <c r="I58" s="240"/>
      <c r="J58" s="261">
        <f>'Distance Function'!$C52</f>
        <v>0</v>
      </c>
      <c r="K58" s="241"/>
      <c r="L58" s="263">
        <f>HLOOKUP($E$6,CurrConsumption_Ref!$B$5:$F$102,(B58+1),FALSE)</f>
        <v>33.270057678222663</v>
      </c>
      <c r="M58" s="264">
        <f t="shared" si="2"/>
        <v>2.7583935241299753</v>
      </c>
      <c r="N58" s="265">
        <f>CurrConsumption_Ref!$L52</f>
        <v>0.12567862369489807</v>
      </c>
      <c r="O58" s="263">
        <f t="shared" si="3"/>
        <v>2.6235694837117634</v>
      </c>
      <c r="P58" s="241"/>
      <c r="Q58" s="269">
        <f>HLOOKUP($E$6,TFPConsumption_Ref!$B$5:$F$102,(B58+1),FALSE)</f>
        <v>0</v>
      </c>
      <c r="R58" s="264">
        <f t="shared" si="4"/>
        <v>0</v>
      </c>
      <c r="S58" s="270">
        <f>TFPConsumption_Ref!$L52</f>
        <v>0</v>
      </c>
      <c r="T58" s="271">
        <f t="shared" si="5"/>
        <v>0</v>
      </c>
      <c r="V58" s="136"/>
      <c r="W58" s="136"/>
    </row>
    <row r="59" spans="2:23" ht="14.5" x14ac:dyDescent="0.35">
      <c r="B59" s="237">
        <v>48</v>
      </c>
      <c r="C59" s="238" t="s">
        <v>131</v>
      </c>
      <c r="D59" s="239" t="s">
        <v>132</v>
      </c>
      <c r="E59" s="83">
        <f>HLOOKUP($E$6, CurrConsumption_Ref!$B$5:$F$102, (B59+1), FALSE)</f>
        <v>10.987033843994141</v>
      </c>
      <c r="F59" s="255">
        <f t="shared" si="0"/>
        <v>0.91092607346177967</v>
      </c>
      <c r="G59" s="256">
        <f>Calculation_TFP!$H51</f>
        <v>4.4193404681495872E-2</v>
      </c>
      <c r="H59" s="257">
        <f t="shared" si="1"/>
        <v>0.92254724387472697</v>
      </c>
      <c r="I59" s="240"/>
      <c r="J59" s="261">
        <f>'Distance Function'!$C53</f>
        <v>0</v>
      </c>
      <c r="K59" s="241"/>
      <c r="L59" s="263">
        <f>HLOOKUP($E$6,CurrConsumption_Ref!$B$5:$F$102,(B59+1),FALSE)</f>
        <v>10.987033843994141</v>
      </c>
      <c r="M59" s="264">
        <f t="shared" si="2"/>
        <v>0.91092607346177967</v>
      </c>
      <c r="N59" s="265">
        <f>CurrConsumption_Ref!$L53</f>
        <v>4.4193404681495872E-2</v>
      </c>
      <c r="O59" s="263">
        <f t="shared" si="3"/>
        <v>0.92254724387472697</v>
      </c>
      <c r="P59" s="241"/>
      <c r="Q59" s="269">
        <f>HLOOKUP($E$6,TFPConsumption_Ref!$B$5:$F$102,(B59+1),FALSE)</f>
        <v>0</v>
      </c>
      <c r="R59" s="264">
        <f t="shared" si="4"/>
        <v>0</v>
      </c>
      <c r="S59" s="270">
        <f>TFPConsumption_Ref!$L53</f>
        <v>0</v>
      </c>
      <c r="T59" s="271">
        <f t="shared" si="5"/>
        <v>0</v>
      </c>
      <c r="V59" s="136"/>
      <c r="W59" s="136"/>
    </row>
    <row r="60" spans="2:23" ht="14.5" x14ac:dyDescent="0.35">
      <c r="B60" s="237">
        <v>49</v>
      </c>
      <c r="C60" s="238" t="s">
        <v>133</v>
      </c>
      <c r="D60" s="239" t="s">
        <v>134</v>
      </c>
      <c r="E60" s="83">
        <f>HLOOKUP($E$6, CurrConsumption_Ref!$B$5:$F$102, (B60+1), FALSE)</f>
        <v>8.0411281585693359</v>
      </c>
      <c r="F60" s="255">
        <f t="shared" si="0"/>
        <v>0.6666834200836218</v>
      </c>
      <c r="G60" s="256">
        <f>Calculation_TFP!$H52</f>
        <v>6.1728252010735798E-2</v>
      </c>
      <c r="H60" s="257">
        <f t="shared" si="1"/>
        <v>1.2885911183383689</v>
      </c>
      <c r="I60" s="240"/>
      <c r="J60" s="261">
        <f>'Distance Function'!$C54</f>
        <v>0</v>
      </c>
      <c r="K60" s="241"/>
      <c r="L60" s="263">
        <f>HLOOKUP($E$6,CurrConsumption_Ref!$B$5:$F$102,(B60+1),FALSE)</f>
        <v>8.0411281585693359</v>
      </c>
      <c r="M60" s="264">
        <f t="shared" si="2"/>
        <v>0.6666834200836218</v>
      </c>
      <c r="N60" s="265">
        <f>CurrConsumption_Ref!$L54</f>
        <v>6.1728252010735798E-2</v>
      </c>
      <c r="O60" s="263">
        <f t="shared" si="3"/>
        <v>1.2885911183383689</v>
      </c>
      <c r="P60" s="241"/>
      <c r="Q60" s="269">
        <f>HLOOKUP($E$6,TFPConsumption_Ref!$B$5:$F$102,(B60+1),FALSE)</f>
        <v>0</v>
      </c>
      <c r="R60" s="264">
        <f t="shared" si="4"/>
        <v>0</v>
      </c>
      <c r="S60" s="270">
        <f>TFPConsumption_Ref!$L54</f>
        <v>0</v>
      </c>
      <c r="T60" s="271">
        <f t="shared" si="5"/>
        <v>0</v>
      </c>
      <c r="V60" s="136"/>
      <c r="W60" s="136"/>
    </row>
    <row r="61" spans="2:23" ht="14.5" x14ac:dyDescent="0.35">
      <c r="B61" s="237">
        <v>50</v>
      </c>
      <c r="C61" s="238" t="s">
        <v>135</v>
      </c>
      <c r="D61" s="239" t="s">
        <v>132</v>
      </c>
      <c r="E61" s="83">
        <f>HLOOKUP($E$6, CurrConsumption_Ref!$B$5:$F$102, (B61+1), FALSE)</f>
        <v>13.91751670837402</v>
      </c>
      <c r="F61" s="255">
        <f t="shared" si="0"/>
        <v>1.153890033243864</v>
      </c>
      <c r="G61" s="256">
        <f>Calculation_TFP!$H53</f>
        <v>8.2308723940810916E-2</v>
      </c>
      <c r="H61" s="257">
        <f t="shared" si="1"/>
        <v>1.7182130900685026</v>
      </c>
      <c r="I61" s="240"/>
      <c r="J61" s="261">
        <f>'Distance Function'!$C55</f>
        <v>0</v>
      </c>
      <c r="K61" s="241"/>
      <c r="L61" s="263">
        <f>HLOOKUP($E$6,CurrConsumption_Ref!$B$5:$F$102,(B61+1),FALSE)</f>
        <v>13.91751670837402</v>
      </c>
      <c r="M61" s="264">
        <f t="shared" si="2"/>
        <v>1.153890033243864</v>
      </c>
      <c r="N61" s="265">
        <f>CurrConsumption_Ref!$L55</f>
        <v>8.2308723940810916E-2</v>
      </c>
      <c r="O61" s="263">
        <f t="shared" si="3"/>
        <v>1.7182130900685026</v>
      </c>
      <c r="P61" s="241"/>
      <c r="Q61" s="269">
        <f>HLOOKUP($E$6,TFPConsumption_Ref!$B$5:$F$102,(B61+1),FALSE)</f>
        <v>0</v>
      </c>
      <c r="R61" s="264">
        <f t="shared" si="4"/>
        <v>0</v>
      </c>
      <c r="S61" s="270">
        <f>TFPConsumption_Ref!$L55</f>
        <v>0</v>
      </c>
      <c r="T61" s="271">
        <f t="shared" si="5"/>
        <v>0</v>
      </c>
      <c r="V61" s="136"/>
      <c r="W61" s="136"/>
    </row>
    <row r="62" spans="2:23" ht="14.5" x14ac:dyDescent="0.35">
      <c r="B62" s="237">
        <v>51</v>
      </c>
      <c r="C62" s="238" t="s">
        <v>136</v>
      </c>
      <c r="D62" s="239" t="s">
        <v>134</v>
      </c>
      <c r="E62" s="83">
        <f>HLOOKUP($E$6, CurrConsumption_Ref!$B$5:$F$102, (B62+1), FALSE)</f>
        <v>2.7273387908935551</v>
      </c>
      <c r="F62" s="255">
        <f t="shared" si="0"/>
        <v>0.22612144925235828</v>
      </c>
      <c r="G62" s="256">
        <f>Calculation_TFP!$H54</f>
        <v>1.0259388762409402E-2</v>
      </c>
      <c r="H62" s="257">
        <f t="shared" si="1"/>
        <v>0.21416704358519617</v>
      </c>
      <c r="I62" s="240"/>
      <c r="J62" s="261">
        <f>'Distance Function'!$C56</f>
        <v>0</v>
      </c>
      <c r="K62" s="241"/>
      <c r="L62" s="263">
        <f>HLOOKUP($E$6,CurrConsumption_Ref!$B$5:$F$102,(B62+1),FALSE)</f>
        <v>2.7273387908935551</v>
      </c>
      <c r="M62" s="264">
        <f t="shared" si="2"/>
        <v>0.22612144925235828</v>
      </c>
      <c r="N62" s="265">
        <f>CurrConsumption_Ref!$L56</f>
        <v>1.0259388762409402E-2</v>
      </c>
      <c r="O62" s="263">
        <f t="shared" si="3"/>
        <v>0.21416704358519617</v>
      </c>
      <c r="P62" s="241"/>
      <c r="Q62" s="269">
        <f>HLOOKUP($E$6,TFPConsumption_Ref!$B$5:$F$102,(B62+1),FALSE)</f>
        <v>0</v>
      </c>
      <c r="R62" s="264">
        <f t="shared" si="4"/>
        <v>0</v>
      </c>
      <c r="S62" s="270">
        <f>TFPConsumption_Ref!$L56</f>
        <v>0</v>
      </c>
      <c r="T62" s="271">
        <f t="shared" si="5"/>
        <v>0</v>
      </c>
      <c r="V62" s="136"/>
      <c r="W62" s="136"/>
    </row>
    <row r="63" spans="2:23" ht="14.5" x14ac:dyDescent="0.35">
      <c r="B63" s="237">
        <v>52</v>
      </c>
      <c r="C63" s="238" t="s">
        <v>137</v>
      </c>
      <c r="D63" s="239" t="s">
        <v>138</v>
      </c>
      <c r="E63" s="83">
        <f>HLOOKUP($E$6, CurrConsumption_Ref!$B$5:$F$102, (B63+1), FALSE)</f>
        <v>2.437049388885498</v>
      </c>
      <c r="F63" s="255">
        <f t="shared" si="0"/>
        <v>0.20205379014677405</v>
      </c>
      <c r="G63" s="256">
        <f>Calculation_TFP!$H55</f>
        <v>6.0269443744464654E-3</v>
      </c>
      <c r="H63" s="257">
        <f t="shared" si="1"/>
        <v>0.12581381682864437</v>
      </c>
      <c r="I63" s="240"/>
      <c r="J63" s="261">
        <f>'Distance Function'!$C57</f>
        <v>0</v>
      </c>
      <c r="K63" s="241"/>
      <c r="L63" s="263">
        <f>HLOOKUP($E$6,CurrConsumption_Ref!$B$5:$F$102,(B63+1),FALSE)</f>
        <v>2.437049388885498</v>
      </c>
      <c r="M63" s="264">
        <f t="shared" si="2"/>
        <v>0.20205379014677405</v>
      </c>
      <c r="N63" s="265">
        <f>CurrConsumption_Ref!$L57</f>
        <v>6.0269443744464654E-3</v>
      </c>
      <c r="O63" s="263">
        <f t="shared" si="3"/>
        <v>0.12581381682864437</v>
      </c>
      <c r="P63" s="241"/>
      <c r="Q63" s="269">
        <f>HLOOKUP($E$6,TFPConsumption_Ref!$B$5:$F$102,(B63+1),FALSE)</f>
        <v>23.438860099999999</v>
      </c>
      <c r="R63" s="264">
        <f t="shared" si="4"/>
        <v>1.0763882296588725</v>
      </c>
      <c r="S63" s="270">
        <f>TFPConsumption_Ref!$L57</f>
        <v>5.7965467038702624E-2</v>
      </c>
      <c r="T63" s="271">
        <f t="shared" si="5"/>
        <v>0.85104458981816544</v>
      </c>
      <c r="V63" s="136"/>
      <c r="W63" s="136"/>
    </row>
    <row r="64" spans="2:23" ht="14.5" x14ac:dyDescent="0.35">
      <c r="B64" s="237">
        <v>53</v>
      </c>
      <c r="C64" s="238" t="s">
        <v>139</v>
      </c>
      <c r="D64" s="239" t="s">
        <v>140</v>
      </c>
      <c r="E64" s="83">
        <f>HLOOKUP($E$6, CurrConsumption_Ref!$B$5:$F$102, (B64+1), FALSE)</f>
        <v>1.376572251319885</v>
      </c>
      <c r="F64" s="255">
        <f t="shared" si="0"/>
        <v>0.11413048995172766</v>
      </c>
      <c r="G64" s="256">
        <f>Calculation_TFP!$H56</f>
        <v>4.4404899224033774E-3</v>
      </c>
      <c r="H64" s="257">
        <f t="shared" si="1"/>
        <v>9.2696223992943416E-2</v>
      </c>
      <c r="I64" s="240"/>
      <c r="J64" s="261">
        <f>'Distance Function'!$C58</f>
        <v>0</v>
      </c>
      <c r="K64" s="241"/>
      <c r="L64" s="263">
        <f>HLOOKUP($E$6,CurrConsumption_Ref!$B$5:$F$102,(B64+1),FALSE)</f>
        <v>1.376572251319885</v>
      </c>
      <c r="M64" s="264">
        <f t="shared" si="2"/>
        <v>0.11413048995172766</v>
      </c>
      <c r="N64" s="265">
        <f>CurrConsumption_Ref!$L58</f>
        <v>4.4404899224033774E-3</v>
      </c>
      <c r="O64" s="263">
        <f t="shared" si="3"/>
        <v>9.2696223992943416E-2</v>
      </c>
      <c r="P64" s="241"/>
      <c r="Q64" s="269">
        <f>HLOOKUP($E$6,TFPConsumption_Ref!$B$5:$F$102,(B64+1),FALSE)</f>
        <v>0</v>
      </c>
      <c r="R64" s="264">
        <f t="shared" si="4"/>
        <v>0</v>
      </c>
      <c r="S64" s="270">
        <f>TFPConsumption_Ref!$L58</f>
        <v>0</v>
      </c>
      <c r="T64" s="271">
        <f t="shared" si="5"/>
        <v>0</v>
      </c>
      <c r="V64" s="136"/>
      <c r="W64" s="136"/>
    </row>
    <row r="65" spans="2:23" ht="14.5" x14ac:dyDescent="0.35">
      <c r="B65" s="237">
        <v>54</v>
      </c>
      <c r="C65" s="238" t="s">
        <v>141</v>
      </c>
      <c r="D65" s="239" t="s">
        <v>138</v>
      </c>
      <c r="E65" s="83">
        <f>HLOOKUP($E$6, CurrConsumption_Ref!$B$5:$F$102, (B65+1), FALSE)</f>
        <v>9.7579631805419922</v>
      </c>
      <c r="F65" s="255">
        <f t="shared" si="0"/>
        <v>0.80902482064298231</v>
      </c>
      <c r="G65" s="256">
        <f>Calculation_TFP!$H57</f>
        <v>3.2321175668190011E-2</v>
      </c>
      <c r="H65" s="257">
        <f t="shared" si="1"/>
        <v>0.67471179797931546</v>
      </c>
      <c r="I65" s="240"/>
      <c r="J65" s="261">
        <f>'Distance Function'!$C59</f>
        <v>0</v>
      </c>
      <c r="K65" s="241"/>
      <c r="L65" s="263">
        <f>HLOOKUP($E$6,CurrConsumption_Ref!$B$5:$F$102,(B65+1),FALSE)</f>
        <v>9.7579631805419922</v>
      </c>
      <c r="M65" s="264">
        <f t="shared" si="2"/>
        <v>0.80902482064298231</v>
      </c>
      <c r="N65" s="265">
        <f>CurrConsumption_Ref!$L59</f>
        <v>3.2321175668190011E-2</v>
      </c>
      <c r="O65" s="263">
        <f t="shared" si="3"/>
        <v>0.67471179797931546</v>
      </c>
      <c r="P65" s="241"/>
      <c r="Q65" s="269">
        <f>HLOOKUP($E$6,TFPConsumption_Ref!$B$5:$F$102,(B65+1),FALSE)</f>
        <v>0</v>
      </c>
      <c r="R65" s="264">
        <f t="shared" si="4"/>
        <v>0</v>
      </c>
      <c r="S65" s="270">
        <f>TFPConsumption_Ref!$L59</f>
        <v>0</v>
      </c>
      <c r="T65" s="271">
        <f t="shared" si="5"/>
        <v>0</v>
      </c>
      <c r="V65" s="136"/>
      <c r="W65" s="136"/>
    </row>
    <row r="66" spans="2:23" ht="14.5" x14ac:dyDescent="0.35">
      <c r="B66" s="237">
        <v>55</v>
      </c>
      <c r="C66" s="238" t="s">
        <v>142</v>
      </c>
      <c r="D66" s="239" t="s">
        <v>140</v>
      </c>
      <c r="E66" s="83">
        <f>HLOOKUP($E$6, CurrConsumption_Ref!$B$5:$F$102, (B66+1), FALSE)</f>
        <v>3.3189339637756352</v>
      </c>
      <c r="F66" s="255">
        <f t="shared" si="0"/>
        <v>0.27517012567989069</v>
      </c>
      <c r="G66" s="256">
        <f>Calculation_TFP!$H58</f>
        <v>1.4246980003249773E-2</v>
      </c>
      <c r="H66" s="257">
        <f t="shared" si="1"/>
        <v>0.29740890592753355</v>
      </c>
      <c r="I66" s="240"/>
      <c r="J66" s="261">
        <f>'Distance Function'!$C60</f>
        <v>0</v>
      </c>
      <c r="K66" s="241"/>
      <c r="L66" s="263">
        <f>HLOOKUP($E$6,CurrConsumption_Ref!$B$5:$F$102,(B66+1),FALSE)</f>
        <v>3.3189339637756352</v>
      </c>
      <c r="M66" s="264">
        <f t="shared" si="2"/>
        <v>0.27517012567989069</v>
      </c>
      <c r="N66" s="265">
        <f>CurrConsumption_Ref!$L60</f>
        <v>1.4246980003249773E-2</v>
      </c>
      <c r="O66" s="263">
        <f t="shared" si="3"/>
        <v>0.29740890592753355</v>
      </c>
      <c r="P66" s="241"/>
      <c r="Q66" s="269">
        <f>HLOOKUP($E$6,TFPConsumption_Ref!$B$5:$F$102,(B66+1),FALSE)</f>
        <v>0</v>
      </c>
      <c r="R66" s="264">
        <f t="shared" si="4"/>
        <v>0</v>
      </c>
      <c r="S66" s="270">
        <f>TFPConsumption_Ref!$L60</f>
        <v>0</v>
      </c>
      <c r="T66" s="271">
        <f t="shared" si="5"/>
        <v>0</v>
      </c>
      <c r="V66" s="136"/>
      <c r="W66" s="136"/>
    </row>
    <row r="67" spans="2:23" ht="14.5" x14ac:dyDescent="0.35">
      <c r="B67" s="237">
        <v>56</v>
      </c>
      <c r="C67" s="238" t="s">
        <v>143</v>
      </c>
      <c r="D67" s="239" t="s">
        <v>144</v>
      </c>
      <c r="E67" s="83">
        <f>HLOOKUP($E$6, CurrConsumption_Ref!$B$5:$F$102, (B67+1), FALSE)</f>
        <v>5.929084300994873</v>
      </c>
      <c r="F67" s="255">
        <f t="shared" si="0"/>
        <v>0.49157557519325146</v>
      </c>
      <c r="G67" s="256">
        <f>Calculation_TFP!$H59</f>
        <v>1.327160206962401E-2</v>
      </c>
      <c r="H67" s="257">
        <f t="shared" si="1"/>
        <v>0.27704767259672747</v>
      </c>
      <c r="I67" s="240"/>
      <c r="J67" s="261">
        <f>'Distance Function'!$C61</f>
        <v>0</v>
      </c>
      <c r="K67" s="241"/>
      <c r="L67" s="263">
        <f>HLOOKUP($E$6,CurrConsumption_Ref!$B$5:$F$102,(B67+1),FALSE)</f>
        <v>5.929084300994873</v>
      </c>
      <c r="M67" s="264">
        <f t="shared" si="2"/>
        <v>0.49157557519325146</v>
      </c>
      <c r="N67" s="265">
        <f>CurrConsumption_Ref!$L61</f>
        <v>1.327160206962401E-2</v>
      </c>
      <c r="O67" s="263">
        <f t="shared" si="3"/>
        <v>0.27704767259672747</v>
      </c>
      <c r="P67" s="241"/>
      <c r="Q67" s="269">
        <f>HLOOKUP($E$6,TFPConsumption_Ref!$B$5:$F$102,(B67+1),FALSE)</f>
        <v>0</v>
      </c>
      <c r="R67" s="264">
        <f t="shared" si="4"/>
        <v>0</v>
      </c>
      <c r="S67" s="270">
        <f>TFPConsumption_Ref!$L61</f>
        <v>0</v>
      </c>
      <c r="T67" s="271">
        <f t="shared" si="5"/>
        <v>0</v>
      </c>
      <c r="V67" s="136"/>
      <c r="W67" s="136"/>
    </row>
    <row r="68" spans="2:23" ht="14.5" x14ac:dyDescent="0.35">
      <c r="B68" s="237">
        <v>57</v>
      </c>
      <c r="C68" s="238" t="s">
        <v>145</v>
      </c>
      <c r="D68" s="239" t="s">
        <v>144</v>
      </c>
      <c r="E68" s="83">
        <f>HLOOKUP($E$6, CurrConsumption_Ref!$B$5:$F$102, (B68+1), FALSE)</f>
        <v>10.924485206604</v>
      </c>
      <c r="F68" s="255">
        <f t="shared" si="0"/>
        <v>0.90574021661750204</v>
      </c>
      <c r="G68" s="256">
        <f>Calculation_TFP!$H60</f>
        <v>4.3250919298471358E-2</v>
      </c>
      <c r="H68" s="257">
        <f t="shared" si="1"/>
        <v>0.90287264992189786</v>
      </c>
      <c r="I68" s="240"/>
      <c r="J68" s="261">
        <f>'Distance Function'!$C62</f>
        <v>0</v>
      </c>
      <c r="K68" s="241"/>
      <c r="L68" s="263">
        <f>HLOOKUP($E$6,CurrConsumption_Ref!$B$5:$F$102,(B68+1),FALSE)</f>
        <v>10.924485206604</v>
      </c>
      <c r="M68" s="264">
        <f t="shared" si="2"/>
        <v>0.90574021661750204</v>
      </c>
      <c r="N68" s="265">
        <f>CurrConsumption_Ref!$L62</f>
        <v>4.3250919298471358E-2</v>
      </c>
      <c r="O68" s="263">
        <f t="shared" si="3"/>
        <v>0.90287264992189786</v>
      </c>
      <c r="P68" s="241"/>
      <c r="Q68" s="269">
        <f>HLOOKUP($E$6,TFPConsumption_Ref!$B$5:$F$102,(B68+1),FALSE)</f>
        <v>0</v>
      </c>
      <c r="R68" s="264">
        <f t="shared" si="4"/>
        <v>0</v>
      </c>
      <c r="S68" s="270">
        <f>TFPConsumption_Ref!$L62</f>
        <v>0</v>
      </c>
      <c r="T68" s="271">
        <f t="shared" si="5"/>
        <v>0</v>
      </c>
      <c r="V68" s="136"/>
      <c r="W68" s="136"/>
    </row>
    <row r="69" spans="2:23" ht="14.5" x14ac:dyDescent="0.35">
      <c r="B69" s="237">
        <v>58</v>
      </c>
      <c r="C69" s="238" t="s">
        <v>146</v>
      </c>
      <c r="D69" s="239" t="s">
        <v>147</v>
      </c>
      <c r="E69" s="83">
        <f>HLOOKUP($E$6, CurrConsumption_Ref!$B$5:$F$102, (B69+1), FALSE)</f>
        <v>8.4221601486206055</v>
      </c>
      <c r="F69" s="255">
        <f t="shared" si="0"/>
        <v>0.6982744736372124</v>
      </c>
      <c r="G69" s="256">
        <f>Calculation_TFP!$H61</f>
        <v>5.0006369417619649E-2</v>
      </c>
      <c r="H69" s="257">
        <f t="shared" si="1"/>
        <v>1.0438941877162677</v>
      </c>
      <c r="I69" s="240"/>
      <c r="J69" s="261">
        <f>'Distance Function'!$C63</f>
        <v>0</v>
      </c>
      <c r="K69" s="241"/>
      <c r="L69" s="263">
        <f>HLOOKUP($E$6,CurrConsumption_Ref!$B$5:$F$102,(B69+1),FALSE)</f>
        <v>8.4221601486206055</v>
      </c>
      <c r="M69" s="264">
        <f t="shared" si="2"/>
        <v>0.6982744736372124</v>
      </c>
      <c r="N69" s="265">
        <f>CurrConsumption_Ref!$L63</f>
        <v>5.0006369417619649E-2</v>
      </c>
      <c r="O69" s="263">
        <f t="shared" si="3"/>
        <v>1.0438941877162677</v>
      </c>
      <c r="P69" s="241"/>
      <c r="Q69" s="269">
        <f>HLOOKUP($E$6,TFPConsumption_Ref!$B$5:$F$102,(B69+1),FALSE)</f>
        <v>0</v>
      </c>
      <c r="R69" s="264">
        <f t="shared" si="4"/>
        <v>0</v>
      </c>
      <c r="S69" s="270">
        <f>TFPConsumption_Ref!$L63</f>
        <v>0</v>
      </c>
      <c r="T69" s="271">
        <f t="shared" si="5"/>
        <v>0</v>
      </c>
      <c r="V69" s="136"/>
      <c r="W69" s="136"/>
    </row>
    <row r="70" spans="2:23" ht="14.5" x14ac:dyDescent="0.35">
      <c r="B70" s="237">
        <v>59</v>
      </c>
      <c r="C70" s="238" t="s">
        <v>148</v>
      </c>
      <c r="D70" s="239" t="s">
        <v>147</v>
      </c>
      <c r="E70" s="83">
        <f>HLOOKUP($E$6, CurrConsumption_Ref!$B$5:$F$102, (B70+1), FALSE)</f>
        <v>4.9287090301513672</v>
      </c>
      <c r="F70" s="255">
        <f t="shared" si="0"/>
        <v>0.40863527206895855</v>
      </c>
      <c r="G70" s="256">
        <f>Calculation_TFP!$H62</f>
        <v>8.0731267319584885E-3</v>
      </c>
      <c r="H70" s="257">
        <f t="shared" si="1"/>
        <v>0.16852833289710659</v>
      </c>
      <c r="I70" s="240"/>
      <c r="J70" s="261">
        <f>'Distance Function'!$C64</f>
        <v>0</v>
      </c>
      <c r="K70" s="241"/>
      <c r="L70" s="263">
        <f>HLOOKUP($E$6,CurrConsumption_Ref!$B$5:$F$102,(B70+1),FALSE)</f>
        <v>4.9287090301513672</v>
      </c>
      <c r="M70" s="264">
        <f t="shared" si="2"/>
        <v>0.40863527206895855</v>
      </c>
      <c r="N70" s="265">
        <f>CurrConsumption_Ref!$L64</f>
        <v>8.0731267319584885E-3</v>
      </c>
      <c r="O70" s="263">
        <f t="shared" si="3"/>
        <v>0.16852833289710659</v>
      </c>
      <c r="P70" s="241"/>
      <c r="Q70" s="269">
        <f>HLOOKUP($E$6,TFPConsumption_Ref!$B$5:$F$102,(B70+1),FALSE)</f>
        <v>0</v>
      </c>
      <c r="R70" s="264">
        <f t="shared" si="4"/>
        <v>0</v>
      </c>
      <c r="S70" s="270">
        <f>TFPConsumption_Ref!$L64</f>
        <v>0</v>
      </c>
      <c r="T70" s="271">
        <f t="shared" si="5"/>
        <v>0</v>
      </c>
      <c r="V70" s="136"/>
      <c r="W70" s="136"/>
    </row>
    <row r="71" spans="2:23" ht="14.5" x14ac:dyDescent="0.35">
      <c r="B71" s="237">
        <v>60</v>
      </c>
      <c r="C71" s="238" t="s">
        <v>149</v>
      </c>
      <c r="D71" s="239" t="s">
        <v>150</v>
      </c>
      <c r="E71" s="83">
        <f>HLOOKUP($E$6, CurrConsumption_Ref!$B$5:$F$102, (B71+1), FALSE)</f>
        <v>4.4671025276184082</v>
      </c>
      <c r="F71" s="255">
        <f t="shared" si="0"/>
        <v>0.37036385097320701</v>
      </c>
      <c r="G71" s="256">
        <f>Calculation_TFP!$H63</f>
        <v>8.8952147470926172E-3</v>
      </c>
      <c r="H71" s="257">
        <f t="shared" si="1"/>
        <v>0.18568960476675253</v>
      </c>
      <c r="I71" s="240"/>
      <c r="J71" s="261">
        <f>'Distance Function'!$C65</f>
        <v>0</v>
      </c>
      <c r="K71" s="241"/>
      <c r="L71" s="263">
        <f>HLOOKUP($E$6,CurrConsumption_Ref!$B$5:$F$102,(B71+1),FALSE)</f>
        <v>4.4671025276184082</v>
      </c>
      <c r="M71" s="264">
        <f t="shared" si="2"/>
        <v>0.37036385097320701</v>
      </c>
      <c r="N71" s="265">
        <f>CurrConsumption_Ref!$L65</f>
        <v>8.8952147470926172E-3</v>
      </c>
      <c r="O71" s="263">
        <f t="shared" si="3"/>
        <v>0.18568960476675253</v>
      </c>
      <c r="P71" s="241"/>
      <c r="Q71" s="269">
        <f>HLOOKUP($E$6,TFPConsumption_Ref!$B$5:$F$102,(B71+1),FALSE)</f>
        <v>20.270514299999999</v>
      </c>
      <c r="R71" s="264">
        <f t="shared" si="4"/>
        <v>0.93088754779725214</v>
      </c>
      <c r="S71" s="270">
        <f>TFPConsumption_Ref!$L65</f>
        <v>4.0364101029183808E-2</v>
      </c>
      <c r="T71" s="271">
        <f t="shared" si="5"/>
        <v>0.5926226693010973</v>
      </c>
      <c r="V71" s="136"/>
      <c r="W71" s="136"/>
    </row>
    <row r="72" spans="2:23" ht="14.5" x14ac:dyDescent="0.35">
      <c r="B72" s="237">
        <v>61</v>
      </c>
      <c r="C72" s="238" t="s">
        <v>151</v>
      </c>
      <c r="D72" s="239" t="s">
        <v>152</v>
      </c>
      <c r="E72" s="83">
        <f>HLOOKUP($E$6, CurrConsumption_Ref!$B$5:$F$102, (B72+1), FALSE)</f>
        <v>5.3483219146728516</v>
      </c>
      <c r="F72" s="255">
        <f t="shared" si="0"/>
        <v>0.44342503632185282</v>
      </c>
      <c r="G72" s="256">
        <f>Calculation_TFP!$H64</f>
        <v>3.5052297353492454E-2</v>
      </c>
      <c r="H72" s="257">
        <f t="shared" si="1"/>
        <v>0.73172457628008392</v>
      </c>
      <c r="I72" s="240"/>
      <c r="J72" s="261">
        <f>'Distance Function'!$C66</f>
        <v>0</v>
      </c>
      <c r="K72" s="241"/>
      <c r="L72" s="263">
        <f>HLOOKUP($E$6,CurrConsumption_Ref!$B$5:$F$102,(B72+1),FALSE)</f>
        <v>5.3483219146728516</v>
      </c>
      <c r="M72" s="264">
        <f t="shared" si="2"/>
        <v>0.44342503632185282</v>
      </c>
      <c r="N72" s="265">
        <f>CurrConsumption_Ref!$L66</f>
        <v>3.5052297353492454E-2</v>
      </c>
      <c r="O72" s="263">
        <f t="shared" si="3"/>
        <v>0.73172457628008392</v>
      </c>
      <c r="P72" s="241"/>
      <c r="Q72" s="269">
        <f>HLOOKUP($E$6,TFPConsumption_Ref!$B$5:$F$102,(B72+1),FALSE)</f>
        <v>0</v>
      </c>
      <c r="R72" s="264">
        <f t="shared" si="4"/>
        <v>0</v>
      </c>
      <c r="S72" s="270">
        <f>TFPConsumption_Ref!$L66</f>
        <v>0</v>
      </c>
      <c r="T72" s="271">
        <f t="shared" si="5"/>
        <v>0</v>
      </c>
      <c r="V72" s="136"/>
      <c r="W72" s="136"/>
    </row>
    <row r="73" spans="2:23" ht="14.5" customHeight="1" x14ac:dyDescent="0.35">
      <c r="B73" s="237">
        <v>62</v>
      </c>
      <c r="C73" s="238" t="s">
        <v>153</v>
      </c>
      <c r="D73" s="239" t="s">
        <v>152</v>
      </c>
      <c r="E73" s="83">
        <f>HLOOKUP($E$6, CurrConsumption_Ref!$B$5:$F$102, (B73+1), FALSE)</f>
        <v>1.7716859579086299</v>
      </c>
      <c r="F73" s="255">
        <f t="shared" si="0"/>
        <v>0.14688904721334547</v>
      </c>
      <c r="G73" s="256">
        <f>Calculation_TFP!$H65</f>
        <v>1.1750906751634031E-2</v>
      </c>
      <c r="H73" s="257">
        <f t="shared" si="1"/>
        <v>0.24530281644690774</v>
      </c>
      <c r="I73" s="240"/>
      <c r="J73" s="261">
        <f>'Distance Function'!$C67</f>
        <v>0</v>
      </c>
      <c r="K73" s="241"/>
      <c r="L73" s="263">
        <f>HLOOKUP($E$6,CurrConsumption_Ref!$B$5:$F$102,(B73+1),FALSE)</f>
        <v>1.7716859579086299</v>
      </c>
      <c r="M73" s="264">
        <f t="shared" si="2"/>
        <v>0.14688904721334547</v>
      </c>
      <c r="N73" s="265">
        <f>CurrConsumption_Ref!$L67</f>
        <v>1.1750906751634031E-2</v>
      </c>
      <c r="O73" s="263">
        <f t="shared" si="3"/>
        <v>0.24530281644690774</v>
      </c>
      <c r="P73" s="241"/>
      <c r="Q73" s="269">
        <f>HLOOKUP($E$6,TFPConsumption_Ref!$B$5:$F$102,(B73+1),FALSE)</f>
        <v>0</v>
      </c>
      <c r="R73" s="264">
        <f t="shared" si="4"/>
        <v>0</v>
      </c>
      <c r="S73" s="270">
        <f>TFPConsumption_Ref!$L67</f>
        <v>0</v>
      </c>
      <c r="T73" s="271">
        <f t="shared" si="5"/>
        <v>0</v>
      </c>
      <c r="V73" s="136"/>
      <c r="W73" s="136"/>
    </row>
    <row r="74" spans="2:23" ht="14.5" x14ac:dyDescent="0.35">
      <c r="B74" s="237">
        <v>63</v>
      </c>
      <c r="C74" s="238" t="s">
        <v>154</v>
      </c>
      <c r="D74" s="239" t="s">
        <v>150</v>
      </c>
      <c r="E74" s="83">
        <f>HLOOKUP($E$6, CurrConsumption_Ref!$B$5:$F$102, (B74+1), FALSE)</f>
        <v>4.1999640464782706</v>
      </c>
      <c r="F74" s="255">
        <f t="shared" si="0"/>
        <v>0.34821561595811706</v>
      </c>
      <c r="G74" s="256">
        <f>Calculation_TFP!$H66</f>
        <v>3.3135983968788446E-2</v>
      </c>
      <c r="H74" s="257">
        <f t="shared" si="1"/>
        <v>0.69172110417377752</v>
      </c>
      <c r="I74" s="240"/>
      <c r="J74" s="261">
        <f>'Distance Function'!$C68</f>
        <v>0</v>
      </c>
      <c r="K74" s="241"/>
      <c r="L74" s="263">
        <f>HLOOKUP($E$6,CurrConsumption_Ref!$B$5:$F$102,(B74+1),FALSE)</f>
        <v>4.1999640464782706</v>
      </c>
      <c r="M74" s="264">
        <f t="shared" si="2"/>
        <v>0.34821561595811706</v>
      </c>
      <c r="N74" s="265">
        <f>CurrConsumption_Ref!$L68</f>
        <v>3.3135983968788446E-2</v>
      </c>
      <c r="O74" s="263">
        <f t="shared" si="3"/>
        <v>0.69172110417377752</v>
      </c>
      <c r="P74" s="241"/>
      <c r="Q74" s="269">
        <f>HLOOKUP($E$6,TFPConsumption_Ref!$B$5:$F$102,(B74+1),FALSE)</f>
        <v>0</v>
      </c>
      <c r="R74" s="264">
        <f t="shared" si="4"/>
        <v>0</v>
      </c>
      <c r="S74" s="270">
        <f>TFPConsumption_Ref!$L68</f>
        <v>0</v>
      </c>
      <c r="T74" s="271">
        <f t="shared" si="5"/>
        <v>0</v>
      </c>
      <c r="V74" s="136"/>
      <c r="W74" s="136"/>
    </row>
    <row r="75" spans="2:23" ht="14.5" x14ac:dyDescent="0.35">
      <c r="B75" s="237">
        <v>64</v>
      </c>
      <c r="C75" s="238" t="s">
        <v>155</v>
      </c>
      <c r="D75" s="239" t="s">
        <v>156</v>
      </c>
      <c r="E75" s="83">
        <f>HLOOKUP($E$6, CurrConsumption_Ref!$B$5:$F$102, (B75+1), FALSE)</f>
        <v>4.3306179046630859</v>
      </c>
      <c r="F75" s="255">
        <f t="shared" si="0"/>
        <v>0.35904802147436876</v>
      </c>
      <c r="G75" s="256">
        <f>Calculation_TFP!$H67</f>
        <v>2.0951005660481862E-2</v>
      </c>
      <c r="H75" s="257">
        <f t="shared" si="1"/>
        <v>0.43735694653492607</v>
      </c>
      <c r="I75" s="240"/>
      <c r="J75" s="261">
        <f>'Distance Function'!$C69</f>
        <v>0</v>
      </c>
      <c r="K75" s="241"/>
      <c r="L75" s="263">
        <f>HLOOKUP($E$6,CurrConsumption_Ref!$B$5:$F$102,(B75+1),FALSE)</f>
        <v>4.3306179046630859</v>
      </c>
      <c r="M75" s="264">
        <f t="shared" si="2"/>
        <v>0.35904802147436876</v>
      </c>
      <c r="N75" s="265">
        <f>CurrConsumption_Ref!$L69</f>
        <v>2.0951005660481862E-2</v>
      </c>
      <c r="O75" s="263">
        <f t="shared" si="3"/>
        <v>0.43735694653492607</v>
      </c>
      <c r="P75" s="241"/>
      <c r="Q75" s="269">
        <f>HLOOKUP($E$6,TFPConsumption_Ref!$B$5:$F$102,(B75+1),FALSE)</f>
        <v>0</v>
      </c>
      <c r="R75" s="264">
        <f t="shared" si="4"/>
        <v>0</v>
      </c>
      <c r="S75" s="270">
        <f>TFPConsumption_Ref!$L69</f>
        <v>0</v>
      </c>
      <c r="T75" s="271">
        <f t="shared" si="5"/>
        <v>0</v>
      </c>
      <c r="V75" s="136"/>
      <c r="W75" s="136"/>
    </row>
    <row r="76" spans="2:23" ht="14.5" x14ac:dyDescent="0.35">
      <c r="B76" s="237">
        <v>65</v>
      </c>
      <c r="C76" s="238" t="s">
        <v>157</v>
      </c>
      <c r="D76" s="239" t="s">
        <v>156</v>
      </c>
      <c r="E76" s="83">
        <f>HLOOKUP($E$6, CurrConsumption_Ref!$B$5:$F$102, (B76+1), FALSE)</f>
        <v>4.8419322967529297</v>
      </c>
      <c r="F76" s="255">
        <f t="shared" si="0"/>
        <v>0.40144068341610861</v>
      </c>
      <c r="G76" s="256">
        <f>Calculation_TFP!$H68</f>
        <v>1.5106640542651012E-2</v>
      </c>
      <c r="H76" s="257">
        <f t="shared" si="1"/>
        <v>0.3153545126760568</v>
      </c>
      <c r="I76" s="240"/>
      <c r="J76" s="261">
        <f>'Distance Function'!$C70</f>
        <v>0</v>
      </c>
      <c r="K76" s="241"/>
      <c r="L76" s="263">
        <f>HLOOKUP($E$6,CurrConsumption_Ref!$B$5:$F$102,(B76+1),FALSE)</f>
        <v>4.8419322967529297</v>
      </c>
      <c r="M76" s="264">
        <f t="shared" si="2"/>
        <v>0.40144068341610861</v>
      </c>
      <c r="N76" s="265">
        <f>CurrConsumption_Ref!$L70</f>
        <v>1.5106640542651012E-2</v>
      </c>
      <c r="O76" s="263">
        <f t="shared" si="3"/>
        <v>0.3153545126760568</v>
      </c>
      <c r="P76" s="241"/>
      <c r="Q76" s="269">
        <f>HLOOKUP($E$6,TFPConsumption_Ref!$B$5:$F$102,(B76+1),FALSE)</f>
        <v>21.806631249999999</v>
      </c>
      <c r="R76" s="264">
        <f t="shared" si="4"/>
        <v>1.0014310041473111</v>
      </c>
      <c r="S76" s="270">
        <f>TFPConsumption_Ref!$L70</f>
        <v>6.8035841798285299E-2</v>
      </c>
      <c r="T76" s="271">
        <f t="shared" si="5"/>
        <v>0.9988970681025543</v>
      </c>
      <c r="V76" s="136"/>
      <c r="W76" s="136"/>
    </row>
    <row r="77" spans="2:23" ht="14.5" x14ac:dyDescent="0.35">
      <c r="B77" s="237">
        <v>66</v>
      </c>
      <c r="C77" s="238" t="s">
        <v>158</v>
      </c>
      <c r="D77" s="239" t="s">
        <v>159</v>
      </c>
      <c r="E77" s="83">
        <f>HLOOKUP($E$6, CurrConsumption_Ref!$B$5:$F$102, (B77+1), FALSE)</f>
        <v>4.1951761245727539</v>
      </c>
      <c r="F77" s="255">
        <f t="shared" ref="F77:F108" si="6">100*E77/E$11</f>
        <v>0.34781865323247496</v>
      </c>
      <c r="G77" s="256">
        <f>Calculation_TFP!$H69</f>
        <v>2.4991851075079039E-2</v>
      </c>
      <c r="H77" s="257">
        <f t="shared" ref="H77:H108" si="7">100*G77/G$11</f>
        <v>0.52171050170967248</v>
      </c>
      <c r="I77" s="240"/>
      <c r="J77" s="261">
        <f>'Distance Function'!$C71</f>
        <v>0</v>
      </c>
      <c r="K77" s="241"/>
      <c r="L77" s="263">
        <f>HLOOKUP($E$6,CurrConsumption_Ref!$B$5:$F$102,(B77+1),FALSE)</f>
        <v>4.1951761245727539</v>
      </c>
      <c r="M77" s="264">
        <f t="shared" ref="M77:M108" si="8">100*L77/L$11</f>
        <v>0.34781865323247496</v>
      </c>
      <c r="N77" s="265">
        <f>CurrConsumption_Ref!$L71</f>
        <v>2.4991851075079039E-2</v>
      </c>
      <c r="O77" s="263">
        <f t="shared" ref="O77:O108" si="9">100*N77/N$11</f>
        <v>0.52171050170967248</v>
      </c>
      <c r="P77" s="241"/>
      <c r="Q77" s="269">
        <f>HLOOKUP($E$6,TFPConsumption_Ref!$B$5:$F$102,(B77+1),FALSE)</f>
        <v>0</v>
      </c>
      <c r="R77" s="264">
        <f t="shared" ref="R77:R108" si="10">100*Q77/Q$11</f>
        <v>0</v>
      </c>
      <c r="S77" s="270">
        <f>TFPConsumption_Ref!$L71</f>
        <v>0</v>
      </c>
      <c r="T77" s="271">
        <f t="shared" ref="T77:T108" si="11">100*S77/S$11</f>
        <v>0</v>
      </c>
      <c r="V77" s="136"/>
      <c r="W77" s="136"/>
    </row>
    <row r="78" spans="2:23" ht="14.5" x14ac:dyDescent="0.35">
      <c r="B78" s="237">
        <v>67</v>
      </c>
      <c r="C78" s="238" t="s">
        <v>160</v>
      </c>
      <c r="D78" s="239" t="s">
        <v>159</v>
      </c>
      <c r="E78" s="83">
        <f>HLOOKUP($E$6, CurrConsumption_Ref!$B$5:$F$102, (B78+1), FALSE)</f>
        <v>5.4028997421264648</v>
      </c>
      <c r="F78" s="255">
        <f t="shared" si="6"/>
        <v>0.44795003977285891</v>
      </c>
      <c r="G78" s="256">
        <f>Calculation_TFP!$H70</f>
        <v>1.4441509453986801E-2</v>
      </c>
      <c r="H78" s="257">
        <f t="shared" si="7"/>
        <v>0.30146975188233843</v>
      </c>
      <c r="I78" s="240"/>
      <c r="J78" s="261">
        <f>'Distance Function'!$C72</f>
        <v>0</v>
      </c>
      <c r="K78" s="241"/>
      <c r="L78" s="263">
        <f>HLOOKUP($E$6,CurrConsumption_Ref!$B$5:$F$102,(B78+1),FALSE)</f>
        <v>5.4028997421264648</v>
      </c>
      <c r="M78" s="264">
        <f t="shared" si="8"/>
        <v>0.44795003977285891</v>
      </c>
      <c r="N78" s="265">
        <f>CurrConsumption_Ref!$L72</f>
        <v>1.4441509453986801E-2</v>
      </c>
      <c r="O78" s="263">
        <f t="shared" si="9"/>
        <v>0.30146975188233843</v>
      </c>
      <c r="P78" s="241"/>
      <c r="Q78" s="269">
        <f>HLOOKUP($E$6,TFPConsumption_Ref!$B$5:$F$102,(B78+1),FALSE)</f>
        <v>0</v>
      </c>
      <c r="R78" s="264">
        <f t="shared" si="10"/>
        <v>0</v>
      </c>
      <c r="S78" s="270">
        <f>TFPConsumption_Ref!$L72</f>
        <v>0</v>
      </c>
      <c r="T78" s="271">
        <f t="shared" si="11"/>
        <v>0</v>
      </c>
      <c r="V78" s="136"/>
      <c r="W78" s="136"/>
    </row>
    <row r="79" spans="2:23" ht="14.5" x14ac:dyDescent="0.35">
      <c r="B79" s="237">
        <v>68</v>
      </c>
      <c r="C79" s="238" t="s">
        <v>161</v>
      </c>
      <c r="D79" s="239" t="s">
        <v>162</v>
      </c>
      <c r="E79" s="83">
        <f>HLOOKUP($E$6, CurrConsumption_Ref!$B$5:$F$102, (B79+1), FALSE)</f>
        <v>5.9885573387145996</v>
      </c>
      <c r="F79" s="255">
        <f t="shared" si="6"/>
        <v>0.4965064365609434</v>
      </c>
      <c r="G79" s="256">
        <f>Calculation_TFP!$H71</f>
        <v>1.3163211845516559E-2</v>
      </c>
      <c r="H79" s="257">
        <f t="shared" si="7"/>
        <v>0.27478500233554337</v>
      </c>
      <c r="I79" s="240"/>
      <c r="J79" s="261">
        <f>'Distance Function'!$C73</f>
        <v>0</v>
      </c>
      <c r="K79" s="241"/>
      <c r="L79" s="263">
        <f>HLOOKUP($E$6,CurrConsumption_Ref!$B$5:$F$102,(B79+1),FALSE)</f>
        <v>5.9885573387145996</v>
      </c>
      <c r="M79" s="264">
        <f t="shared" si="8"/>
        <v>0.4965064365609434</v>
      </c>
      <c r="N79" s="265">
        <f>CurrConsumption_Ref!$L73</f>
        <v>1.3163211845516559E-2</v>
      </c>
      <c r="O79" s="263">
        <f t="shared" si="9"/>
        <v>0.27478500233554337</v>
      </c>
      <c r="P79" s="241"/>
      <c r="Q79" s="269">
        <f>HLOOKUP($E$6,TFPConsumption_Ref!$B$5:$F$102,(B79+1),FALSE)</f>
        <v>0</v>
      </c>
      <c r="R79" s="264">
        <f t="shared" si="10"/>
        <v>0</v>
      </c>
      <c r="S79" s="270">
        <f>TFPConsumption_Ref!$L73</f>
        <v>0</v>
      </c>
      <c r="T79" s="271">
        <f t="shared" si="11"/>
        <v>0</v>
      </c>
      <c r="V79" s="136"/>
      <c r="W79" s="136"/>
    </row>
    <row r="80" spans="2:23" ht="14.5" x14ac:dyDescent="0.35">
      <c r="B80" s="237">
        <v>69</v>
      </c>
      <c r="C80" s="238" t="s">
        <v>163</v>
      </c>
      <c r="D80" s="239" t="s">
        <v>164</v>
      </c>
      <c r="E80" s="83">
        <f>HLOOKUP($E$6, CurrConsumption_Ref!$B$5:$F$102, (B80+1), FALSE)</f>
        <v>25.707389831542969</v>
      </c>
      <c r="F80" s="255">
        <f t="shared" si="6"/>
        <v>2.1313788608196087</v>
      </c>
      <c r="G80" s="256">
        <f>Calculation_TFP!$H72</f>
        <v>6.9344638554400387E-2</v>
      </c>
      <c r="H80" s="257">
        <f t="shared" si="7"/>
        <v>1.4475848972694674</v>
      </c>
      <c r="I80" s="240"/>
      <c r="J80" s="261">
        <f>'Distance Function'!$C74</f>
        <v>0</v>
      </c>
      <c r="K80" s="241"/>
      <c r="L80" s="263">
        <f>HLOOKUP($E$6,CurrConsumption_Ref!$B$5:$F$102,(B80+1),FALSE)</f>
        <v>25.707389831542969</v>
      </c>
      <c r="M80" s="264">
        <f t="shared" si="8"/>
        <v>2.1313788608196087</v>
      </c>
      <c r="N80" s="265">
        <f>CurrConsumption_Ref!$L74</f>
        <v>6.9344638554400387E-2</v>
      </c>
      <c r="O80" s="263">
        <f t="shared" si="9"/>
        <v>1.4475848972694674</v>
      </c>
      <c r="P80" s="241"/>
      <c r="Q80" s="269">
        <f>HLOOKUP($E$6,TFPConsumption_Ref!$B$5:$F$102,(B80+1),FALSE)</f>
        <v>0</v>
      </c>
      <c r="R80" s="264">
        <f t="shared" si="10"/>
        <v>0</v>
      </c>
      <c r="S80" s="270">
        <f>TFPConsumption_Ref!$L74</f>
        <v>0</v>
      </c>
      <c r="T80" s="271">
        <f t="shared" si="11"/>
        <v>0</v>
      </c>
      <c r="V80" s="136"/>
      <c r="W80" s="136"/>
    </row>
    <row r="81" spans="2:23" ht="14.5" x14ac:dyDescent="0.35">
      <c r="B81" s="237">
        <v>70</v>
      </c>
      <c r="C81" s="238" t="s">
        <v>165</v>
      </c>
      <c r="D81" s="239" t="s">
        <v>166</v>
      </c>
      <c r="E81" s="83">
        <f>HLOOKUP($E$6, CurrConsumption_Ref!$B$5:$F$102, (B81+1), FALSE)</f>
        <v>18.79734992980957</v>
      </c>
      <c r="F81" s="255">
        <f t="shared" si="6"/>
        <v>1.558473051615151</v>
      </c>
      <c r="G81" s="256">
        <f>Calculation_TFP!$H73</f>
        <v>1.8780371517691512E-2</v>
      </c>
      <c r="H81" s="257">
        <f t="shared" si="7"/>
        <v>0.39204447151011579</v>
      </c>
      <c r="I81" s="240"/>
      <c r="J81" s="261">
        <f>'Distance Function'!$C75</f>
        <v>0</v>
      </c>
      <c r="K81" s="241"/>
      <c r="L81" s="263">
        <f>HLOOKUP($E$6,CurrConsumption_Ref!$B$5:$F$102,(B81+1),FALSE)</f>
        <v>18.79734992980957</v>
      </c>
      <c r="M81" s="264">
        <f t="shared" si="8"/>
        <v>1.558473051615151</v>
      </c>
      <c r="N81" s="265">
        <f>CurrConsumption_Ref!$L75</f>
        <v>1.8780371517691512E-2</v>
      </c>
      <c r="O81" s="263">
        <f t="shared" si="9"/>
        <v>0.39204447151011579</v>
      </c>
      <c r="P81" s="241"/>
      <c r="Q81" s="269">
        <f>HLOOKUP($E$6,TFPConsumption_Ref!$B$5:$F$102,(B81+1),FALSE)</f>
        <v>208.70005080000001</v>
      </c>
      <c r="R81" s="264">
        <f t="shared" si="10"/>
        <v>9.5841810246705972</v>
      </c>
      <c r="S81" s="270">
        <f>TFPConsumption_Ref!$L75</f>
        <v>0.2085115457455762</v>
      </c>
      <c r="T81" s="271">
        <f t="shared" si="11"/>
        <v>3.0613506970091908</v>
      </c>
      <c r="V81" s="136"/>
      <c r="W81" s="136"/>
    </row>
    <row r="82" spans="2:23" ht="14.5" x14ac:dyDescent="0.35">
      <c r="B82" s="237">
        <v>71</v>
      </c>
      <c r="C82" s="238" t="s">
        <v>167</v>
      </c>
      <c r="D82" s="239" t="s">
        <v>168</v>
      </c>
      <c r="E82" s="83">
        <f>HLOOKUP($E$6, CurrConsumption_Ref!$B$5:$F$102, (B82+1), FALSE)</f>
        <v>4.3250341415405273</v>
      </c>
      <c r="F82" s="255">
        <f t="shared" si="6"/>
        <v>0.35858507619827373</v>
      </c>
      <c r="G82" s="256">
        <f>Calculation_TFP!$H74</f>
        <v>1.90985915179008E-2</v>
      </c>
      <c r="H82" s="257">
        <f t="shared" si="7"/>
        <v>0.39868738545292443</v>
      </c>
      <c r="I82" s="240"/>
      <c r="J82" s="261">
        <f>'Distance Function'!$C76</f>
        <v>0</v>
      </c>
      <c r="K82" s="241"/>
      <c r="L82" s="263">
        <f>HLOOKUP($E$6,CurrConsumption_Ref!$B$5:$F$102,(B82+1),FALSE)</f>
        <v>4.3250341415405273</v>
      </c>
      <c r="M82" s="264">
        <f t="shared" si="8"/>
        <v>0.35858507619827373</v>
      </c>
      <c r="N82" s="265">
        <f>CurrConsumption_Ref!$L76</f>
        <v>1.90985915179008E-2</v>
      </c>
      <c r="O82" s="263">
        <f t="shared" si="9"/>
        <v>0.39868738545292443</v>
      </c>
      <c r="P82" s="241"/>
      <c r="Q82" s="269">
        <f>HLOOKUP($E$6,TFPConsumption_Ref!$B$5:$F$102,(B82+1),FALSE)</f>
        <v>0</v>
      </c>
      <c r="R82" s="264">
        <f t="shared" si="10"/>
        <v>0</v>
      </c>
      <c r="S82" s="270">
        <f>TFPConsumption_Ref!$L76</f>
        <v>0</v>
      </c>
      <c r="T82" s="271">
        <f t="shared" si="11"/>
        <v>0</v>
      </c>
      <c r="V82" s="136"/>
      <c r="W82" s="136"/>
    </row>
    <row r="83" spans="2:23" ht="14.5" x14ac:dyDescent="0.35">
      <c r="B83" s="237">
        <v>72</v>
      </c>
      <c r="C83" s="238" t="s">
        <v>169</v>
      </c>
      <c r="D83" s="239" t="s">
        <v>170</v>
      </c>
      <c r="E83" s="83">
        <f>HLOOKUP($E$6, CurrConsumption_Ref!$B$5:$F$102, (B83+1), FALSE)</f>
        <v>22.84556770324707</v>
      </c>
      <c r="F83" s="255">
        <f t="shared" si="6"/>
        <v>1.8941075070320135</v>
      </c>
      <c r="G83" s="256">
        <f>Calculation_TFP!$H75</f>
        <v>0.11763634595421514</v>
      </c>
      <c r="H83" s="257">
        <f t="shared" si="7"/>
        <v>2.4556851304329439</v>
      </c>
      <c r="I83" s="240"/>
      <c r="J83" s="261">
        <f>'Distance Function'!$C77</f>
        <v>0</v>
      </c>
      <c r="K83" s="241"/>
      <c r="L83" s="263">
        <f>HLOOKUP($E$6,CurrConsumption_Ref!$B$5:$F$102,(B83+1),FALSE)</f>
        <v>22.84556770324707</v>
      </c>
      <c r="M83" s="264">
        <f t="shared" si="8"/>
        <v>1.8941075070320135</v>
      </c>
      <c r="N83" s="265">
        <f>CurrConsumption_Ref!$L77</f>
        <v>0.11763634595421514</v>
      </c>
      <c r="O83" s="263">
        <f t="shared" si="9"/>
        <v>2.4556851304329439</v>
      </c>
      <c r="P83" s="241"/>
      <c r="Q83" s="269">
        <f>HLOOKUP($E$6,TFPConsumption_Ref!$B$5:$F$102,(B83+1),FALSE)</f>
        <v>0</v>
      </c>
      <c r="R83" s="264">
        <f t="shared" si="10"/>
        <v>0</v>
      </c>
      <c r="S83" s="270">
        <f>TFPConsumption_Ref!$L77</f>
        <v>0</v>
      </c>
      <c r="T83" s="271">
        <f t="shared" si="11"/>
        <v>0</v>
      </c>
      <c r="V83" s="136"/>
      <c r="W83" s="136"/>
    </row>
    <row r="84" spans="2:23" ht="14.5" x14ac:dyDescent="0.35">
      <c r="B84" s="237">
        <v>73</v>
      </c>
      <c r="C84" s="238" t="s">
        <v>171</v>
      </c>
      <c r="D84" s="239" t="s">
        <v>168</v>
      </c>
      <c r="E84" s="83">
        <f>HLOOKUP($E$6, CurrConsumption_Ref!$B$5:$F$102, (B84+1), FALSE)</f>
        <v>5.6817045211791992</v>
      </c>
      <c r="F84" s="255">
        <f t="shared" si="6"/>
        <v>0.47106551809494623</v>
      </c>
      <c r="G84" s="256">
        <f>Calculation_TFP!$H76</f>
        <v>3.5338656474098624E-2</v>
      </c>
      <c r="H84" s="257">
        <f t="shared" si="7"/>
        <v>0.73770238720860537</v>
      </c>
      <c r="I84" s="240"/>
      <c r="J84" s="261">
        <f>'Distance Function'!$C78</f>
        <v>0</v>
      </c>
      <c r="K84" s="241"/>
      <c r="L84" s="263">
        <f>HLOOKUP($E$6,CurrConsumption_Ref!$B$5:$F$102,(B84+1),FALSE)</f>
        <v>5.6817045211791992</v>
      </c>
      <c r="M84" s="264">
        <f t="shared" si="8"/>
        <v>0.47106551809494623</v>
      </c>
      <c r="N84" s="265">
        <f>CurrConsumption_Ref!$L78</f>
        <v>3.5338656474098624E-2</v>
      </c>
      <c r="O84" s="263">
        <f t="shared" si="9"/>
        <v>0.73770238720860537</v>
      </c>
      <c r="P84" s="241"/>
      <c r="Q84" s="269">
        <f>HLOOKUP($E$6,TFPConsumption_Ref!$B$5:$F$102,(B84+1),FALSE)</f>
        <v>0</v>
      </c>
      <c r="R84" s="264">
        <f t="shared" si="10"/>
        <v>0</v>
      </c>
      <c r="S84" s="270">
        <f>TFPConsumption_Ref!$L78</f>
        <v>0</v>
      </c>
      <c r="T84" s="271">
        <f t="shared" si="11"/>
        <v>0</v>
      </c>
      <c r="V84" s="136"/>
      <c r="W84" s="136"/>
    </row>
    <row r="85" spans="2:23" ht="14.5" x14ac:dyDescent="0.35">
      <c r="B85" s="237">
        <v>74</v>
      </c>
      <c r="C85" s="238" t="s">
        <v>172</v>
      </c>
      <c r="D85" s="239" t="s">
        <v>170</v>
      </c>
      <c r="E85" s="83">
        <f>HLOOKUP($E$6, CurrConsumption_Ref!$B$5:$F$102, (B85+1), FALSE)</f>
        <v>5.845707893371582</v>
      </c>
      <c r="F85" s="255">
        <f t="shared" si="6"/>
        <v>0.48466290479521223</v>
      </c>
      <c r="G85" s="256">
        <f>Calculation_TFP!$H77</f>
        <v>1.8775213777072676E-2</v>
      </c>
      <c r="H85" s="257">
        <f t="shared" si="7"/>
        <v>0.39193680251681645</v>
      </c>
      <c r="I85" s="240"/>
      <c r="J85" s="261">
        <f>'Distance Function'!$C79</f>
        <v>0</v>
      </c>
      <c r="K85" s="241"/>
      <c r="L85" s="263">
        <f>HLOOKUP($E$6,CurrConsumption_Ref!$B$5:$F$102,(B85+1),FALSE)</f>
        <v>5.845707893371582</v>
      </c>
      <c r="M85" s="264">
        <f t="shared" si="8"/>
        <v>0.48466290479521223</v>
      </c>
      <c r="N85" s="265">
        <f>CurrConsumption_Ref!$L79</f>
        <v>1.8775213777072676E-2</v>
      </c>
      <c r="O85" s="263">
        <f t="shared" si="9"/>
        <v>0.39193680251681645</v>
      </c>
      <c r="P85" s="241"/>
      <c r="Q85" s="269">
        <f>HLOOKUP($E$6,TFPConsumption_Ref!$B$5:$F$102,(B85+1),FALSE)</f>
        <v>208.3952568</v>
      </c>
      <c r="R85" s="264">
        <f t="shared" si="10"/>
        <v>9.5701838988431902</v>
      </c>
      <c r="S85" s="270">
        <f>TFPConsumption_Ref!$L79</f>
        <v>0.66932278654985644</v>
      </c>
      <c r="T85" s="271">
        <f t="shared" si="11"/>
        <v>9.8269463774861912</v>
      </c>
      <c r="V85" s="136"/>
      <c r="W85" s="136"/>
    </row>
    <row r="86" spans="2:23" ht="14.5" x14ac:dyDescent="0.35">
      <c r="B86" s="237">
        <v>75</v>
      </c>
      <c r="C86" s="238" t="s">
        <v>173</v>
      </c>
      <c r="D86" s="239" t="s">
        <v>174</v>
      </c>
      <c r="E86" s="83">
        <f>HLOOKUP($E$6, CurrConsumption_Ref!$B$5:$F$102, (B86+1), FALSE)</f>
        <v>58.612480163574219</v>
      </c>
      <c r="F86" s="255">
        <f t="shared" si="6"/>
        <v>4.8595132380015977</v>
      </c>
      <c r="G86" s="256">
        <f>Calculation_TFP!$H78</f>
        <v>0.1391151450366957</v>
      </c>
      <c r="H86" s="257">
        <f t="shared" si="7"/>
        <v>2.9040598831384812</v>
      </c>
      <c r="I86" s="240"/>
      <c r="J86" s="261">
        <f>'Distance Function'!$C80</f>
        <v>0</v>
      </c>
      <c r="K86" s="241"/>
      <c r="L86" s="263">
        <f>HLOOKUP($E$6,CurrConsumption_Ref!$B$5:$F$102,(B86+1),FALSE)</f>
        <v>58.612480163574219</v>
      </c>
      <c r="M86" s="264">
        <f t="shared" si="8"/>
        <v>4.8595132380015977</v>
      </c>
      <c r="N86" s="265">
        <f>CurrConsumption_Ref!$L80</f>
        <v>0.1391151450366957</v>
      </c>
      <c r="O86" s="263">
        <f t="shared" si="9"/>
        <v>2.9040598831384812</v>
      </c>
      <c r="P86" s="241"/>
      <c r="Q86" s="269">
        <f>HLOOKUP($E$6,TFPConsumption_Ref!$B$5:$F$102,(B86+1),FALSE)</f>
        <v>67.920582839999994</v>
      </c>
      <c r="R86" s="264">
        <f t="shared" si="10"/>
        <v>3.1191327397592339</v>
      </c>
      <c r="S86" s="270">
        <f>TFPConsumption_Ref!$L80</f>
        <v>0.16120767635824457</v>
      </c>
      <c r="T86" s="271">
        <f t="shared" si="11"/>
        <v>2.3668388751226472</v>
      </c>
      <c r="V86" s="136"/>
      <c r="W86" s="136"/>
    </row>
    <row r="87" spans="2:23" ht="14.5" x14ac:dyDescent="0.35">
      <c r="B87" s="237">
        <v>76</v>
      </c>
      <c r="C87" s="238" t="s">
        <v>175</v>
      </c>
      <c r="D87" s="239" t="s">
        <v>176</v>
      </c>
      <c r="E87" s="83">
        <f>HLOOKUP($E$6, CurrConsumption_Ref!$B$5:$F$102, (B87+1), FALSE)</f>
        <v>4.9497404098510742</v>
      </c>
      <c r="F87" s="255">
        <f t="shared" si="6"/>
        <v>0.41037896671861235</v>
      </c>
      <c r="G87" s="256">
        <f>Calculation_TFP!$H79</f>
        <v>3.5855603463958247E-2</v>
      </c>
      <c r="H87" s="257">
        <f t="shared" si="7"/>
        <v>0.74849377167335585</v>
      </c>
      <c r="I87" s="240"/>
      <c r="J87" s="261">
        <f>'Distance Function'!$C81</f>
        <v>0</v>
      </c>
      <c r="K87" s="241"/>
      <c r="L87" s="263">
        <f>HLOOKUP($E$6,CurrConsumption_Ref!$B$5:$F$102,(B87+1),FALSE)</f>
        <v>4.9497404098510742</v>
      </c>
      <c r="M87" s="264">
        <f t="shared" si="8"/>
        <v>0.41037896671861235</v>
      </c>
      <c r="N87" s="265">
        <f>CurrConsumption_Ref!$L81</f>
        <v>3.5855603463958247E-2</v>
      </c>
      <c r="O87" s="263">
        <f t="shared" si="9"/>
        <v>0.74849377167335585</v>
      </c>
      <c r="P87" s="241"/>
      <c r="Q87" s="269">
        <f>HLOOKUP($E$6,TFPConsumption_Ref!$B$5:$F$102,(B87+1),FALSE)</f>
        <v>0</v>
      </c>
      <c r="R87" s="264">
        <f t="shared" si="10"/>
        <v>0</v>
      </c>
      <c r="S87" s="270">
        <f>TFPConsumption_Ref!$L81</f>
        <v>0</v>
      </c>
      <c r="T87" s="271">
        <f t="shared" si="11"/>
        <v>0</v>
      </c>
      <c r="V87" s="136"/>
      <c r="W87" s="136"/>
    </row>
    <row r="88" spans="2:23" ht="14.5" x14ac:dyDescent="0.35">
      <c r="B88" s="237">
        <v>77</v>
      </c>
      <c r="C88" s="238" t="s">
        <v>177</v>
      </c>
      <c r="D88" s="239" t="s">
        <v>178</v>
      </c>
      <c r="E88" s="83">
        <f>HLOOKUP($E$6, CurrConsumption_Ref!$B$5:$F$102, (B88+1), FALSE)</f>
        <v>13.60397148132324</v>
      </c>
      <c r="F88" s="255">
        <f t="shared" si="6"/>
        <v>1.1278942525276541</v>
      </c>
      <c r="G88" s="256">
        <f>Calculation_TFP!$H80</f>
        <v>9.9209337900801595E-2</v>
      </c>
      <c r="H88" s="257">
        <f t="shared" si="7"/>
        <v>2.0710172005675624</v>
      </c>
      <c r="I88" s="240"/>
      <c r="J88" s="261">
        <f>'Distance Function'!$C82</f>
        <v>0</v>
      </c>
      <c r="K88" s="241"/>
      <c r="L88" s="263">
        <f>HLOOKUP($E$6,CurrConsumption_Ref!$B$5:$F$102,(B88+1),FALSE)</f>
        <v>13.60397148132324</v>
      </c>
      <c r="M88" s="264">
        <f t="shared" si="8"/>
        <v>1.1278942525276541</v>
      </c>
      <c r="N88" s="265">
        <f>CurrConsumption_Ref!$L82</f>
        <v>9.9209337900801595E-2</v>
      </c>
      <c r="O88" s="263">
        <f t="shared" si="9"/>
        <v>2.0710172005675624</v>
      </c>
      <c r="P88" s="241"/>
      <c r="Q88" s="269">
        <f>HLOOKUP($E$6,TFPConsumption_Ref!$B$5:$F$102,(B88+1),FALSE)</f>
        <v>64.428664429999998</v>
      </c>
      <c r="R88" s="264">
        <f t="shared" si="10"/>
        <v>2.9587725575909412</v>
      </c>
      <c r="S88" s="270">
        <f>TFPConsumption_Ref!$L82</f>
        <v>0.46985728753611683</v>
      </c>
      <c r="T88" s="271">
        <f t="shared" si="11"/>
        <v>6.8984090523632595</v>
      </c>
      <c r="V88" s="136"/>
      <c r="W88" s="136"/>
    </row>
    <row r="89" spans="2:23" ht="14.5" x14ac:dyDescent="0.35">
      <c r="B89" s="237">
        <v>78</v>
      </c>
      <c r="C89" s="238" t="s">
        <v>179</v>
      </c>
      <c r="D89" s="239" t="s">
        <v>178</v>
      </c>
      <c r="E89" s="83">
        <f>HLOOKUP($E$6, CurrConsumption_Ref!$B$5:$F$102, (B89+1), FALSE)</f>
        <v>22.346132278442379</v>
      </c>
      <c r="F89" s="255">
        <f t="shared" si="6"/>
        <v>1.8526997206426283</v>
      </c>
      <c r="G89" s="256">
        <f>Calculation_TFP!$H81</f>
        <v>0.25987151419081245</v>
      </c>
      <c r="H89" s="257">
        <f t="shared" si="7"/>
        <v>5.4248761982954568</v>
      </c>
      <c r="I89" s="240"/>
      <c r="J89" s="261">
        <f>'Distance Function'!$C83</f>
        <v>0</v>
      </c>
      <c r="K89" s="241"/>
      <c r="L89" s="263">
        <f>HLOOKUP($E$6,CurrConsumption_Ref!$B$5:$F$102,(B89+1),FALSE)</f>
        <v>22.346132278442379</v>
      </c>
      <c r="M89" s="264">
        <f t="shared" si="8"/>
        <v>1.8526997206426283</v>
      </c>
      <c r="N89" s="265">
        <f>CurrConsumption_Ref!$L83</f>
        <v>0.25987151419081245</v>
      </c>
      <c r="O89" s="263">
        <f t="shared" si="9"/>
        <v>5.4248761982954568</v>
      </c>
      <c r="P89" s="241"/>
      <c r="Q89" s="269">
        <f>HLOOKUP($E$6,TFPConsumption_Ref!$B$5:$F$102,(B89+1),FALSE)</f>
        <v>0</v>
      </c>
      <c r="R89" s="264">
        <f t="shared" si="10"/>
        <v>0</v>
      </c>
      <c r="S89" s="270">
        <f>TFPConsumption_Ref!$L83</f>
        <v>0</v>
      </c>
      <c r="T89" s="271">
        <f t="shared" si="11"/>
        <v>0</v>
      </c>
      <c r="V89" s="136"/>
      <c r="W89" s="136"/>
    </row>
    <row r="90" spans="2:23" ht="14.5" x14ac:dyDescent="0.35">
      <c r="B90" s="237">
        <v>79</v>
      </c>
      <c r="C90" s="238" t="s">
        <v>180</v>
      </c>
      <c r="D90" s="239" t="s">
        <v>181</v>
      </c>
      <c r="E90" s="83">
        <f>HLOOKUP($E$6, CurrConsumption_Ref!$B$5:$F$102, (B90+1), FALSE)</f>
        <v>94.706436157226563</v>
      </c>
      <c r="F90" s="255">
        <f t="shared" si="6"/>
        <v>7.8520338833232337</v>
      </c>
      <c r="G90" s="256">
        <f>Calculation_TFP!$H82</f>
        <v>0.21212579211285584</v>
      </c>
      <c r="H90" s="257">
        <f t="shared" si="7"/>
        <v>4.4281735312961281</v>
      </c>
      <c r="I90" s="240"/>
      <c r="J90" s="261">
        <f>'Distance Function'!$C84</f>
        <v>0</v>
      </c>
      <c r="K90" s="241"/>
      <c r="L90" s="263">
        <f>HLOOKUP($E$6,CurrConsumption_Ref!$B$5:$F$102,(B90+1),FALSE)</f>
        <v>94.706436157226563</v>
      </c>
      <c r="M90" s="264">
        <f t="shared" si="8"/>
        <v>7.8520338833232337</v>
      </c>
      <c r="N90" s="265">
        <f>CurrConsumption_Ref!$L84</f>
        <v>0.21212579211285584</v>
      </c>
      <c r="O90" s="263">
        <f t="shared" si="9"/>
        <v>4.4281735312961281</v>
      </c>
      <c r="P90" s="241"/>
      <c r="Q90" s="269">
        <f>HLOOKUP($E$6,TFPConsumption_Ref!$B$5:$F$102,(B90+1),FALSE)</f>
        <v>0</v>
      </c>
      <c r="R90" s="264">
        <f t="shared" si="10"/>
        <v>0</v>
      </c>
      <c r="S90" s="270">
        <f>TFPConsumption_Ref!$L84</f>
        <v>0</v>
      </c>
      <c r="T90" s="271">
        <f t="shared" si="11"/>
        <v>0</v>
      </c>
      <c r="V90" s="136"/>
      <c r="W90" s="136"/>
    </row>
    <row r="91" spans="2:23" ht="14.5" x14ac:dyDescent="0.35">
      <c r="B91" s="237">
        <v>80</v>
      </c>
      <c r="C91" s="238" t="s">
        <v>182</v>
      </c>
      <c r="D91" s="239" t="s">
        <v>183</v>
      </c>
      <c r="E91" s="83">
        <f>HLOOKUP($E$6, CurrConsumption_Ref!$B$5:$F$102, (B91+1), FALSE)</f>
        <v>16.731340408325199</v>
      </c>
      <c r="F91" s="255">
        <f t="shared" si="6"/>
        <v>1.3871818762294341</v>
      </c>
      <c r="G91" s="256">
        <f>Calculation_TFP!$H83</f>
        <v>6.1184682844000311E-2</v>
      </c>
      <c r="H91" s="257">
        <f t="shared" si="7"/>
        <v>1.2772439899548194</v>
      </c>
      <c r="I91" s="240"/>
      <c r="J91" s="261">
        <f>'Distance Function'!$C85</f>
        <v>0</v>
      </c>
      <c r="K91" s="241"/>
      <c r="L91" s="263">
        <f>HLOOKUP($E$6,CurrConsumption_Ref!$B$5:$F$102,(B91+1),FALSE)</f>
        <v>16.731340408325199</v>
      </c>
      <c r="M91" s="264">
        <f t="shared" si="8"/>
        <v>1.3871818762294341</v>
      </c>
      <c r="N91" s="265">
        <f>CurrConsumption_Ref!$L85</f>
        <v>6.1184682844000311E-2</v>
      </c>
      <c r="O91" s="263">
        <f t="shared" si="9"/>
        <v>1.2772439899548194</v>
      </c>
      <c r="P91" s="241"/>
      <c r="Q91" s="269">
        <f>HLOOKUP($E$6,TFPConsumption_Ref!$B$5:$F$102,(B91+1),FALSE)</f>
        <v>20.552131459999998</v>
      </c>
      <c r="R91" s="264">
        <f t="shared" si="10"/>
        <v>0.94382031820505718</v>
      </c>
      <c r="S91" s="270">
        <f>TFPConsumption_Ref!$L85</f>
        <v>7.5156898040434628E-2</v>
      </c>
      <c r="T91" s="271">
        <f t="shared" si="11"/>
        <v>1.1034478756484623</v>
      </c>
      <c r="V91" s="136"/>
      <c r="W91" s="136"/>
    </row>
    <row r="92" spans="2:23" ht="14.5" x14ac:dyDescent="0.35">
      <c r="B92" s="237">
        <v>81</v>
      </c>
      <c r="C92" s="238" t="s">
        <v>184</v>
      </c>
      <c r="D92" s="239" t="s">
        <v>185</v>
      </c>
      <c r="E92" s="83">
        <f>HLOOKUP($E$6, CurrConsumption_Ref!$B$5:$F$102, (B92+1), FALSE)</f>
        <v>29.034511566162109</v>
      </c>
      <c r="F92" s="255">
        <f t="shared" si="6"/>
        <v>2.4072278279457695</v>
      </c>
      <c r="G92" s="256">
        <f>Calculation_TFP!$H84</f>
        <v>7.9456068181413111E-2</v>
      </c>
      <c r="H92" s="257">
        <f t="shared" si="7"/>
        <v>1.6586632606873388</v>
      </c>
      <c r="I92" s="240"/>
      <c r="J92" s="261">
        <f>'Distance Function'!$C86</f>
        <v>0</v>
      </c>
      <c r="K92" s="241"/>
      <c r="L92" s="263">
        <f>HLOOKUP($E$6,CurrConsumption_Ref!$B$5:$F$102,(B92+1),FALSE)</f>
        <v>29.034511566162109</v>
      </c>
      <c r="M92" s="264">
        <f t="shared" si="8"/>
        <v>2.4072278279457695</v>
      </c>
      <c r="N92" s="265">
        <f>CurrConsumption_Ref!$L86</f>
        <v>7.9456068181413111E-2</v>
      </c>
      <c r="O92" s="263">
        <f t="shared" si="9"/>
        <v>1.6586632606873388</v>
      </c>
      <c r="P92" s="241"/>
      <c r="Q92" s="269">
        <f>HLOOKUP($E$6,TFPConsumption_Ref!$B$5:$F$102,(B92+1),FALSE)</f>
        <v>0</v>
      </c>
      <c r="R92" s="264">
        <f t="shared" si="10"/>
        <v>0</v>
      </c>
      <c r="S92" s="270">
        <f>TFPConsumption_Ref!$L86</f>
        <v>0</v>
      </c>
      <c r="T92" s="271">
        <f t="shared" si="11"/>
        <v>0</v>
      </c>
      <c r="V92" s="136"/>
      <c r="W92" s="136"/>
    </row>
    <row r="93" spans="2:23" ht="14.5" x14ac:dyDescent="0.35">
      <c r="B93" s="237">
        <v>82</v>
      </c>
      <c r="C93" s="238" t="s">
        <v>186</v>
      </c>
      <c r="D93" s="239" t="s">
        <v>187</v>
      </c>
      <c r="E93" s="83">
        <f>HLOOKUP($E$6, CurrConsumption_Ref!$B$5:$F$102, (B93+1), FALSE)</f>
        <v>33.119731903076172</v>
      </c>
      <c r="F93" s="255">
        <f t="shared" si="6"/>
        <v>2.7459301359181381</v>
      </c>
      <c r="G93" s="256">
        <f>Calculation_TFP!$H85</f>
        <v>7.282501354527178E-2</v>
      </c>
      <c r="H93" s="257">
        <f t="shared" si="7"/>
        <v>1.5202385065267627</v>
      </c>
      <c r="I93" s="240"/>
      <c r="J93" s="261">
        <f>'Distance Function'!$C87</f>
        <v>0</v>
      </c>
      <c r="K93" s="241"/>
      <c r="L93" s="263">
        <f>HLOOKUP($E$6,CurrConsumption_Ref!$B$5:$F$102,(B93+1),FALSE)</f>
        <v>33.119731903076172</v>
      </c>
      <c r="M93" s="264">
        <f t="shared" si="8"/>
        <v>2.7459301359181381</v>
      </c>
      <c r="N93" s="265">
        <f>CurrConsumption_Ref!$L87</f>
        <v>7.282501354527178E-2</v>
      </c>
      <c r="O93" s="263">
        <f t="shared" si="9"/>
        <v>1.5202385065267627</v>
      </c>
      <c r="P93" s="241"/>
      <c r="Q93" s="269">
        <f>HLOOKUP($E$6,TFPConsumption_Ref!$B$5:$F$102,(B93+1),FALSE)</f>
        <v>42.655714269999997</v>
      </c>
      <c r="R93" s="264">
        <f t="shared" si="10"/>
        <v>1.9588882979816924</v>
      </c>
      <c r="S93" s="270">
        <f>TFPConsumption_Ref!$L87</f>
        <v>9.3793119418562332E-2</v>
      </c>
      <c r="T93" s="271">
        <f t="shared" si="11"/>
        <v>1.3770634641836081</v>
      </c>
      <c r="V93" s="136"/>
      <c r="W93" s="136"/>
    </row>
    <row r="94" spans="2:23" ht="14.5" x14ac:dyDescent="0.35">
      <c r="B94" s="237">
        <v>83</v>
      </c>
      <c r="C94" s="238" t="s">
        <v>188</v>
      </c>
      <c r="D94" s="239" t="s">
        <v>189</v>
      </c>
      <c r="E94" s="83">
        <f>HLOOKUP($E$6, CurrConsumption_Ref!$B$5:$F$102, (B94+1), FALSE)</f>
        <v>1.084700226783752</v>
      </c>
      <c r="F94" s="255">
        <f t="shared" si="6"/>
        <v>8.9931616894703734E-2</v>
      </c>
      <c r="G94" s="256">
        <f>Calculation_TFP!$H86</f>
        <v>2.9733975610711691E-3</v>
      </c>
      <c r="H94" s="257">
        <f t="shared" si="7"/>
        <v>6.20703415968899E-2</v>
      </c>
      <c r="I94" s="240"/>
      <c r="J94" s="261">
        <f>'Distance Function'!$C88</f>
        <v>0</v>
      </c>
      <c r="K94" s="241"/>
      <c r="L94" s="263">
        <f>HLOOKUP($E$6,CurrConsumption_Ref!$B$5:$F$102,(B94+1),FALSE)</f>
        <v>1.084700226783752</v>
      </c>
      <c r="M94" s="264">
        <f t="shared" si="8"/>
        <v>8.9931616894703734E-2</v>
      </c>
      <c r="N94" s="265">
        <f>CurrConsumption_Ref!$L88</f>
        <v>2.9733975610711691E-3</v>
      </c>
      <c r="O94" s="263">
        <f t="shared" si="9"/>
        <v>6.20703415968899E-2</v>
      </c>
      <c r="P94" s="241"/>
      <c r="Q94" s="269">
        <f>HLOOKUP($E$6,TFPConsumption_Ref!$B$5:$F$102,(B94+1),FALSE)</f>
        <v>0</v>
      </c>
      <c r="R94" s="264">
        <f t="shared" si="10"/>
        <v>0</v>
      </c>
      <c r="S94" s="270">
        <f>TFPConsumption_Ref!$L88</f>
        <v>0</v>
      </c>
      <c r="T94" s="271">
        <f t="shared" si="11"/>
        <v>0</v>
      </c>
      <c r="V94" s="136"/>
      <c r="W94" s="136"/>
    </row>
    <row r="95" spans="2:23" ht="14.5" x14ac:dyDescent="0.35">
      <c r="B95" s="237">
        <v>84</v>
      </c>
      <c r="C95" s="238" t="s">
        <v>190</v>
      </c>
      <c r="D95" s="239" t="s">
        <v>191</v>
      </c>
      <c r="E95" s="83">
        <f>HLOOKUP($E$6, CurrConsumption_Ref!$B$5:$F$102, (B95+1), FALSE)</f>
        <v>10.108675956726071</v>
      </c>
      <c r="F95" s="255">
        <f t="shared" si="6"/>
        <v>0.83810213274181378</v>
      </c>
      <c r="G95" s="256">
        <f>Calculation_TFP!$H87</f>
        <v>1.9007527812691844E-2</v>
      </c>
      <c r="H95" s="257">
        <f t="shared" si="7"/>
        <v>0.39678641016344374</v>
      </c>
      <c r="I95" s="240"/>
      <c r="J95" s="261">
        <f>'Distance Function'!$C89</f>
        <v>0</v>
      </c>
      <c r="K95" s="241"/>
      <c r="L95" s="263">
        <f>HLOOKUP($E$6,CurrConsumption_Ref!$B$5:$F$102,(B95+1),FALSE)</f>
        <v>10.108675956726071</v>
      </c>
      <c r="M95" s="264">
        <f t="shared" si="8"/>
        <v>0.83810213274181378</v>
      </c>
      <c r="N95" s="265">
        <f>CurrConsumption_Ref!$L89</f>
        <v>1.9007527812691844E-2</v>
      </c>
      <c r="O95" s="263">
        <f t="shared" si="9"/>
        <v>0.39678641016344374</v>
      </c>
      <c r="P95" s="241"/>
      <c r="Q95" s="269">
        <f>HLOOKUP($E$6,TFPConsumption_Ref!$B$5:$F$102,(B95+1),FALSE)</f>
        <v>0</v>
      </c>
      <c r="R95" s="264">
        <f t="shared" si="10"/>
        <v>0</v>
      </c>
      <c r="S95" s="270">
        <f>TFPConsumption_Ref!$L89</f>
        <v>0</v>
      </c>
      <c r="T95" s="271">
        <f t="shared" si="11"/>
        <v>0</v>
      </c>
      <c r="V95" s="136"/>
      <c r="W95" s="136"/>
    </row>
    <row r="96" spans="2:23" ht="14.5" x14ac:dyDescent="0.35">
      <c r="B96" s="237">
        <v>85</v>
      </c>
      <c r="C96" s="238" t="s">
        <v>192</v>
      </c>
      <c r="D96" s="239" t="s">
        <v>193</v>
      </c>
      <c r="E96" s="83">
        <f>HLOOKUP($E$6, CurrConsumption_Ref!$B$5:$F$102, (B96+1), FALSE)</f>
        <v>29.446002960205082</v>
      </c>
      <c r="F96" s="255">
        <f t="shared" si="6"/>
        <v>2.4413442460037498</v>
      </c>
      <c r="G96" s="256">
        <f>Calculation_TFP!$H88</f>
        <v>7.2689460480593035E-2</v>
      </c>
      <c r="H96" s="257">
        <f t="shared" si="7"/>
        <v>1.5174088058707618</v>
      </c>
      <c r="I96" s="240"/>
      <c r="J96" s="261">
        <f>'Distance Function'!$C90</f>
        <v>0</v>
      </c>
      <c r="K96" s="241"/>
      <c r="L96" s="263">
        <f>HLOOKUP($E$6,CurrConsumption_Ref!$B$5:$F$102,(B96+1),FALSE)</f>
        <v>29.446002960205082</v>
      </c>
      <c r="M96" s="264">
        <f t="shared" si="8"/>
        <v>2.4413442460037498</v>
      </c>
      <c r="N96" s="265">
        <f>CurrConsumption_Ref!$L90</f>
        <v>7.2689460480593035E-2</v>
      </c>
      <c r="O96" s="263">
        <f t="shared" si="9"/>
        <v>1.5174088058707618</v>
      </c>
      <c r="P96" s="241"/>
      <c r="Q96" s="269">
        <f>HLOOKUP($E$6,TFPConsumption_Ref!$B$5:$F$102,(B96+1),FALSE)</f>
        <v>0</v>
      </c>
      <c r="R96" s="264">
        <f t="shared" si="10"/>
        <v>0</v>
      </c>
      <c r="S96" s="270">
        <f>TFPConsumption_Ref!$L90</f>
        <v>0</v>
      </c>
      <c r="T96" s="271">
        <f t="shared" si="11"/>
        <v>0</v>
      </c>
      <c r="V96" s="136"/>
      <c r="W96" s="136"/>
    </row>
    <row r="97" spans="2:23" ht="14.5" x14ac:dyDescent="0.35">
      <c r="B97" s="237">
        <v>86</v>
      </c>
      <c r="C97" s="238" t="s">
        <v>194</v>
      </c>
      <c r="D97" s="239" t="s">
        <v>195</v>
      </c>
      <c r="E97" s="83">
        <f>HLOOKUP($E$6, CurrConsumption_Ref!$B$5:$F$102, (B97+1), FALSE)</f>
        <v>8.9055862426757813</v>
      </c>
      <c r="F97" s="255">
        <f t="shared" si="6"/>
        <v>0.73835493938615182</v>
      </c>
      <c r="G97" s="256">
        <f>Calculation_TFP!$H89</f>
        <v>1.8587576150780237E-2</v>
      </c>
      <c r="H97" s="257">
        <f t="shared" si="7"/>
        <v>0.38801982494446463</v>
      </c>
      <c r="I97" s="240"/>
      <c r="J97" s="261">
        <f>'Distance Function'!$C91</f>
        <v>0</v>
      </c>
      <c r="K97" s="241"/>
      <c r="L97" s="263">
        <f>HLOOKUP($E$6,CurrConsumption_Ref!$B$5:$F$102,(B97+1),FALSE)</f>
        <v>8.9055862426757813</v>
      </c>
      <c r="M97" s="264">
        <f t="shared" si="8"/>
        <v>0.73835493938615182</v>
      </c>
      <c r="N97" s="265">
        <f>CurrConsumption_Ref!$L91</f>
        <v>1.8587576150780237E-2</v>
      </c>
      <c r="O97" s="263">
        <f t="shared" si="9"/>
        <v>0.38801982494446463</v>
      </c>
      <c r="P97" s="241"/>
      <c r="Q97" s="269">
        <f>HLOOKUP($E$6,TFPConsumption_Ref!$B$5:$F$102,(B97+1),FALSE)</f>
        <v>0</v>
      </c>
      <c r="R97" s="264">
        <f t="shared" si="10"/>
        <v>0</v>
      </c>
      <c r="S97" s="270">
        <f>TFPConsumption_Ref!$L91</f>
        <v>0</v>
      </c>
      <c r="T97" s="271">
        <f t="shared" si="11"/>
        <v>0</v>
      </c>
      <c r="V97" s="136"/>
      <c r="W97" s="136"/>
    </row>
    <row r="98" spans="2:23" ht="14.5" x14ac:dyDescent="0.35">
      <c r="B98" s="237">
        <v>87</v>
      </c>
      <c r="C98" s="238" t="s">
        <v>196</v>
      </c>
      <c r="D98" s="239" t="s">
        <v>197</v>
      </c>
      <c r="E98" s="83">
        <f>HLOOKUP($E$6, CurrConsumption_Ref!$B$5:$F$102, (B98+1), FALSE)</f>
        <v>0.75520294904708862</v>
      </c>
      <c r="F98" s="255">
        <f t="shared" si="6"/>
        <v>6.2613264581711223E-2</v>
      </c>
      <c r="G98" s="256">
        <f>Calculation_TFP!$H90</f>
        <v>1.7475579518381492E-3</v>
      </c>
      <c r="H98" s="257">
        <f t="shared" si="7"/>
        <v>3.64806645606712E-2</v>
      </c>
      <c r="I98" s="240"/>
      <c r="J98" s="261">
        <f>'Distance Function'!$C92</f>
        <v>0</v>
      </c>
      <c r="K98" s="241"/>
      <c r="L98" s="263">
        <f>HLOOKUP($E$6,CurrConsumption_Ref!$B$5:$F$102,(B98+1),FALSE)</f>
        <v>0.75520294904708862</v>
      </c>
      <c r="M98" s="264">
        <f t="shared" si="8"/>
        <v>6.2613264581711223E-2</v>
      </c>
      <c r="N98" s="265">
        <f>CurrConsumption_Ref!$L92</f>
        <v>1.7475579518381492E-3</v>
      </c>
      <c r="O98" s="263">
        <f t="shared" si="9"/>
        <v>3.64806645606712E-2</v>
      </c>
      <c r="P98" s="241"/>
      <c r="Q98" s="269">
        <f>HLOOKUP($E$6,TFPConsumption_Ref!$B$5:$F$102,(B98+1),FALSE)</f>
        <v>0</v>
      </c>
      <c r="R98" s="264">
        <f t="shared" si="10"/>
        <v>0</v>
      </c>
      <c r="S98" s="270">
        <f>TFPConsumption_Ref!$L92</f>
        <v>0</v>
      </c>
      <c r="T98" s="271">
        <f t="shared" si="11"/>
        <v>0</v>
      </c>
      <c r="V98" s="136"/>
      <c r="W98" s="136"/>
    </row>
    <row r="99" spans="2:23" ht="14.5" x14ac:dyDescent="0.35">
      <c r="B99" s="237">
        <v>88</v>
      </c>
      <c r="C99" s="238" t="s">
        <v>198</v>
      </c>
      <c r="D99" s="239" t="s">
        <v>199</v>
      </c>
      <c r="E99" s="83">
        <f>HLOOKUP($E$6, CurrConsumption_Ref!$B$5:$F$102, (B99+1), FALSE)</f>
        <v>4.4766244888305664</v>
      </c>
      <c r="F99" s="255">
        <f t="shared" si="6"/>
        <v>0.37115330906187832</v>
      </c>
      <c r="G99" s="256">
        <f>Calculation_TFP!$H91</f>
        <v>6.5582372468501147E-3</v>
      </c>
      <c r="H99" s="257">
        <f t="shared" si="7"/>
        <v>0.13690467481206425</v>
      </c>
      <c r="I99" s="240"/>
      <c r="J99" s="261">
        <f>'Distance Function'!$C93</f>
        <v>0</v>
      </c>
      <c r="K99" s="241"/>
      <c r="L99" s="263">
        <f>HLOOKUP($E$6,CurrConsumption_Ref!$B$5:$F$102,(B99+1),FALSE)</f>
        <v>4.4766244888305664</v>
      </c>
      <c r="M99" s="264">
        <f t="shared" si="8"/>
        <v>0.37115330906187832</v>
      </c>
      <c r="N99" s="265">
        <f>CurrConsumption_Ref!$L93</f>
        <v>6.5582372468501147E-3</v>
      </c>
      <c r="O99" s="263">
        <f t="shared" si="9"/>
        <v>0.13690467481206425</v>
      </c>
      <c r="P99" s="241"/>
      <c r="Q99" s="269">
        <f>HLOOKUP($E$6,TFPConsumption_Ref!$B$5:$F$102,(B99+1),FALSE)</f>
        <v>15.40227389</v>
      </c>
      <c r="R99" s="264">
        <f t="shared" si="10"/>
        <v>0.70732220997292328</v>
      </c>
      <c r="S99" s="270">
        <f>TFPConsumption_Ref!$L93</f>
        <v>2.2564270593527586E-2</v>
      </c>
      <c r="T99" s="271">
        <f t="shared" si="11"/>
        <v>0.33128690913493553</v>
      </c>
      <c r="V99" s="136"/>
      <c r="W99" s="136"/>
    </row>
    <row r="100" spans="2:23" ht="14.5" x14ac:dyDescent="0.35">
      <c r="B100" s="237">
        <v>89</v>
      </c>
      <c r="C100" s="238" t="s">
        <v>200</v>
      </c>
      <c r="D100" s="239" t="s">
        <v>201</v>
      </c>
      <c r="E100" s="83">
        <f>HLOOKUP($E$6, CurrConsumption_Ref!$B$5:$F$102, (B100+1), FALSE)</f>
        <v>15.070712089538571</v>
      </c>
      <c r="F100" s="255">
        <f t="shared" si="6"/>
        <v>1.249500527888213</v>
      </c>
      <c r="G100" s="256">
        <f>Calculation_TFP!$H92</f>
        <v>2.0633635086328452E-2</v>
      </c>
      <c r="H100" s="257">
        <f t="shared" si="7"/>
        <v>0.43073176455172485</v>
      </c>
      <c r="I100" s="240"/>
      <c r="J100" s="261">
        <f>'Distance Function'!$C94</f>
        <v>0</v>
      </c>
      <c r="K100" s="241"/>
      <c r="L100" s="263">
        <f>HLOOKUP($E$6,CurrConsumption_Ref!$B$5:$F$102,(B100+1),FALSE)</f>
        <v>15.070712089538571</v>
      </c>
      <c r="M100" s="264">
        <f t="shared" si="8"/>
        <v>1.249500527888213</v>
      </c>
      <c r="N100" s="265">
        <f>CurrConsumption_Ref!$L94</f>
        <v>2.0633635086328452E-2</v>
      </c>
      <c r="O100" s="263">
        <f t="shared" si="9"/>
        <v>0.43073176455172485</v>
      </c>
      <c r="P100" s="241"/>
      <c r="Q100" s="269">
        <f>HLOOKUP($E$6,TFPConsumption_Ref!$B$5:$F$102,(B100+1),FALSE)</f>
        <v>0</v>
      </c>
      <c r="R100" s="264">
        <f t="shared" si="10"/>
        <v>0</v>
      </c>
      <c r="S100" s="270">
        <f>TFPConsumption_Ref!$L94</f>
        <v>0</v>
      </c>
      <c r="T100" s="271">
        <f t="shared" si="11"/>
        <v>0</v>
      </c>
      <c r="V100" s="136"/>
      <c r="W100" s="136"/>
    </row>
    <row r="101" spans="2:23" ht="14.5" x14ac:dyDescent="0.35">
      <c r="B101" s="237">
        <v>90</v>
      </c>
      <c r="C101" s="238" t="s">
        <v>202</v>
      </c>
      <c r="D101" s="239" t="s">
        <v>203</v>
      </c>
      <c r="E101" s="83">
        <f>HLOOKUP($E$6, CurrConsumption_Ref!$B$5:$F$102, (B101+1), FALSE)</f>
        <v>1.150610208511353</v>
      </c>
      <c r="F101" s="255">
        <f t="shared" si="6"/>
        <v>9.5396160074379149E-2</v>
      </c>
      <c r="G101" s="256">
        <f>Calculation_TFP!$H93</f>
        <v>2.1411833266182526E-2</v>
      </c>
      <c r="H101" s="257">
        <f t="shared" si="7"/>
        <v>0.44697682625690066</v>
      </c>
      <c r="I101" s="240"/>
      <c r="J101" s="261">
        <f>'Distance Function'!$C95</f>
        <v>0</v>
      </c>
      <c r="K101" s="241"/>
      <c r="L101" s="263">
        <f>HLOOKUP($E$6,CurrConsumption_Ref!$B$5:$F$102,(B101+1),FALSE)</f>
        <v>1.150610208511353</v>
      </c>
      <c r="M101" s="264">
        <f t="shared" si="8"/>
        <v>9.5396160074379149E-2</v>
      </c>
      <c r="N101" s="265">
        <f>CurrConsumption_Ref!$L95</f>
        <v>2.1411833266182526E-2</v>
      </c>
      <c r="O101" s="263">
        <f t="shared" si="9"/>
        <v>0.44697682625690066</v>
      </c>
      <c r="P101" s="241"/>
      <c r="Q101" s="269">
        <f>HLOOKUP($E$6,TFPConsumption_Ref!$B$5:$F$102,(B101+1),FALSE)</f>
        <v>11.231240440000001</v>
      </c>
      <c r="R101" s="264">
        <f t="shared" si="10"/>
        <v>0.51577486970386999</v>
      </c>
      <c r="S101" s="270">
        <f>TFPConsumption_Ref!$L95</f>
        <v>0.20900340175568125</v>
      </c>
      <c r="T101" s="271">
        <f t="shared" si="11"/>
        <v>3.0685720896374939</v>
      </c>
      <c r="V101" s="136"/>
      <c r="W101" s="136"/>
    </row>
    <row r="102" spans="2:23" ht="14.5" x14ac:dyDescent="0.35">
      <c r="B102" s="237">
        <v>91</v>
      </c>
      <c r="C102" s="238" t="s">
        <v>204</v>
      </c>
      <c r="D102" s="239" t="s">
        <v>203</v>
      </c>
      <c r="E102" s="83">
        <f>HLOOKUP($E$6, CurrConsumption_Ref!$B$5:$F$102, (B102+1), FALSE)</f>
        <v>6.3110466003417969</v>
      </c>
      <c r="F102" s="255">
        <f t="shared" si="6"/>
        <v>0.52324375993673622</v>
      </c>
      <c r="G102" s="256">
        <f>Calculation_TFP!$H94</f>
        <v>0.17644119183592982</v>
      </c>
      <c r="H102" s="257">
        <f t="shared" si="7"/>
        <v>3.6832494895412373</v>
      </c>
      <c r="I102" s="240"/>
      <c r="J102" s="261">
        <f>'Distance Function'!$C96</f>
        <v>0</v>
      </c>
      <c r="K102" s="241"/>
      <c r="L102" s="263">
        <f>HLOOKUP($E$6,CurrConsumption_Ref!$B$5:$F$102,(B102+1),FALSE)</f>
        <v>6.3110466003417969</v>
      </c>
      <c r="M102" s="264">
        <f t="shared" si="8"/>
        <v>0.52324375993673622</v>
      </c>
      <c r="N102" s="265">
        <f>CurrConsumption_Ref!$L96</f>
        <v>0.17644119183592982</v>
      </c>
      <c r="O102" s="263">
        <f t="shared" si="9"/>
        <v>3.6832494895412373</v>
      </c>
      <c r="P102" s="241"/>
      <c r="Q102" s="269">
        <f>HLOOKUP($E$6,TFPConsumption_Ref!$B$5:$F$102,(B102+1),FALSE)</f>
        <v>0</v>
      </c>
      <c r="R102" s="264">
        <f t="shared" si="10"/>
        <v>0</v>
      </c>
      <c r="S102" s="270">
        <f>TFPConsumption_Ref!$L96</f>
        <v>0</v>
      </c>
      <c r="T102" s="271">
        <f t="shared" si="11"/>
        <v>0</v>
      </c>
      <c r="V102" s="136"/>
      <c r="W102" s="136"/>
    </row>
    <row r="103" spans="2:23" ht="14.5" x14ac:dyDescent="0.35">
      <c r="B103" s="237">
        <v>92</v>
      </c>
      <c r="C103" s="238" t="s">
        <v>205</v>
      </c>
      <c r="D103" s="239" t="s">
        <v>206</v>
      </c>
      <c r="E103" s="83">
        <f>HLOOKUP($E$6, CurrConsumption_Ref!$B$5:$F$102, (B103+1), FALSE)</f>
        <v>4.9456415176391602</v>
      </c>
      <c r="F103" s="255">
        <f t="shared" si="6"/>
        <v>0.41003913088656174</v>
      </c>
      <c r="G103" s="256">
        <f>Calculation_TFP!$H95</f>
        <v>7.1422431192750879E-2</v>
      </c>
      <c r="H103" s="257">
        <f t="shared" si="7"/>
        <v>1.490959285046747</v>
      </c>
      <c r="I103" s="240"/>
      <c r="J103" s="261">
        <f>'Distance Function'!$C97</f>
        <v>0</v>
      </c>
      <c r="K103" s="241"/>
      <c r="L103" s="263">
        <f>HLOOKUP($E$6,CurrConsumption_Ref!$B$5:$F$102,(B103+1),FALSE)</f>
        <v>4.9456415176391602</v>
      </c>
      <c r="M103" s="264">
        <f t="shared" si="8"/>
        <v>0.41003913088656174</v>
      </c>
      <c r="N103" s="265">
        <f>CurrConsumption_Ref!$L97</f>
        <v>7.1422431192750879E-2</v>
      </c>
      <c r="O103" s="263">
        <f t="shared" si="9"/>
        <v>1.490959285046747</v>
      </c>
      <c r="P103" s="241"/>
      <c r="Q103" s="269">
        <f>HLOOKUP($E$6,TFPConsumption_Ref!$B$5:$F$102,(B103+1),FALSE)</f>
        <v>21.692071469999998</v>
      </c>
      <c r="R103" s="264">
        <f t="shared" si="10"/>
        <v>0.99617004869733539</v>
      </c>
      <c r="S103" s="270">
        <f>TFPConsumption_Ref!$L97</f>
        <v>0.31326582738934139</v>
      </c>
      <c r="T103" s="271">
        <f t="shared" si="11"/>
        <v>4.5993451134725358</v>
      </c>
      <c r="V103" s="136"/>
      <c r="W103" s="136"/>
    </row>
    <row r="104" spans="2:23" ht="14.5" x14ac:dyDescent="0.35">
      <c r="B104" s="237">
        <v>93</v>
      </c>
      <c r="C104" s="238" t="s">
        <v>207</v>
      </c>
      <c r="D104" s="239" t="s">
        <v>206</v>
      </c>
      <c r="E104" s="83">
        <f>HLOOKUP($E$6, CurrConsumption_Ref!$B$5:$F$102, (B104+1), FALSE)</f>
        <v>14.034902572631839</v>
      </c>
      <c r="F104" s="255">
        <f t="shared" si="6"/>
        <v>1.1636224001343825</v>
      </c>
      <c r="G104" s="256">
        <f>Calculation_TFP!$H96</f>
        <v>0.12108718724407573</v>
      </c>
      <c r="H104" s="257">
        <f t="shared" si="7"/>
        <v>2.5277222170515037</v>
      </c>
      <c r="I104" s="240"/>
      <c r="J104" s="261">
        <f>'Distance Function'!$C98</f>
        <v>0</v>
      </c>
      <c r="K104" s="241"/>
      <c r="L104" s="263">
        <f>HLOOKUP($E$6,CurrConsumption_Ref!$B$5:$F$102,(B104+1),FALSE)</f>
        <v>14.034902572631839</v>
      </c>
      <c r="M104" s="264">
        <f t="shared" si="8"/>
        <v>1.1636224001343825</v>
      </c>
      <c r="N104" s="265">
        <f>CurrConsumption_Ref!$L98</f>
        <v>0.12108718724407573</v>
      </c>
      <c r="O104" s="263">
        <f t="shared" si="9"/>
        <v>2.5277222170515037</v>
      </c>
      <c r="P104" s="241"/>
      <c r="Q104" s="269">
        <f>HLOOKUP($E$6,TFPConsumption_Ref!$B$5:$F$102,(B104+1),FALSE)</f>
        <v>0</v>
      </c>
      <c r="R104" s="264">
        <f t="shared" si="10"/>
        <v>0</v>
      </c>
      <c r="S104" s="270">
        <f>TFPConsumption_Ref!$L98</f>
        <v>0</v>
      </c>
      <c r="T104" s="271">
        <f t="shared" si="11"/>
        <v>0</v>
      </c>
      <c r="V104" s="136"/>
      <c r="W104" s="136"/>
    </row>
    <row r="105" spans="2:23" ht="14.5" x14ac:dyDescent="0.35">
      <c r="B105" s="237">
        <v>94</v>
      </c>
      <c r="C105" s="238" t="s">
        <v>208</v>
      </c>
      <c r="D105" s="239" t="s">
        <v>209</v>
      </c>
      <c r="E105" s="83">
        <f>HLOOKUP($E$6, CurrConsumption_Ref!$B$5:$F$102, (B105+1), FALSE)</f>
        <v>3.8546617031097412</v>
      </c>
      <c r="F105" s="255">
        <f t="shared" si="6"/>
        <v>0.31958687846007194</v>
      </c>
      <c r="G105" s="256">
        <f>Calculation_TFP!$H97</f>
        <v>9.0411607432756752E-2</v>
      </c>
      <c r="H105" s="257">
        <f t="shared" si="7"/>
        <v>1.8873626020105554</v>
      </c>
      <c r="I105" s="240"/>
      <c r="J105" s="261">
        <f>'Distance Function'!$C99</f>
        <v>0</v>
      </c>
      <c r="K105" s="241"/>
      <c r="L105" s="263">
        <f>HLOOKUP($E$6,CurrConsumption_Ref!$B$5:$F$102,(B105+1),FALSE)</f>
        <v>3.8546617031097412</v>
      </c>
      <c r="M105" s="264">
        <f t="shared" si="8"/>
        <v>0.31958687846007194</v>
      </c>
      <c r="N105" s="265">
        <f>CurrConsumption_Ref!$L99</f>
        <v>9.0411607432756752E-2</v>
      </c>
      <c r="O105" s="263">
        <f t="shared" si="9"/>
        <v>1.8873626020105554</v>
      </c>
      <c r="P105" s="241"/>
      <c r="Q105" s="269">
        <f>HLOOKUP($E$6,TFPConsumption_Ref!$B$5:$F$102,(B105+1),FALSE)</f>
        <v>0</v>
      </c>
      <c r="R105" s="264">
        <f t="shared" si="10"/>
        <v>0</v>
      </c>
      <c r="S105" s="270">
        <f>TFPConsumption_Ref!$L99</f>
        <v>0</v>
      </c>
      <c r="T105" s="271">
        <f t="shared" si="11"/>
        <v>0</v>
      </c>
      <c r="V105" s="136"/>
      <c r="W105" s="136"/>
    </row>
    <row r="106" spans="2:23" ht="14.5" x14ac:dyDescent="0.35">
      <c r="B106" s="237">
        <v>95</v>
      </c>
      <c r="C106" s="238" t="s">
        <v>210</v>
      </c>
      <c r="D106" s="239" t="s">
        <v>209</v>
      </c>
      <c r="E106" s="83">
        <f>HLOOKUP($E$6, CurrConsumption_Ref!$B$5:$F$102, (B106+1), FALSE)</f>
        <v>4.5306844711303711</v>
      </c>
      <c r="F106" s="255">
        <f t="shared" si="6"/>
        <v>0.37563537839078032</v>
      </c>
      <c r="G106" s="256">
        <f>Calculation_TFP!$H98</f>
        <v>3.3224356743726952E-2</v>
      </c>
      <c r="H106" s="257">
        <f t="shared" si="7"/>
        <v>0.69356590568976517</v>
      </c>
      <c r="I106" s="240"/>
      <c r="J106" s="261">
        <f>'Distance Function'!$C100</f>
        <v>0</v>
      </c>
      <c r="K106" s="241"/>
      <c r="L106" s="263">
        <f>HLOOKUP($E$6,CurrConsumption_Ref!$B$5:$F$102,(B106+1),FALSE)</f>
        <v>4.5306844711303711</v>
      </c>
      <c r="M106" s="264">
        <f t="shared" si="8"/>
        <v>0.37563537839078032</v>
      </c>
      <c r="N106" s="265">
        <f>CurrConsumption_Ref!$L100</f>
        <v>3.3224356743726952E-2</v>
      </c>
      <c r="O106" s="263">
        <f t="shared" si="9"/>
        <v>0.69356590568976517</v>
      </c>
      <c r="P106" s="241"/>
      <c r="Q106" s="269">
        <f>HLOOKUP($E$6,TFPConsumption_Ref!$B$5:$F$102,(B106+1),FALSE)</f>
        <v>50.77644626</v>
      </c>
      <c r="R106" s="264">
        <f t="shared" si="10"/>
        <v>2.3318185639143039</v>
      </c>
      <c r="S106" s="270">
        <f>TFPConsumption_Ref!$L100</f>
        <v>0.37235317874608542</v>
      </c>
      <c r="T106" s="271">
        <f t="shared" si="11"/>
        <v>5.4668611237423548</v>
      </c>
      <c r="V106" s="136"/>
      <c r="W106" s="136"/>
    </row>
    <row r="107" spans="2:23" ht="14.5" x14ac:dyDescent="0.35">
      <c r="B107" s="237">
        <v>96</v>
      </c>
      <c r="C107" s="238" t="s">
        <v>211</v>
      </c>
      <c r="D107" s="239" t="s">
        <v>212</v>
      </c>
      <c r="E107" s="83">
        <f>HLOOKUP($E$6, CurrConsumption_Ref!$B$5:$F$102, (B107+1), FALSE)</f>
        <v>5.0170369148254386</v>
      </c>
      <c r="F107" s="255">
        <f t="shared" si="6"/>
        <v>0.4159584654172086</v>
      </c>
      <c r="G107" s="256">
        <f>Calculation_TFP!$H99</f>
        <v>1.5974493855910744E-2</v>
      </c>
      <c r="H107" s="257">
        <f t="shared" si="7"/>
        <v>0.33347114541810374</v>
      </c>
      <c r="I107" s="240"/>
      <c r="J107" s="261">
        <f>'Distance Function'!$C101</f>
        <v>0</v>
      </c>
      <c r="K107" s="241"/>
      <c r="L107" s="263">
        <f>HLOOKUP($E$6,CurrConsumption_Ref!$B$5:$F$102,(B107+1),FALSE)</f>
        <v>5.0170369148254386</v>
      </c>
      <c r="M107" s="264">
        <f t="shared" si="8"/>
        <v>0.4159584654172086</v>
      </c>
      <c r="N107" s="265">
        <f>CurrConsumption_Ref!$L101</f>
        <v>1.5974493855910744E-2</v>
      </c>
      <c r="O107" s="263">
        <f t="shared" si="9"/>
        <v>0.33347114541810374</v>
      </c>
      <c r="P107" s="241"/>
      <c r="Q107" s="269">
        <f>HLOOKUP($E$6,TFPConsumption_Ref!$B$5:$F$102,(B107+1),FALSE)</f>
        <v>66.411213430000004</v>
      </c>
      <c r="R107" s="264">
        <f t="shared" si="10"/>
        <v>3.0498176169162443</v>
      </c>
      <c r="S107" s="270">
        <f>TFPConsumption_Ref!$L101</f>
        <v>0.21145659059557156</v>
      </c>
      <c r="T107" s="271">
        <f t="shared" si="11"/>
        <v>3.1045896220865465</v>
      </c>
      <c r="V107" s="136"/>
      <c r="W107" s="136"/>
    </row>
    <row r="108" spans="2:23" thickBot="1" x14ac:dyDescent="0.4">
      <c r="B108" s="243">
        <v>97</v>
      </c>
      <c r="C108" s="244" t="s">
        <v>213</v>
      </c>
      <c r="D108" s="245" t="s">
        <v>212</v>
      </c>
      <c r="E108" s="102">
        <f>HLOOKUP($E$6, CurrConsumption_Ref!$B$5:$F$102, (B108+1), FALSE)</f>
        <v>5.5712418556213379</v>
      </c>
      <c r="F108" s="258">
        <f t="shared" si="6"/>
        <v>0.4619071479989309</v>
      </c>
      <c r="G108" s="259">
        <f>Calculation_TFP!$H100</f>
        <v>3.0334964480249738E-2</v>
      </c>
      <c r="H108" s="260">
        <f t="shared" si="7"/>
        <v>0.63324919353882358</v>
      </c>
      <c r="I108" s="246"/>
      <c r="J108" s="262">
        <f>'Distance Function'!$C102</f>
        <v>0</v>
      </c>
      <c r="K108" s="247"/>
      <c r="L108" s="266">
        <f>HLOOKUP($E$6,CurrConsumption_Ref!$B$5:$F$102,(B108+1),FALSE)</f>
        <v>5.5712418556213379</v>
      </c>
      <c r="M108" s="267">
        <f t="shared" si="8"/>
        <v>0.4619071479989309</v>
      </c>
      <c r="N108" s="268">
        <f>CurrConsumption_Ref!$L102</f>
        <v>3.0334964480249738E-2</v>
      </c>
      <c r="O108" s="266">
        <f t="shared" si="9"/>
        <v>0.63324919353882358</v>
      </c>
      <c r="P108" s="247"/>
      <c r="Q108" s="272">
        <f>HLOOKUP($E$6,TFPConsumption_Ref!$B$5:$F$102,(B108+1),FALSE)</f>
        <v>0</v>
      </c>
      <c r="R108" s="267">
        <f t="shared" si="10"/>
        <v>0</v>
      </c>
      <c r="S108" s="273">
        <f>TFPConsumption_Ref!$L102</f>
        <v>0</v>
      </c>
      <c r="T108" s="274">
        <f t="shared" si="11"/>
        <v>0</v>
      </c>
      <c r="V108" s="136"/>
      <c r="W108" s="136"/>
    </row>
    <row r="109" spans="2:23" ht="14.5" x14ac:dyDescent="0.35">
      <c r="D109" s="110"/>
      <c r="E109" s="110"/>
      <c r="F109" s="110"/>
      <c r="G109" s="110"/>
      <c r="H109" s="110"/>
      <c r="I109" s="110"/>
      <c r="J109" s="125"/>
      <c r="K109" s="110"/>
      <c r="L109" s="110"/>
      <c r="M109" s="110"/>
      <c r="N109" s="110"/>
      <c r="O109" s="110"/>
      <c r="P109" s="110"/>
      <c r="V109" s="110"/>
      <c r="W109" s="110"/>
    </row>
    <row r="110" spans="2:23" ht="14.5" x14ac:dyDescent="0.35">
      <c r="D110" s="110"/>
      <c r="E110" s="110"/>
      <c r="F110" s="110"/>
      <c r="G110" s="110"/>
      <c r="H110" s="110"/>
      <c r="I110" s="110"/>
      <c r="J110" s="110"/>
      <c r="K110" s="110"/>
      <c r="L110" s="110"/>
      <c r="M110" s="110"/>
      <c r="N110" s="110"/>
      <c r="O110" s="110"/>
      <c r="P110" s="110"/>
      <c r="V110" s="110"/>
      <c r="W110" s="110"/>
    </row>
  </sheetData>
  <sheetProtection sheet="1" objects="1" scenarios="1" selectLockedCells="1"/>
  <mergeCells count="15">
    <mergeCell ref="B2:T2"/>
    <mergeCell ref="J8:J10"/>
    <mergeCell ref="E8:H8"/>
    <mergeCell ref="L8:O8"/>
    <mergeCell ref="Q8:T8"/>
    <mergeCell ref="Q9:R9"/>
    <mergeCell ref="S9:T9"/>
    <mergeCell ref="E9:F9"/>
    <mergeCell ref="G9:H9"/>
    <mergeCell ref="L9:M9"/>
    <mergeCell ref="N9:O9"/>
    <mergeCell ref="E5:H5"/>
    <mergeCell ref="E6:H6"/>
    <mergeCell ref="J5:L5"/>
    <mergeCell ref="J6:L6"/>
  </mergeCells>
  <dataValidations count="2">
    <dataValidation type="list" allowBlank="1" showInputMessage="1" showErrorMessage="1" sqref="E6:H6 M6:O6" xr:uid="{9DEAF4CC-637A-46FB-A4FB-210086C61198}">
      <formula1>$DR$21:$DR$25</formula1>
    </dataValidation>
    <dataValidation type="list" allowBlank="1" showInputMessage="1" showErrorMessage="1" sqref="J6:L6" xr:uid="{3B29B120-8FCF-462D-8906-E355E4D21AEB}">
      <formula1>$DR$27:$DR$28</formula1>
    </dataValidation>
  </dataValidations>
  <pageMargins left="0.7" right="0.7" top="0.75" bottom="0.75" header="0.3" footer="0.3"/>
  <ignoredErrors>
    <ignoredError sqref="G12 G13 S12:S108 N12:N108 G14:G108"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1879-83CE-4E01-8486-7F603835784C}">
  <sheetPr>
    <tabColor theme="7" tint="0.59999389629810485"/>
  </sheetPr>
  <dimension ref="B1:DC81"/>
  <sheetViews>
    <sheetView zoomScale="70" zoomScaleNormal="70" workbookViewId="0">
      <selection activeCell="D13" sqref="D13"/>
    </sheetView>
  </sheetViews>
  <sheetFormatPr defaultRowHeight="14.5" x14ac:dyDescent="0.35"/>
  <cols>
    <col min="1" max="1" width="8.7265625" style="109"/>
    <col min="2" max="2" width="29.26953125" style="109" customWidth="1"/>
    <col min="3" max="6" width="43" style="109" customWidth="1"/>
    <col min="7" max="16384" width="8.7265625" style="109"/>
  </cols>
  <sheetData>
    <row r="1" spans="2:107" s="126" customFormat="1" ht="15" thickBot="1" x14ac:dyDescent="0.4">
      <c r="B1" s="124"/>
      <c r="C1" s="124"/>
      <c r="D1" s="124"/>
      <c r="E1" s="124"/>
      <c r="F1" s="124"/>
      <c r="G1" s="124"/>
      <c r="H1" s="124"/>
      <c r="I1" s="124"/>
      <c r="J1" s="124"/>
      <c r="K1" s="123"/>
      <c r="L1" s="138"/>
      <c r="M1" s="124"/>
      <c r="N1" s="124"/>
      <c r="O1" s="124"/>
      <c r="P1" s="124"/>
      <c r="Q1" s="124"/>
      <c r="R1" s="124"/>
    </row>
    <row r="2" spans="2:107" ht="53" customHeight="1" thickBot="1" x14ac:dyDescent="0.4">
      <c r="B2" s="276" t="s">
        <v>214</v>
      </c>
      <c r="C2" s="197"/>
      <c r="D2" s="197"/>
      <c r="E2" s="198"/>
      <c r="F2" s="139"/>
      <c r="G2" s="139"/>
      <c r="H2" s="139"/>
      <c r="I2" s="139"/>
      <c r="J2" s="139"/>
      <c r="K2" s="139"/>
      <c r="L2" s="139"/>
      <c r="M2" s="139"/>
      <c r="N2" s="139"/>
      <c r="O2" s="139"/>
      <c r="P2" s="139"/>
      <c r="Q2" s="139"/>
      <c r="R2" s="139"/>
      <c r="U2" s="126"/>
    </row>
    <row r="3" spans="2:107" s="126" customFormat="1" ht="15" customHeight="1" x14ac:dyDescent="0.35">
      <c r="B3" s="127"/>
      <c r="C3" s="127"/>
      <c r="D3" s="127"/>
      <c r="E3" s="127"/>
      <c r="F3" s="127"/>
      <c r="G3" s="139"/>
      <c r="H3" s="139"/>
      <c r="I3" s="139"/>
      <c r="J3" s="139"/>
      <c r="K3" s="139"/>
      <c r="L3" s="139"/>
      <c r="M3" s="139"/>
      <c r="N3" s="139"/>
      <c r="O3" s="139"/>
      <c r="P3" s="139"/>
      <c r="Q3" s="139"/>
      <c r="R3" s="139"/>
    </row>
    <row r="4" spans="2:107" ht="14.5" customHeight="1" thickBot="1" x14ac:dyDescent="0.4"/>
    <row r="5" spans="2:107" ht="14.5" customHeight="1" x14ac:dyDescent="0.35">
      <c r="B5" s="277" t="s">
        <v>22</v>
      </c>
      <c r="C5" s="278" t="s">
        <v>23</v>
      </c>
      <c r="E5" s="140"/>
    </row>
    <row r="6" spans="2:107" ht="14.5" customHeight="1" thickBot="1" x14ac:dyDescent="0.4">
      <c r="B6" s="320" t="str">
        <f>'Your Model Diet'!$E$6</f>
        <v>Female, 20-50yrs</v>
      </c>
      <c r="C6" s="320" t="str">
        <f>'Your Model Diet'!$J$6</f>
        <v>June 2021</v>
      </c>
      <c r="E6" s="141"/>
    </row>
    <row r="7" spans="2:107" ht="14.5" customHeight="1" thickBot="1" x14ac:dyDescent="0.4">
      <c r="B7" s="110"/>
      <c r="C7" s="110"/>
      <c r="D7" s="110"/>
      <c r="E7" s="110"/>
    </row>
    <row r="8" spans="2:107" ht="17.5" customHeight="1" thickBot="1" x14ac:dyDescent="0.4">
      <c r="B8" s="279" t="s">
        <v>215</v>
      </c>
      <c r="C8" s="280"/>
      <c r="D8" s="280"/>
      <c r="E8" s="281"/>
      <c r="F8" s="110"/>
    </row>
    <row r="9" spans="2:107" ht="16.5" customHeight="1" x14ac:dyDescent="0.45">
      <c r="B9" s="282"/>
      <c r="C9" s="283" t="s">
        <v>216</v>
      </c>
      <c r="D9" s="284" t="s">
        <v>217</v>
      </c>
      <c r="E9" s="285" t="s">
        <v>218</v>
      </c>
      <c r="F9" s="107"/>
    </row>
    <row r="10" spans="2:107" ht="15" thickBot="1" x14ac:dyDescent="0.4">
      <c r="B10" s="286" t="s">
        <v>219</v>
      </c>
      <c r="C10" s="321">
        <f>Calculation_TFP!$H$101</f>
        <v>4.7903676451172528</v>
      </c>
      <c r="D10" s="322">
        <f>HLOOKUP($B$6&amp;"|"&amp;$C$6,'TFP Cost Constraint'!B5:K8,4,FALSE)</f>
        <v>6.8371428571428572</v>
      </c>
      <c r="E10" s="323">
        <f>$C$10/$D$10*100</f>
        <v>70.063881144631779</v>
      </c>
      <c r="F10" s="142"/>
    </row>
    <row r="11" spans="2:107" ht="15" thickBot="1" x14ac:dyDescent="0.4">
      <c r="B11" s="124"/>
      <c r="C11" s="110"/>
      <c r="D11" s="110"/>
      <c r="E11" s="110"/>
      <c r="F11" s="138"/>
    </row>
    <row r="12" spans="2:107" ht="16" thickBot="1" x14ac:dyDescent="0.4">
      <c r="B12" s="287" t="s">
        <v>220</v>
      </c>
      <c r="C12" s="288"/>
      <c r="D12" s="288"/>
      <c r="E12" s="289"/>
      <c r="F12" s="138"/>
      <c r="G12" s="124"/>
      <c r="DC12" s="126" t="s">
        <v>217</v>
      </c>
    </row>
    <row r="13" spans="2:107" x14ac:dyDescent="0.35">
      <c r="B13" s="290"/>
      <c r="C13" s="291" t="s">
        <v>221</v>
      </c>
      <c r="D13" s="84" t="s">
        <v>222</v>
      </c>
      <c r="E13" s="292" t="s">
        <v>218</v>
      </c>
      <c r="F13" s="138"/>
      <c r="G13" s="129"/>
      <c r="H13" s="126"/>
      <c r="I13" s="126"/>
      <c r="V13" s="126"/>
      <c r="DC13" s="126" t="s">
        <v>222</v>
      </c>
    </row>
    <row r="14" spans="2:107" ht="16" customHeight="1" x14ac:dyDescent="0.45">
      <c r="B14" s="293" t="s">
        <v>223</v>
      </c>
      <c r="C14" s="324">
        <f>Calculation_TFP!$AL$101</f>
        <v>1.3534104476209401</v>
      </c>
      <c r="D14" s="256">
        <f>HLOOKUP($B$6&amp;"|"&amp;$D$13,'Dietary Pattern Serv'!$B$7:$U$27,2,FALSE)</f>
        <v>3</v>
      </c>
      <c r="E14" s="325">
        <f>IFERROR(($C$14/$D$14*100),"-")</f>
        <v>45.113681587364667</v>
      </c>
      <c r="F14" s="107"/>
      <c r="G14" s="129"/>
      <c r="H14" s="126"/>
      <c r="V14" s="126"/>
      <c r="DC14" s="126" t="s">
        <v>224</v>
      </c>
    </row>
    <row r="15" spans="2:107" x14ac:dyDescent="0.35">
      <c r="B15" s="294" t="s">
        <v>225</v>
      </c>
      <c r="C15" s="324">
        <f>Calculation_TFP!$AS$101</f>
        <v>0.23829669730655462</v>
      </c>
      <c r="D15" s="256">
        <f>HLOOKUP($B$6&amp;"|"&amp;$D$13,'Dietary Pattern Serv'!$B$7:$U$27,3,FALSE)</f>
        <v>0.28999999999999998</v>
      </c>
      <c r="E15" s="325">
        <f>IFERROR(($C$15/$D$15*100),"-")</f>
        <v>82.171274933294697</v>
      </c>
      <c r="F15" s="142"/>
      <c r="G15" s="129"/>
      <c r="H15" s="126"/>
      <c r="V15" s="126"/>
      <c r="DC15" s="126" t="s">
        <v>226</v>
      </c>
    </row>
    <row r="16" spans="2:107" x14ac:dyDescent="0.35">
      <c r="B16" s="294" t="s">
        <v>227</v>
      </c>
      <c r="C16" s="324">
        <f>Calculation_TFP!$AT$101</f>
        <v>0.26847642651442943</v>
      </c>
      <c r="D16" s="256">
        <f>HLOOKUP($B$6&amp;"|"&amp;$D$13,'Dietary Pattern Serv'!$B$7:$U$27,4,FALSE)</f>
        <v>0.86</v>
      </c>
      <c r="E16" s="325">
        <f>IFERROR(($C$16/$D$16*100),"-")</f>
        <v>31.218189129584818</v>
      </c>
      <c r="F16" s="110"/>
      <c r="G16" s="129"/>
      <c r="H16" s="126"/>
      <c r="V16" s="126"/>
    </row>
    <row r="17" spans="2:107" x14ac:dyDescent="0.35">
      <c r="B17" s="294" t="s">
        <v>228</v>
      </c>
      <c r="C17" s="324">
        <f>Calculation_TFP!$AU$101</f>
        <v>0.10443679017238387</v>
      </c>
      <c r="D17" s="256">
        <f>HLOOKUP($B$6&amp;"|"&amp;$D$13,'Dietary Pattern Serv'!$B$7:$U$27,5,FALSE)</f>
        <v>0.28999999999999998</v>
      </c>
      <c r="E17" s="325">
        <f>IFERROR(($C$17/$D$17*100),"-")</f>
        <v>36.012686266339266</v>
      </c>
      <c r="F17" s="110"/>
      <c r="G17" s="129"/>
      <c r="DC17" s="126" t="s">
        <v>65</v>
      </c>
    </row>
    <row r="18" spans="2:107" x14ac:dyDescent="0.35">
      <c r="B18" s="294" t="s">
        <v>229</v>
      </c>
      <c r="C18" s="324">
        <f>Calculation_TFP!$AV$101</f>
        <v>0.36995651414205621</v>
      </c>
      <c r="D18" s="256">
        <f>HLOOKUP($B$6&amp;"|"&amp;$D$13,'Dietary Pattern Serv'!$B$7:$U$27,6,FALSE)</f>
        <v>0.86</v>
      </c>
      <c r="E18" s="325">
        <f>IFERROR(($C$18/$D$18*100),"-")</f>
        <v>43.018199318843749</v>
      </c>
      <c r="F18" s="110"/>
      <c r="G18" s="143"/>
      <c r="DC18" s="126" t="s">
        <v>67</v>
      </c>
    </row>
    <row r="19" spans="2:107" x14ac:dyDescent="0.35">
      <c r="B19" s="294" t="s">
        <v>230</v>
      </c>
      <c r="C19" s="324">
        <f>Calculation_TFP!$AW$101</f>
        <v>0.37224401952369357</v>
      </c>
      <c r="D19" s="256">
        <f>HLOOKUP($B$6&amp;"|"&amp;$D$13,'Dietary Pattern Serv'!$B$7:$U$27,7,FALSE)</f>
        <v>0.71</v>
      </c>
      <c r="E19" s="325">
        <f>IFERROR(($C$19/$D$19*100),"-")</f>
        <v>52.428735144182191</v>
      </c>
      <c r="F19" s="110"/>
      <c r="G19" s="143"/>
      <c r="DC19" s="126" t="s">
        <v>24</v>
      </c>
    </row>
    <row r="20" spans="2:107" x14ac:dyDescent="0.35">
      <c r="B20" s="295" t="s">
        <v>231</v>
      </c>
      <c r="C20" s="324">
        <f>Calculation_TFP!$AM$101</f>
        <v>0.7078390494584117</v>
      </c>
      <c r="D20" s="256">
        <f>HLOOKUP($B$6&amp;"|"&amp;$D$13,'Dietary Pattern Serv'!$B$7:$U$27,8,FALSE)</f>
        <v>2</v>
      </c>
      <c r="E20" s="325">
        <f>IFERROR(($C$20/$D$20*100),"-")</f>
        <v>35.391952472920586</v>
      </c>
      <c r="F20" s="110"/>
      <c r="G20" s="129"/>
      <c r="DC20" s="126" t="s">
        <v>72</v>
      </c>
    </row>
    <row r="21" spans="2:107" x14ac:dyDescent="0.35">
      <c r="B21" s="295" t="s">
        <v>232</v>
      </c>
      <c r="C21" s="324">
        <f>Calculation_TFP!$AK$101</f>
        <v>3.3191093855975566</v>
      </c>
      <c r="D21" s="256">
        <f>HLOOKUP($B$6&amp;"|"&amp;$D$13,'Dietary Pattern Serv'!$B$7:$U$27,9,FALSE)</f>
        <v>7</v>
      </c>
      <c r="E21" s="325">
        <f>IFERROR(($C$21/$D$21*100),"-")</f>
        <v>47.415848365679381</v>
      </c>
      <c r="F21" s="124"/>
      <c r="G21" s="129"/>
      <c r="DC21" s="126" t="s">
        <v>233</v>
      </c>
    </row>
    <row r="22" spans="2:107" x14ac:dyDescent="0.35">
      <c r="B22" s="294" t="s">
        <v>234</v>
      </c>
      <c r="C22" s="326">
        <f>Calculation_TFP!$AR$101</f>
        <v>0.50331844947451454</v>
      </c>
      <c r="D22" s="256">
        <f>HLOOKUP($B$6&amp;"|"&amp;$D$13,'Dietary Pattern Serv'!$B$7:$U$27,10,FALSE)</f>
        <v>3.5</v>
      </c>
      <c r="E22" s="325">
        <f>IFERROR(($C$22/$D$22*100),"-")</f>
        <v>14.380527127843273</v>
      </c>
      <c r="F22" s="110"/>
      <c r="G22" s="124"/>
    </row>
    <row r="23" spans="2:107" x14ac:dyDescent="0.35">
      <c r="B23" s="294" t="s">
        <v>235</v>
      </c>
      <c r="C23" s="326">
        <f>Calculation_TFP!$AX$101</f>
        <v>2.8157909365143552</v>
      </c>
      <c r="D23" s="256">
        <f>HLOOKUP($B$6&amp;"|"&amp;$D$13,'Dietary Pattern Serv'!$B$7:$U$27,11,FALSE)</f>
        <v>3.5</v>
      </c>
      <c r="E23" s="325">
        <f>IFERROR(($C$23/$D$23*100),"-")</f>
        <v>80.451169614695857</v>
      </c>
      <c r="F23" s="124"/>
      <c r="G23" s="124"/>
      <c r="DC23" s="126"/>
    </row>
    <row r="24" spans="2:107" x14ac:dyDescent="0.35">
      <c r="B24" s="293" t="s">
        <v>236</v>
      </c>
      <c r="C24" s="326">
        <f>Calculation_TFP!$AN$101</f>
        <v>0.802402906873803</v>
      </c>
      <c r="D24" s="256">
        <f>HLOOKUP($B$6&amp;"|"&amp;$D$13,'Dietary Pattern Serv'!$B$7:$U$27,12,FALSE)</f>
        <v>3</v>
      </c>
      <c r="E24" s="325">
        <f>IFERROR(($C$24/$D$24*100),"-")</f>
        <v>26.746763562460103</v>
      </c>
      <c r="F24" s="110"/>
      <c r="G24" s="129"/>
      <c r="DC24" s="126"/>
    </row>
    <row r="25" spans="2:107" x14ac:dyDescent="0.35">
      <c r="B25" s="293" t="s">
        <v>237</v>
      </c>
      <c r="C25" s="326">
        <f>Calculation_TFP!$AO$101</f>
        <v>3.7958785702496844</v>
      </c>
      <c r="D25" s="256">
        <f>HLOOKUP($B$6&amp;"|"&amp;$D$13,'Dietary Pattern Serv'!$B$7:$U$27,13,FALSE)</f>
        <v>6</v>
      </c>
      <c r="E25" s="325">
        <f>IFERROR(($C$25/$D$25*100),"-")</f>
        <v>63.264642837494748</v>
      </c>
      <c r="G25" s="129"/>
    </row>
    <row r="26" spans="2:107" x14ac:dyDescent="0.35">
      <c r="B26" s="294" t="s">
        <v>238</v>
      </c>
      <c r="C26" s="326">
        <f>Calculation_TFP!$BD$101</f>
        <v>2.3287726661604577</v>
      </c>
      <c r="D26" s="256">
        <f>HLOOKUP($B$6&amp;"|"&amp;$D$13,'Dietary Pattern Serv'!$B$7:$U$27,14,FALSE)</f>
        <v>4</v>
      </c>
      <c r="E26" s="325">
        <f>IFERROR(($C$26/$D$26*100),"-")</f>
        <v>58.219316654011443</v>
      </c>
      <c r="G26" s="129"/>
      <c r="U26" s="124"/>
    </row>
    <row r="27" spans="2:107" x14ac:dyDescent="0.35">
      <c r="B27" s="294" t="s">
        <v>178</v>
      </c>
      <c r="C27" s="326">
        <f>Calculation_TFP!$BE$101</f>
        <v>0.69809189435036467</v>
      </c>
      <c r="D27" s="256">
        <f>HLOOKUP($B$6&amp;"|"&amp;$D$13,'Dietary Pattern Serv'!$B$7:$U$27,15,FALSE)</f>
        <v>1.29</v>
      </c>
      <c r="E27" s="325">
        <f>IFERROR(($C$27/$D$27*100),"-")</f>
        <v>54.115650724834474</v>
      </c>
      <c r="G27" s="129"/>
      <c r="U27" s="126"/>
    </row>
    <row r="28" spans="2:107" x14ac:dyDescent="0.35">
      <c r="B28" s="294" t="s">
        <v>239</v>
      </c>
      <c r="C28" s="327">
        <f>Calculation_TFP!$BF$101</f>
        <v>0.76901400997874392</v>
      </c>
      <c r="D28" s="256">
        <f>HLOOKUP($B$6&amp;"|"&amp;$D$13,'Dietary Pattern Serv'!$B$7:$U$27,16,FALSE)</f>
        <v>0.71</v>
      </c>
      <c r="E28" s="325">
        <f>IFERROR(($C$28/$D$28*100),"-")</f>
        <v>108.31183239137239</v>
      </c>
      <c r="G28" s="129"/>
      <c r="U28" s="126"/>
    </row>
    <row r="29" spans="2:107" x14ac:dyDescent="0.35">
      <c r="B29" s="294" t="s">
        <v>87</v>
      </c>
      <c r="C29" s="327">
        <f>Calculation_TFP!$BA$101</f>
        <v>0.44457161965431713</v>
      </c>
      <c r="D29" s="328" t="str">
        <f>HLOOKUP($B$6&amp;"|"&amp;$D$13,'Dietary Pattern Serv'!$B$7:$U$27,17,FALSE)</f>
        <v>-</v>
      </c>
      <c r="E29" s="325" t="str">
        <f>IFERROR(($C$29/$D$29*100),"-")</f>
        <v>-</v>
      </c>
      <c r="F29" s="124"/>
      <c r="G29" s="144"/>
      <c r="U29" s="126"/>
    </row>
    <row r="30" spans="2:107" x14ac:dyDescent="0.35">
      <c r="B30" s="294" t="s">
        <v>228</v>
      </c>
      <c r="C30" s="327" t="s">
        <v>240</v>
      </c>
      <c r="D30" s="328" t="str">
        <f>HLOOKUP($B$6&amp;"|"&amp;$D$13,'Dietary Pattern Serv'!$B$7:$U$27,18,FALSE)</f>
        <v>-</v>
      </c>
      <c r="E30" s="325" t="str">
        <f>IFERROR(($C$30/$D$30*100),"-")</f>
        <v>-</v>
      </c>
      <c r="F30" s="124"/>
      <c r="G30" s="129"/>
    </row>
    <row r="31" spans="2:107" ht="14.15" customHeight="1" x14ac:dyDescent="0.35">
      <c r="B31" s="294" t="s">
        <v>241</v>
      </c>
      <c r="C31" s="326">
        <f>Calculation_TFP!$BB$101</f>
        <v>0.10701718967700223</v>
      </c>
      <c r="D31" s="328" t="str">
        <f>HLOOKUP($B$6&amp;"|"&amp;$D$13,'Dietary Pattern Serv'!$B$7:$U$27,19,FALSE)</f>
        <v>-</v>
      </c>
      <c r="E31" s="325" t="str">
        <f>IFERROR(($C$31/$D$31*100),"-")</f>
        <v>-</v>
      </c>
      <c r="F31" s="126"/>
      <c r="G31" s="124"/>
    </row>
    <row r="32" spans="2:107" ht="15.65" customHeight="1" x14ac:dyDescent="0.35">
      <c r="B32" s="294" t="s">
        <v>242</v>
      </c>
      <c r="C32" s="326">
        <f>Calculation_TFP!$BC$101</f>
        <v>0.66199682042478403</v>
      </c>
      <c r="D32" s="328" t="str">
        <f>HLOOKUP($B$6&amp;"|"&amp;$D$13,'Dietary Pattern Serv'!$B$7:$U$27,20,FALSE)</f>
        <v>-</v>
      </c>
      <c r="E32" s="325" t="str">
        <f>IFERROR(($C$32/$D$32*100),"-")</f>
        <v>-</v>
      </c>
      <c r="F32" s="126"/>
      <c r="G32" s="126"/>
    </row>
    <row r="33" spans="2:8" ht="15" thickBot="1" x14ac:dyDescent="0.4">
      <c r="B33" s="293" t="s">
        <v>243</v>
      </c>
      <c r="C33" s="327">
        <f>Calculation_TFP!$AP$101</f>
        <v>20.080978056878475</v>
      </c>
      <c r="D33" s="256">
        <f>HLOOKUP($B$6&amp;"|"&amp;$D$13,'Dietary Pattern Serv'!$B$7:$U$27,21,FALSE)</f>
        <v>29</v>
      </c>
      <c r="E33" s="325">
        <f>IFERROR(($C$33/$D$33*100),"-")</f>
        <v>69.244751920270602</v>
      </c>
      <c r="F33" s="126"/>
    </row>
    <row r="34" spans="2:8" ht="93" customHeight="1" x14ac:dyDescent="0.35">
      <c r="B34" s="296" t="s">
        <v>244</v>
      </c>
      <c r="C34" s="297"/>
      <c r="D34" s="297"/>
      <c r="E34" s="298"/>
      <c r="F34" s="124"/>
    </row>
    <row r="35" spans="2:8" ht="15" thickBot="1" x14ac:dyDescent="0.4">
      <c r="B35" s="124"/>
      <c r="C35" s="138"/>
      <c r="D35" s="138"/>
      <c r="E35" s="125"/>
    </row>
    <row r="36" spans="2:8" ht="19" thickBot="1" x14ac:dyDescent="0.5">
      <c r="B36" s="287" t="s">
        <v>245</v>
      </c>
      <c r="C36" s="288"/>
      <c r="D36" s="288"/>
      <c r="E36" s="289"/>
      <c r="F36" s="107"/>
    </row>
    <row r="37" spans="2:8" x14ac:dyDescent="0.35">
      <c r="B37" s="299"/>
      <c r="C37" s="300" t="s">
        <v>246</v>
      </c>
      <c r="D37" s="301" t="s">
        <v>217</v>
      </c>
      <c r="E37" s="302" t="s">
        <v>218</v>
      </c>
      <c r="F37" s="142"/>
    </row>
    <row r="38" spans="2:8" ht="16" customHeight="1" thickBot="1" x14ac:dyDescent="0.4">
      <c r="B38" s="303" t="s">
        <v>247</v>
      </c>
      <c r="C38" s="273">
        <f>Calculation_TFP!$C$101</f>
        <v>1206.1389133632183</v>
      </c>
      <c r="D38" s="268">
        <f>VLOOKUP($B$6,'TFP Lower Nutr Constraints'!A4:AT11,5,FALSE)</f>
        <v>2200</v>
      </c>
      <c r="E38" s="329">
        <f>$C$38/$D$38*100</f>
        <v>54.824496061964467</v>
      </c>
      <c r="F38" s="110"/>
    </row>
    <row r="39" spans="2:8" ht="14.5" customHeight="1" thickBot="1" x14ac:dyDescent="0.4">
      <c r="G39" s="126"/>
      <c r="H39" s="126"/>
    </row>
    <row r="40" spans="2:8" ht="16" customHeight="1" thickBot="1" x14ac:dyDescent="0.4">
      <c r="B40" s="287" t="s">
        <v>248</v>
      </c>
      <c r="C40" s="288"/>
      <c r="D40" s="288"/>
      <c r="E40" s="288"/>
      <c r="F40" s="289"/>
    </row>
    <row r="41" spans="2:8" ht="15" customHeight="1" x14ac:dyDescent="0.45">
      <c r="B41" s="304"/>
      <c r="C41" s="300" t="s">
        <v>249</v>
      </c>
      <c r="D41" s="305" t="s">
        <v>250</v>
      </c>
      <c r="E41" s="283" t="s">
        <v>251</v>
      </c>
      <c r="F41" s="306" t="s">
        <v>252</v>
      </c>
    </row>
    <row r="42" spans="2:8" x14ac:dyDescent="0.35">
      <c r="B42" s="307" t="s">
        <v>253</v>
      </c>
      <c r="C42" s="330">
        <f>Calculation_TFP!$K$101/9</f>
        <v>51.723101713913714</v>
      </c>
      <c r="D42" s="331">
        <f>(($C$42*9)/($C$38))*100</f>
        <v>38.594884077422989</v>
      </c>
      <c r="E42" s="332" t="str">
        <f>VLOOKUP($B$6,'TFP Lower Nutr Constraints'!$A$14:$G$19,2,FALSE)</f>
        <v>20% to 35%</v>
      </c>
      <c r="F42" s="333" t="str">
        <f>Calculation_TFP!$K$107</f>
        <v>No</v>
      </c>
    </row>
    <row r="43" spans="2:8" x14ac:dyDescent="0.35">
      <c r="B43" s="294" t="s">
        <v>254</v>
      </c>
      <c r="C43" s="256">
        <f>Calculation_TFP!$N$101/9</f>
        <v>15.880164731575949</v>
      </c>
      <c r="D43" s="334">
        <f>(($C$43*9)/($C$38)*100)</f>
        <v>11.849504315026106</v>
      </c>
      <c r="E43" s="332" t="str">
        <f>VLOOKUP($B$6,'TFP Lower Nutr Constraints'!$A$14:$G$19,3,FALSE)</f>
        <v>less than 10%</v>
      </c>
      <c r="F43" s="335" t="str">
        <f>Calculation_TFP!$N$107</f>
        <v>No</v>
      </c>
    </row>
    <row r="44" spans="2:8" x14ac:dyDescent="0.35">
      <c r="B44" s="294" t="s">
        <v>255</v>
      </c>
      <c r="C44" s="256">
        <f>Calculation_TFP!$L$101/9</f>
        <v>11.194403251298876</v>
      </c>
      <c r="D44" s="334">
        <f>(($C$44*9)/($C$38)*100)</f>
        <v>8.353070126952284</v>
      </c>
      <c r="E44" s="332" t="str">
        <f>VLOOKUP($B$6,'TFP Lower Nutr Constraints'!$A$14:$G$19,4,FALSE)</f>
        <v>5% to 10%</v>
      </c>
      <c r="F44" s="335" t="str">
        <f>Calculation_TFP!$L$107</f>
        <v>Yes</v>
      </c>
    </row>
    <row r="45" spans="2:8" x14ac:dyDescent="0.35">
      <c r="B45" s="308" t="s">
        <v>256</v>
      </c>
      <c r="C45" s="256">
        <f>Calculation_TFP!$M$101/9</f>
        <v>1.1095575605203933</v>
      </c>
      <c r="D45" s="256">
        <f>(($C$45*9)/($C$38)*100)</f>
        <v>0.82793266464128557</v>
      </c>
      <c r="E45" s="332" t="str">
        <f>VLOOKUP($B$6,'TFP Lower Nutr Constraints'!$A$14:$G$19,5,FALSE)</f>
        <v>0.6% to 1.2%</v>
      </c>
      <c r="F45" s="335" t="str">
        <f>Calculation_TFP!$M$107</f>
        <v>Yes</v>
      </c>
    </row>
    <row r="46" spans="2:8" x14ac:dyDescent="0.35">
      <c r="B46" s="293" t="s">
        <v>257</v>
      </c>
      <c r="C46" s="256">
        <f>Calculation_TFP!$J$101/4</f>
        <v>144.74987624589443</v>
      </c>
      <c r="D46" s="334">
        <f>(($C$46*4)/($C$38))*100</f>
        <v>48.004379808050935</v>
      </c>
      <c r="E46" s="332" t="str">
        <f>VLOOKUP($B$6,'TFP Lower Nutr Constraints'!$A$14:$G$19,6,FALSE)</f>
        <v>45% to 65%</v>
      </c>
      <c r="F46" s="335" t="str">
        <f>Calculation_TFP!$J$107</f>
        <v>Yes</v>
      </c>
    </row>
    <row r="47" spans="2:8" ht="16" customHeight="1" thickBot="1" x14ac:dyDescent="0.4">
      <c r="B47" s="303" t="s">
        <v>258</v>
      </c>
      <c r="C47" s="259">
        <f>Calculation_TFP!$I$101/4</f>
        <v>45.89215533808617</v>
      </c>
      <c r="D47" s="336">
        <f>(($C$47*4)/($C$38))*100</f>
        <v>15.219525654841764</v>
      </c>
      <c r="E47" s="337" t="str">
        <f>VLOOKUP($B$6,'TFP Lower Nutr Constraints'!$A$14:$G$19,7,FALSE)</f>
        <v>10% to 35%</v>
      </c>
      <c r="F47" s="338" t="str">
        <f>Calculation_TFP!$I$107</f>
        <v>Yes</v>
      </c>
    </row>
    <row r="48" spans="2:8" ht="15" thickBot="1" x14ac:dyDescent="0.4">
      <c r="B48" s="110"/>
      <c r="C48" s="110"/>
      <c r="D48" s="110"/>
      <c r="E48" s="110"/>
      <c r="F48" s="110"/>
    </row>
    <row r="49" spans="2:7" ht="16" thickBot="1" x14ac:dyDescent="0.4">
      <c r="B49" s="279" t="s">
        <v>259</v>
      </c>
      <c r="C49" s="280"/>
      <c r="D49" s="280"/>
      <c r="E49" s="281"/>
      <c r="F49" s="142"/>
      <c r="G49" s="126"/>
    </row>
    <row r="50" spans="2:7" x14ac:dyDescent="0.35">
      <c r="B50" s="309"/>
      <c r="C50" s="310" t="s">
        <v>260</v>
      </c>
      <c r="D50" s="311" t="s">
        <v>217</v>
      </c>
      <c r="E50" s="312" t="s">
        <v>218</v>
      </c>
      <c r="F50" s="145"/>
      <c r="G50" s="126"/>
    </row>
    <row r="51" spans="2:7" x14ac:dyDescent="0.35">
      <c r="B51" s="313" t="s">
        <v>261</v>
      </c>
      <c r="C51" s="339">
        <f>Calculation_TFP!$O$101</f>
        <v>532.96972701603374</v>
      </c>
      <c r="D51" s="256">
        <f>VLOOKUP($B$6,'TFP Lower Nutr Constraints'!$A$4:$AT$11,2,FALSE)</f>
        <v>1000</v>
      </c>
      <c r="E51" s="340">
        <f>$C$51/$D$51*100</f>
        <v>53.296972701603373</v>
      </c>
      <c r="F51" s="145"/>
    </row>
    <row r="52" spans="2:7" x14ac:dyDescent="0.35">
      <c r="B52" s="314" t="s">
        <v>262</v>
      </c>
      <c r="C52" s="341">
        <f>Calculation_TFP!$P$101</f>
        <v>202.75905721710453</v>
      </c>
      <c r="D52" s="256">
        <f>VLOOKUP($B$6,'TFP Lower Nutr Constraints'!$A$4:$AT$11,3,FALSE)</f>
        <v>425</v>
      </c>
      <c r="E52" s="340">
        <f>$C$52/$D$52*100</f>
        <v>47.708013462848129</v>
      </c>
      <c r="F52" s="145"/>
    </row>
    <row r="53" spans="2:7" x14ac:dyDescent="0.35">
      <c r="B53" s="314" t="s">
        <v>263</v>
      </c>
      <c r="C53" s="341">
        <f>Calculation_TFP!$R$101</f>
        <v>0.69809365067565943</v>
      </c>
      <c r="D53" s="256">
        <f>VLOOKUP($B$6,'TFP Lower Nutr Constraints'!$A$4:$AT$11,4,FALSE)</f>
        <v>0.9</v>
      </c>
      <c r="E53" s="340">
        <f>$C$53/$D$53*100</f>
        <v>77.565961186184367</v>
      </c>
      <c r="F53" s="145"/>
    </row>
    <row r="54" spans="2:7" x14ac:dyDescent="0.35">
      <c r="B54" s="314" t="s">
        <v>264</v>
      </c>
      <c r="C54" s="341">
        <f>Calculation_TFP!$S$101</f>
        <v>11.639949057897201</v>
      </c>
      <c r="D54" s="256">
        <f>VLOOKUP($B$6,'TFP Lower Nutr Constraints'!$A$4:$AT$11,6,FALSE)</f>
        <v>30.8</v>
      </c>
      <c r="E54" s="340">
        <f>$C$54/$D$54*100</f>
        <v>37.792042395770132</v>
      </c>
      <c r="F54" s="145"/>
    </row>
    <row r="55" spans="2:7" x14ac:dyDescent="0.35">
      <c r="B55" s="314" t="s">
        <v>265</v>
      </c>
      <c r="C55" s="341">
        <f>Calculation_TFP!$U$101</f>
        <v>319.24815415342897</v>
      </c>
      <c r="D55" s="256">
        <f>VLOOKUP($B$6,'TFP Lower Nutr Constraints'!$A$4:$AT$11,8,FALSE)</f>
        <v>400</v>
      </c>
      <c r="E55" s="340">
        <f>$C$55/$D$55*100</f>
        <v>79.812038538357243</v>
      </c>
      <c r="F55" s="145"/>
    </row>
    <row r="56" spans="2:7" x14ac:dyDescent="0.35">
      <c r="B56" s="314" t="s">
        <v>266</v>
      </c>
      <c r="C56" s="341">
        <f>Calculation_TFP!$V$101</f>
        <v>8.5008056914307648</v>
      </c>
      <c r="D56" s="256">
        <f>VLOOKUP($B$6,'TFP Lower Nutr Constraints'!$A$4:$AT$11,9,FALSE)</f>
        <v>18</v>
      </c>
      <c r="E56" s="340">
        <f>$C$56/$D$56*100</f>
        <v>47.226698285726471</v>
      </c>
      <c r="F56" s="145"/>
    </row>
    <row r="57" spans="2:7" x14ac:dyDescent="0.35">
      <c r="B57" s="314" t="s">
        <v>267</v>
      </c>
      <c r="C57" s="341">
        <f>Calculation_TFP!$W$101</f>
        <v>173.81470300037313</v>
      </c>
      <c r="D57" s="256">
        <f>VLOOKUP($B$6,'TFP Lower Nutr Constraints'!$A$4:$AT$11,10,FALSE)</f>
        <v>320</v>
      </c>
      <c r="E57" s="340">
        <f>$C$57/$D$57*100</f>
        <v>54.31709468761661</v>
      </c>
      <c r="F57" s="145"/>
    </row>
    <row r="58" spans="2:7" x14ac:dyDescent="0.35">
      <c r="B58" s="314" t="s">
        <v>268</v>
      </c>
      <c r="C58" s="341">
        <f>Calculation_TFP!$X$101</f>
        <v>14.424296499800468</v>
      </c>
      <c r="D58" s="256">
        <f>VLOOKUP($B$6,'TFP Lower Nutr Constraints'!$A$4:$AT$11,11,FALSE)</f>
        <v>14</v>
      </c>
      <c r="E58" s="340">
        <f>$C$58/$D$58*100</f>
        <v>103.03068928428904</v>
      </c>
      <c r="F58" s="145"/>
      <c r="G58" s="143"/>
    </row>
    <row r="59" spans="2:7" x14ac:dyDescent="0.35">
      <c r="B59" s="314" t="s">
        <v>269</v>
      </c>
      <c r="C59" s="341">
        <f>Calculation_TFP!$Y$101</f>
        <v>803.89113195325717</v>
      </c>
      <c r="D59" s="256">
        <f>VLOOKUP($B$6,'TFP Lower Nutr Constraints'!$A$4:$AT$11,12,FALSE)</f>
        <v>700</v>
      </c>
      <c r="E59" s="340">
        <f>$C$59/$D$59*100</f>
        <v>114.84159027903674</v>
      </c>
      <c r="F59" s="142"/>
      <c r="G59" s="126"/>
    </row>
    <row r="60" spans="2:7" x14ac:dyDescent="0.35">
      <c r="B60" s="314" t="s">
        <v>270</v>
      </c>
      <c r="C60" s="341">
        <f>Calculation_TFP!$Z$101</f>
        <v>1653.3459308214483</v>
      </c>
      <c r="D60" s="256">
        <f>VLOOKUP($B$6,'TFP Lower Nutr Constraints'!$A$4:$AT$11,13,FALSE)</f>
        <v>2600</v>
      </c>
      <c r="E60" s="340">
        <f>$C$60/$D$60*100</f>
        <v>63.590228108517245</v>
      </c>
      <c r="F60" s="110"/>
    </row>
    <row r="61" spans="2:7" x14ac:dyDescent="0.35">
      <c r="B61" s="314" t="s">
        <v>271</v>
      </c>
      <c r="C61" s="341">
        <f>Calculation_TFP!$AA$101</f>
        <v>1.1859694317196636</v>
      </c>
      <c r="D61" s="256">
        <f>VLOOKUP($B$6,'TFP Lower Nutr Constraints'!$A$4:$AT$11,14,FALSE)</f>
        <v>1.1000000000000001</v>
      </c>
      <c r="E61" s="340">
        <f>$C$61/$D$61*100</f>
        <v>107.81540288360578</v>
      </c>
      <c r="F61" s="110"/>
    </row>
    <row r="62" spans="2:7" x14ac:dyDescent="0.35">
      <c r="B62" s="314" t="s">
        <v>272</v>
      </c>
      <c r="C62" s="341">
        <f>Calculation_TFP!$AC$101</f>
        <v>0.90437644188440569</v>
      </c>
      <c r="D62" s="256">
        <f>VLOOKUP($B$6,'TFP Lower Nutr Constraints'!$A$4:$AT$11,16,FALSE)</f>
        <v>1.1000000000000001</v>
      </c>
      <c r="E62" s="340">
        <f>$C$62/$D$62*100</f>
        <v>82.216040171309601</v>
      </c>
      <c r="F62" s="110"/>
    </row>
    <row r="63" spans="2:7" x14ac:dyDescent="0.35">
      <c r="B63" s="314" t="s">
        <v>273</v>
      </c>
      <c r="C63" s="341">
        <f>Calculation_TFP!$AI$101</f>
        <v>480.32456695189512</v>
      </c>
      <c r="D63" s="256">
        <f>VLOOKUP($B$6,'TFP Lower Nutr Constraints'!$A$4:$AT$11,22,FALSE)</f>
        <v>700</v>
      </c>
      <c r="E63" s="340">
        <f>$C$63/$D$63*100</f>
        <v>68.617795278842166</v>
      </c>
      <c r="F63" s="110"/>
    </row>
    <row r="64" spans="2:7" x14ac:dyDescent="0.35">
      <c r="B64" s="314" t="s">
        <v>274</v>
      </c>
      <c r="C64" s="341">
        <f>Calculation_TFP!$AE$101</f>
        <v>1.3230245375856373</v>
      </c>
      <c r="D64" s="256">
        <f>VLOOKUP($B$6,'TFP Lower Nutr Constraints'!$A$4:$AT$11,18,FALSE)</f>
        <v>1.3</v>
      </c>
      <c r="E64" s="340">
        <f>$C$64/$D$64*100</f>
        <v>101.77111827581827</v>
      </c>
      <c r="F64" s="110"/>
    </row>
    <row r="65" spans="2:6" x14ac:dyDescent="0.35">
      <c r="B65" s="314" t="s">
        <v>275</v>
      </c>
      <c r="C65" s="341">
        <f>Calculation_TFP!$AD$101</f>
        <v>2.9236988368724401</v>
      </c>
      <c r="D65" s="256">
        <f>VLOOKUP($B$6,'TFP Lower Nutr Constraints'!$A$4:$AT$11,17,FALSE)</f>
        <v>2.4</v>
      </c>
      <c r="E65" s="340">
        <f>$C$65/$D$65*100</f>
        <v>121.82078486968501</v>
      </c>
      <c r="F65" s="110"/>
    </row>
    <row r="66" spans="2:6" x14ac:dyDescent="0.35">
      <c r="B66" s="314" t="s">
        <v>276</v>
      </c>
      <c r="C66" s="341">
        <f>Calculation_TFP!$AF$101</f>
        <v>65.916564711893926</v>
      </c>
      <c r="D66" s="256">
        <f>VLOOKUP($B$6,'TFP Lower Nutr Constraints'!$A$4:$AT$11,19,FALSE)</f>
        <v>75</v>
      </c>
      <c r="E66" s="340">
        <f>$C$66/$D$66*100</f>
        <v>87.888752949191911</v>
      </c>
      <c r="F66" s="110"/>
    </row>
    <row r="67" spans="2:6" x14ac:dyDescent="0.35">
      <c r="B67" s="314" t="s">
        <v>277</v>
      </c>
      <c r="C67" s="324">
        <f>Calculation_TFP!$AG$101</f>
        <v>7.0976604394674876</v>
      </c>
      <c r="D67" s="256">
        <f>VLOOKUP($B$6,'TFP Lower Nutr Constraints'!$A$4:$AT$11,20,FALSE)</f>
        <v>12.75</v>
      </c>
      <c r="E67" s="340">
        <f>$C$67/$D$67*100</f>
        <v>55.667925015431273</v>
      </c>
      <c r="F67" s="110"/>
    </row>
    <row r="68" spans="2:6" x14ac:dyDescent="0.35">
      <c r="B68" s="314" t="s">
        <v>278</v>
      </c>
      <c r="C68" s="324">
        <f>Calculation_TFP!$AH$101</f>
        <v>109.78255854042591</v>
      </c>
      <c r="D68" s="256">
        <f>VLOOKUP($B$6,'TFP Lower Nutr Constraints'!$A$4:$AT$11,21,FALSE)</f>
        <v>90</v>
      </c>
      <c r="E68" s="340">
        <f>$C$68/$D$68*100</f>
        <v>121.98062060047323</v>
      </c>
      <c r="F68" s="110"/>
    </row>
    <row r="69" spans="2:6" x14ac:dyDescent="0.35">
      <c r="B69" s="315" t="s">
        <v>279</v>
      </c>
      <c r="C69" s="342">
        <f>Calculation_TFP!$AJ$101</f>
        <v>6.102249213288645</v>
      </c>
      <c r="D69" s="341">
        <f>VLOOKUP($B$6,'TFP Lower Nutr Constraints'!$A$4:$AT$11,23,FALSE)</f>
        <v>8</v>
      </c>
      <c r="E69" s="343">
        <f>$C$69/$D$69*100</f>
        <v>76.278115166108066</v>
      </c>
      <c r="F69" s="110"/>
    </row>
    <row r="70" spans="2:6" x14ac:dyDescent="0.35">
      <c r="B70" s="314" t="s">
        <v>280</v>
      </c>
      <c r="C70" s="256">
        <f>Calculation_TFP!$AB$101</f>
        <v>1746.4071272392785</v>
      </c>
      <c r="D70" s="256">
        <f>VLOOKUP($B$6,'TFP Upper Nutr Constraints'!$A$4:$AT$11,15,FALSE)</f>
        <v>3072</v>
      </c>
      <c r="E70" s="344">
        <f>$C$70/$D$70*100</f>
        <v>56.849190339820268</v>
      </c>
      <c r="F70" s="110"/>
    </row>
    <row r="71" spans="2:6" ht="15" thickBot="1" x14ac:dyDescent="0.4">
      <c r="B71" s="286" t="s">
        <v>281</v>
      </c>
      <c r="C71" s="321">
        <f>(Calculation_TFP!$AQ$101)/4</f>
        <v>39.450798200459374</v>
      </c>
      <c r="D71" s="321">
        <f>VLOOKUP($B$6,'TFP Upper Nutr Constraints'!$A$4:$AT$11,36,FALSE)/4</f>
        <v>55</v>
      </c>
      <c r="E71" s="345">
        <f>$C$71/$D$71*100</f>
        <v>71.728724000835228</v>
      </c>
      <c r="F71" s="110"/>
    </row>
    <row r="72" spans="2:6" ht="48.65" customHeight="1" x14ac:dyDescent="0.35">
      <c r="B72" s="296" t="s">
        <v>282</v>
      </c>
      <c r="C72" s="316"/>
      <c r="D72" s="316"/>
      <c r="E72" s="317"/>
      <c r="F72" s="110"/>
    </row>
    <row r="73" spans="2:6" ht="15" thickBot="1" x14ac:dyDescent="0.4">
      <c r="B73" s="110"/>
      <c r="C73" s="110"/>
      <c r="D73" s="125"/>
      <c r="E73" s="110"/>
    </row>
    <row r="74" spans="2:6" ht="16.5" customHeight="1" x14ac:dyDescent="0.35">
      <c r="B74" s="202" t="s">
        <v>28</v>
      </c>
      <c r="C74" s="204"/>
    </row>
    <row r="75" spans="2:6" ht="15.5" x14ac:dyDescent="0.35">
      <c r="B75" s="318" t="s">
        <v>27</v>
      </c>
      <c r="C75" s="346">
        <f>'Distance Function'!$C$103</f>
        <v>0</v>
      </c>
      <c r="D75" s="146"/>
    </row>
    <row r="76" spans="2:6" ht="15" thickBot="1" x14ac:dyDescent="0.4">
      <c r="B76" s="319" t="s">
        <v>283</v>
      </c>
      <c r="C76" s="329">
        <f>'Distance Function'!$L$103</f>
        <v>4478.4751627095748</v>
      </c>
      <c r="D76" s="110"/>
    </row>
    <row r="77" spans="2:6" ht="18.5" x14ac:dyDescent="0.45">
      <c r="B77" s="147"/>
      <c r="C77" s="110"/>
      <c r="D77" s="110"/>
    </row>
    <row r="81" spans="2:2" ht="18.5" x14ac:dyDescent="0.45">
      <c r="B81" s="147"/>
    </row>
  </sheetData>
  <sheetProtection sheet="1" objects="1" scenarios="1" selectLockedCells="1"/>
  <mergeCells count="9">
    <mergeCell ref="B2:E2"/>
    <mergeCell ref="B49:E49"/>
    <mergeCell ref="B74:C74"/>
    <mergeCell ref="B8:E8"/>
    <mergeCell ref="B12:E12"/>
    <mergeCell ref="B36:E36"/>
    <mergeCell ref="B40:F40"/>
    <mergeCell ref="B34:E34"/>
    <mergeCell ref="B72:E72"/>
  </mergeCells>
  <conditionalFormatting sqref="E10">
    <cfRule type="cellIs" dxfId="8" priority="5" operator="lessThan">
      <formula>100</formula>
    </cfRule>
    <cfRule type="cellIs" dxfId="7" priority="14" operator="between">
      <formula>95</formula>
      <formula>100</formula>
    </cfRule>
  </conditionalFormatting>
  <conditionalFormatting sqref="E14:E22">
    <cfRule type="cellIs" dxfId="6" priority="13" operator="greaterThan">
      <formula>100</formula>
    </cfRule>
  </conditionalFormatting>
  <conditionalFormatting sqref="E23">
    <cfRule type="cellIs" dxfId="5" priority="12" operator="lessThan">
      <formula>100</formula>
    </cfRule>
  </conditionalFormatting>
  <conditionalFormatting sqref="E24:E33 E35">
    <cfRule type="cellIs" dxfId="4" priority="11" operator="greaterThan">
      <formula>100</formula>
    </cfRule>
  </conditionalFormatting>
  <conditionalFormatting sqref="E38">
    <cfRule type="cellIs" dxfId="3" priority="15" operator="greaterThan">
      <formula>100</formula>
    </cfRule>
  </conditionalFormatting>
  <conditionalFormatting sqref="E51:E69">
    <cfRule type="cellIs" dxfId="2" priority="3" operator="greaterThan">
      <formula>100</formula>
    </cfRule>
  </conditionalFormatting>
  <conditionalFormatting sqref="E70:E71">
    <cfRule type="cellIs" dxfId="1" priority="1" operator="lessThan">
      <formula>100</formula>
    </cfRule>
  </conditionalFormatting>
  <conditionalFormatting sqref="F42:F47">
    <cfRule type="cellIs" dxfId="0" priority="10" operator="equal">
      <formula>"Yes"</formula>
    </cfRule>
  </conditionalFormatting>
  <dataValidations count="1">
    <dataValidation type="list" allowBlank="1" showInputMessage="1" showErrorMessage="1" sqref="D13" xr:uid="{EA344108-FABE-43E9-A02A-A6392D341850}">
      <formula1>$DC$13:$DC$15</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AD21-7B18-48BE-AF93-60FA4CCE643A}">
  <sheetPr>
    <tabColor theme="2" tint="-0.249977111117893"/>
  </sheetPr>
  <dimension ref="B1:W104"/>
  <sheetViews>
    <sheetView topLeftCell="A24" zoomScale="70" zoomScaleNormal="70" workbookViewId="0">
      <selection activeCell="H10" sqref="H10"/>
    </sheetView>
  </sheetViews>
  <sheetFormatPr defaultRowHeight="14.5" x14ac:dyDescent="0.35"/>
  <cols>
    <col min="1" max="1" width="8.7265625" style="109"/>
    <col min="2" max="2" width="4.54296875" style="109" customWidth="1"/>
    <col min="3" max="3" width="24.81640625" style="109" customWidth="1"/>
    <col min="4" max="4" width="41.54296875" style="109" customWidth="1"/>
    <col min="5" max="5" width="42.7265625" style="109" customWidth="1"/>
    <col min="6" max="6" width="65.453125" style="109" customWidth="1"/>
    <col min="7" max="7" width="10.81640625" style="109" customWidth="1"/>
    <col min="8" max="8" width="10.54296875" style="109" customWidth="1"/>
    <col min="9" max="16384" width="8.7265625" style="109"/>
  </cols>
  <sheetData>
    <row r="1" spans="2:23" ht="14.5" customHeight="1" thickBot="1" x14ac:dyDescent="0.5">
      <c r="C1" s="107"/>
      <c r="D1" s="110"/>
      <c r="E1" s="110"/>
      <c r="F1" s="110"/>
      <c r="G1" s="110"/>
      <c r="H1" s="110"/>
      <c r="I1" s="110"/>
      <c r="J1" s="110"/>
      <c r="K1" s="124"/>
      <c r="L1" s="110"/>
      <c r="M1" s="123"/>
      <c r="N1" s="125"/>
      <c r="O1" s="124"/>
      <c r="P1" s="124"/>
      <c r="Q1" s="110"/>
      <c r="R1" s="110"/>
      <c r="S1" s="110"/>
      <c r="T1" s="110"/>
    </row>
    <row r="2" spans="2:23" ht="34.5" customHeight="1" thickBot="1" x14ac:dyDescent="0.4">
      <c r="B2" s="174" t="s">
        <v>284</v>
      </c>
      <c r="C2" s="166"/>
      <c r="D2" s="166"/>
      <c r="E2" s="166"/>
      <c r="F2" s="167"/>
      <c r="G2" s="139"/>
      <c r="H2" s="139"/>
      <c r="I2" s="139"/>
      <c r="J2" s="139"/>
      <c r="K2" s="139"/>
      <c r="L2" s="139"/>
      <c r="M2" s="139"/>
      <c r="N2" s="139"/>
      <c r="O2" s="139"/>
      <c r="P2" s="139"/>
      <c r="Q2" s="139"/>
      <c r="R2" s="139"/>
      <c r="S2" s="139"/>
      <c r="T2" s="139"/>
      <c r="W2" s="126"/>
    </row>
    <row r="3" spans="2:23" ht="15" customHeight="1" x14ac:dyDescent="0.35">
      <c r="B3" s="110"/>
      <c r="C3" s="127"/>
      <c r="D3" s="127"/>
      <c r="E3" s="127"/>
      <c r="F3" s="127"/>
      <c r="G3" s="127"/>
      <c r="H3" s="127"/>
      <c r="I3" s="139"/>
      <c r="J3" s="139"/>
      <c r="K3" s="139"/>
      <c r="L3" s="139"/>
      <c r="M3" s="139"/>
      <c r="N3" s="139"/>
      <c r="O3" s="139"/>
      <c r="P3" s="139"/>
      <c r="Q3" s="139"/>
      <c r="R3" s="139"/>
      <c r="S3" s="139"/>
      <c r="T3" s="139"/>
      <c r="W3" s="126"/>
    </row>
    <row r="4" spans="2:23" ht="15" thickBot="1" x14ac:dyDescent="0.4">
      <c r="B4" s="110"/>
      <c r="C4" s="110"/>
      <c r="D4" s="110"/>
      <c r="E4" s="110"/>
    </row>
    <row r="5" spans="2:23" ht="35.5" customHeight="1" x14ac:dyDescent="0.35">
      <c r="B5" s="149" t="s">
        <v>34</v>
      </c>
      <c r="C5" s="150" t="s">
        <v>35</v>
      </c>
      <c r="D5" s="151" t="s">
        <v>26</v>
      </c>
      <c r="E5" s="152" t="s">
        <v>285</v>
      </c>
      <c r="F5" s="153" t="s">
        <v>286</v>
      </c>
      <c r="G5" s="133"/>
      <c r="H5" s="133"/>
    </row>
    <row r="6" spans="2:23" ht="52" customHeight="1" x14ac:dyDescent="0.35">
      <c r="B6" s="154">
        <v>1</v>
      </c>
      <c r="C6" s="155" t="s">
        <v>41</v>
      </c>
      <c r="D6" s="155" t="s">
        <v>42</v>
      </c>
      <c r="E6" s="156" t="s">
        <v>42</v>
      </c>
      <c r="F6" s="157" t="s">
        <v>287</v>
      </c>
      <c r="G6" s="148"/>
      <c r="H6" s="148"/>
      <c r="I6" s="110"/>
    </row>
    <row r="7" spans="2:23" ht="43.5" x14ac:dyDescent="0.35">
      <c r="B7" s="158">
        <v>2</v>
      </c>
      <c r="C7" s="159" t="s">
        <v>43</v>
      </c>
      <c r="D7" s="159" t="s">
        <v>44</v>
      </c>
      <c r="E7" s="156" t="s">
        <v>288</v>
      </c>
      <c r="F7" s="157" t="s">
        <v>289</v>
      </c>
      <c r="G7" s="148"/>
      <c r="H7" s="148"/>
      <c r="I7" s="110"/>
    </row>
    <row r="8" spans="2:23" ht="47.15" customHeight="1" x14ac:dyDescent="0.35">
      <c r="B8" s="158">
        <v>3</v>
      </c>
      <c r="C8" s="159" t="s">
        <v>45</v>
      </c>
      <c r="D8" s="159" t="s">
        <v>46</v>
      </c>
      <c r="E8" s="156" t="s">
        <v>290</v>
      </c>
      <c r="F8" s="160" t="s">
        <v>291</v>
      </c>
      <c r="G8" s="148"/>
      <c r="H8" s="148"/>
      <c r="I8" s="110"/>
    </row>
    <row r="9" spans="2:23" ht="34" customHeight="1" x14ac:dyDescent="0.35">
      <c r="B9" s="158">
        <v>4</v>
      </c>
      <c r="C9" s="159" t="s">
        <v>47</v>
      </c>
      <c r="D9" s="159" t="s">
        <v>292</v>
      </c>
      <c r="E9" s="156" t="s">
        <v>293</v>
      </c>
      <c r="F9" s="157" t="s">
        <v>294</v>
      </c>
      <c r="G9" s="148"/>
      <c r="H9" s="148"/>
      <c r="I9" s="110"/>
    </row>
    <row r="10" spans="2:23" ht="33" customHeight="1" x14ac:dyDescent="0.35">
      <c r="B10" s="158">
        <v>5</v>
      </c>
      <c r="C10" s="159" t="s">
        <v>49</v>
      </c>
      <c r="D10" s="159" t="s">
        <v>50</v>
      </c>
      <c r="E10" s="156" t="s">
        <v>295</v>
      </c>
      <c r="F10" s="160" t="s">
        <v>296</v>
      </c>
      <c r="G10" s="148"/>
      <c r="H10" s="148"/>
      <c r="I10" s="110"/>
    </row>
    <row r="11" spans="2:23" ht="35.5" customHeight="1" x14ac:dyDescent="0.35">
      <c r="B11" s="158">
        <v>6</v>
      </c>
      <c r="C11" s="159" t="s">
        <v>52</v>
      </c>
      <c r="D11" s="159" t="s">
        <v>53</v>
      </c>
      <c r="E11" s="156" t="s">
        <v>297</v>
      </c>
      <c r="F11" s="160" t="s">
        <v>298</v>
      </c>
      <c r="G11" s="148"/>
      <c r="H11" s="148"/>
      <c r="I11" s="110"/>
    </row>
    <row r="12" spans="2:23" ht="62.15" customHeight="1" x14ac:dyDescent="0.35">
      <c r="B12" s="158">
        <v>7</v>
      </c>
      <c r="C12" s="159" t="s">
        <v>55</v>
      </c>
      <c r="D12" s="159" t="s">
        <v>56</v>
      </c>
      <c r="E12" s="156" t="s">
        <v>299</v>
      </c>
      <c r="F12" s="160" t="s">
        <v>300</v>
      </c>
      <c r="G12" s="148"/>
      <c r="H12" s="148"/>
      <c r="I12" s="110"/>
    </row>
    <row r="13" spans="2:23" ht="19" customHeight="1" x14ac:dyDescent="0.35">
      <c r="B13" s="158">
        <v>8</v>
      </c>
      <c r="C13" s="159" t="s">
        <v>58</v>
      </c>
      <c r="D13" s="159" t="s">
        <v>59</v>
      </c>
      <c r="E13" s="156" t="s">
        <v>301</v>
      </c>
      <c r="F13" s="160" t="s">
        <v>302</v>
      </c>
      <c r="G13" s="148"/>
      <c r="H13" s="148"/>
      <c r="I13" s="110"/>
    </row>
    <row r="14" spans="2:23" ht="36.65" customHeight="1" x14ac:dyDescent="0.35">
      <c r="B14" s="158">
        <v>9</v>
      </c>
      <c r="C14" s="159" t="s">
        <v>61</v>
      </c>
      <c r="D14" s="159" t="s">
        <v>62</v>
      </c>
      <c r="E14" s="156" t="s">
        <v>62</v>
      </c>
      <c r="F14" s="160" t="s">
        <v>303</v>
      </c>
      <c r="G14" s="148"/>
      <c r="H14" s="148"/>
      <c r="I14" s="110"/>
    </row>
    <row r="15" spans="2:23" ht="43.5" x14ac:dyDescent="0.35">
      <c r="B15" s="158">
        <v>10</v>
      </c>
      <c r="C15" s="159" t="s">
        <v>63</v>
      </c>
      <c r="D15" s="159" t="s">
        <v>64</v>
      </c>
      <c r="E15" s="156" t="s">
        <v>304</v>
      </c>
      <c r="F15" s="161" t="s">
        <v>305</v>
      </c>
      <c r="G15" s="148"/>
      <c r="H15" s="148"/>
      <c r="I15" s="110"/>
    </row>
    <row r="16" spans="2:23" ht="58" x14ac:dyDescent="0.35">
      <c r="B16" s="158">
        <v>11</v>
      </c>
      <c r="C16" s="159" t="s">
        <v>66</v>
      </c>
      <c r="D16" s="159" t="s">
        <v>64</v>
      </c>
      <c r="E16" s="156" t="s">
        <v>306</v>
      </c>
      <c r="F16" s="160" t="s">
        <v>307</v>
      </c>
      <c r="G16" s="148"/>
      <c r="H16" s="148"/>
      <c r="I16" s="110"/>
    </row>
    <row r="17" spans="2:9" ht="117.75" customHeight="1" x14ac:dyDescent="0.35">
      <c r="B17" s="158">
        <v>12</v>
      </c>
      <c r="C17" s="159" t="s">
        <v>68</v>
      </c>
      <c r="D17" s="159" t="s">
        <v>69</v>
      </c>
      <c r="E17" s="156" t="s">
        <v>308</v>
      </c>
      <c r="F17" s="160" t="s">
        <v>309</v>
      </c>
      <c r="G17" s="148"/>
      <c r="H17" s="148"/>
      <c r="I17" s="110"/>
    </row>
    <row r="18" spans="2:9" ht="178.5" customHeight="1" x14ac:dyDescent="0.35">
      <c r="B18" s="158">
        <v>13</v>
      </c>
      <c r="C18" s="159" t="s">
        <v>70</v>
      </c>
      <c r="D18" s="159" t="s">
        <v>71</v>
      </c>
      <c r="E18" s="156" t="s">
        <v>310</v>
      </c>
      <c r="F18" s="160" t="s">
        <v>311</v>
      </c>
      <c r="G18" s="148"/>
      <c r="H18" s="148"/>
      <c r="I18" s="110"/>
    </row>
    <row r="19" spans="2:9" ht="53.5" customHeight="1" x14ac:dyDescent="0.35">
      <c r="B19" s="158">
        <v>14</v>
      </c>
      <c r="C19" s="159" t="s">
        <v>73</v>
      </c>
      <c r="D19" s="159" t="s">
        <v>74</v>
      </c>
      <c r="E19" s="156" t="s">
        <v>312</v>
      </c>
      <c r="F19" s="161" t="s">
        <v>313</v>
      </c>
      <c r="G19" s="148"/>
      <c r="H19" s="148"/>
      <c r="I19" s="110"/>
    </row>
    <row r="20" spans="2:9" ht="96.65" customHeight="1" x14ac:dyDescent="0.35">
      <c r="B20" s="158">
        <v>15</v>
      </c>
      <c r="C20" s="159" t="s">
        <v>76</v>
      </c>
      <c r="D20" s="159" t="s">
        <v>74</v>
      </c>
      <c r="E20" s="156" t="s">
        <v>314</v>
      </c>
      <c r="F20" s="160" t="s">
        <v>315</v>
      </c>
      <c r="G20" s="148"/>
      <c r="H20" s="148"/>
      <c r="I20" s="110"/>
    </row>
    <row r="21" spans="2:9" ht="80.25" customHeight="1" x14ac:dyDescent="0.35">
      <c r="B21" s="158">
        <v>16</v>
      </c>
      <c r="C21" s="159" t="s">
        <v>77</v>
      </c>
      <c r="D21" s="159" t="s">
        <v>78</v>
      </c>
      <c r="E21" s="156" t="s">
        <v>316</v>
      </c>
      <c r="F21" s="160" t="s">
        <v>317</v>
      </c>
      <c r="G21" s="148"/>
      <c r="H21" s="148"/>
      <c r="I21" s="110"/>
    </row>
    <row r="22" spans="2:9" ht="100.5" customHeight="1" x14ac:dyDescent="0.35">
      <c r="B22" s="158">
        <v>17</v>
      </c>
      <c r="C22" s="159" t="s">
        <v>79</v>
      </c>
      <c r="D22" s="159" t="s">
        <v>80</v>
      </c>
      <c r="E22" s="156" t="s">
        <v>318</v>
      </c>
      <c r="F22" s="160" t="s">
        <v>319</v>
      </c>
      <c r="G22" s="148"/>
      <c r="H22" s="148"/>
      <c r="I22" s="110"/>
    </row>
    <row r="23" spans="2:9" ht="36.75" customHeight="1" x14ac:dyDescent="0.35">
      <c r="B23" s="158">
        <v>18</v>
      </c>
      <c r="C23" s="159" t="s">
        <v>82</v>
      </c>
      <c r="D23" s="159" t="s">
        <v>83</v>
      </c>
      <c r="E23" s="156" t="s">
        <v>320</v>
      </c>
      <c r="F23" s="160" t="s">
        <v>240</v>
      </c>
      <c r="G23" s="148"/>
      <c r="H23" s="148"/>
      <c r="I23" s="110"/>
    </row>
    <row r="24" spans="2:9" ht="39.75" customHeight="1" x14ac:dyDescent="0.35">
      <c r="B24" s="158">
        <v>19</v>
      </c>
      <c r="C24" s="159" t="s">
        <v>84</v>
      </c>
      <c r="D24" s="159" t="s">
        <v>85</v>
      </c>
      <c r="E24" s="156" t="s">
        <v>321</v>
      </c>
      <c r="F24" s="160" t="s">
        <v>240</v>
      </c>
      <c r="G24" s="148"/>
      <c r="H24" s="148"/>
      <c r="I24" s="110"/>
    </row>
    <row r="25" spans="2:9" ht="36" customHeight="1" x14ac:dyDescent="0.35">
      <c r="B25" s="158">
        <v>20</v>
      </c>
      <c r="C25" s="159" t="s">
        <v>86</v>
      </c>
      <c r="D25" s="159" t="s">
        <v>87</v>
      </c>
      <c r="E25" s="156" t="s">
        <v>322</v>
      </c>
      <c r="F25" s="160" t="s">
        <v>323</v>
      </c>
      <c r="G25" s="148"/>
      <c r="H25" s="148"/>
      <c r="I25" s="110"/>
    </row>
    <row r="26" spans="2:9" ht="32.15" customHeight="1" x14ac:dyDescent="0.35">
      <c r="B26" s="158">
        <v>21</v>
      </c>
      <c r="C26" s="159" t="s">
        <v>88</v>
      </c>
      <c r="D26" s="159" t="s">
        <v>89</v>
      </c>
      <c r="E26" s="156" t="s">
        <v>89</v>
      </c>
      <c r="F26" s="160" t="s">
        <v>324</v>
      </c>
      <c r="G26" s="148"/>
      <c r="H26" s="148"/>
      <c r="I26" s="110"/>
    </row>
    <row r="27" spans="2:9" ht="66.650000000000006" customHeight="1" x14ac:dyDescent="0.35">
      <c r="B27" s="158">
        <v>22</v>
      </c>
      <c r="C27" s="159" t="s">
        <v>90</v>
      </c>
      <c r="D27" s="159" t="s">
        <v>91</v>
      </c>
      <c r="E27" s="156" t="s">
        <v>91</v>
      </c>
      <c r="F27" s="160" t="s">
        <v>325</v>
      </c>
      <c r="G27" s="148"/>
      <c r="H27" s="148"/>
      <c r="I27" s="110"/>
    </row>
    <row r="28" spans="2:9" ht="43.5" x14ac:dyDescent="0.35">
      <c r="B28" s="158">
        <v>23</v>
      </c>
      <c r="C28" s="159" t="s">
        <v>92</v>
      </c>
      <c r="D28" s="159" t="s">
        <v>93</v>
      </c>
      <c r="E28" s="156" t="s">
        <v>326</v>
      </c>
      <c r="F28" s="161" t="s">
        <v>327</v>
      </c>
      <c r="G28" s="148"/>
      <c r="H28" s="148"/>
      <c r="I28" s="110"/>
    </row>
    <row r="29" spans="2:9" ht="43.5" x14ac:dyDescent="0.35">
      <c r="B29" s="158">
        <v>24</v>
      </c>
      <c r="C29" s="159" t="s">
        <v>94</v>
      </c>
      <c r="D29" s="159" t="s">
        <v>95</v>
      </c>
      <c r="E29" s="156" t="s">
        <v>328</v>
      </c>
      <c r="F29" s="161" t="s">
        <v>329</v>
      </c>
      <c r="G29" s="148"/>
      <c r="H29" s="148"/>
      <c r="I29" s="110"/>
    </row>
    <row r="30" spans="2:9" ht="49" customHeight="1" x14ac:dyDescent="0.35">
      <c r="B30" s="158">
        <v>25</v>
      </c>
      <c r="C30" s="159" t="s">
        <v>96</v>
      </c>
      <c r="D30" s="159" t="s">
        <v>95</v>
      </c>
      <c r="E30" s="156" t="s">
        <v>330</v>
      </c>
      <c r="F30" s="157" t="s">
        <v>331</v>
      </c>
      <c r="G30" s="148"/>
      <c r="H30" s="148"/>
      <c r="I30" s="110"/>
    </row>
    <row r="31" spans="2:9" ht="66" customHeight="1" x14ac:dyDescent="0.35">
      <c r="B31" s="158">
        <v>26</v>
      </c>
      <c r="C31" s="159" t="s">
        <v>97</v>
      </c>
      <c r="D31" s="159" t="s">
        <v>93</v>
      </c>
      <c r="E31" s="156" t="s">
        <v>332</v>
      </c>
      <c r="F31" s="157" t="s">
        <v>333</v>
      </c>
      <c r="G31" s="148"/>
      <c r="H31" s="148"/>
      <c r="I31" s="110"/>
    </row>
    <row r="32" spans="2:9" ht="20.149999999999999" customHeight="1" x14ac:dyDescent="0.35">
      <c r="B32" s="158">
        <v>27</v>
      </c>
      <c r="C32" s="159" t="s">
        <v>98</v>
      </c>
      <c r="D32" s="159" t="s">
        <v>99</v>
      </c>
      <c r="E32" s="156" t="s">
        <v>334</v>
      </c>
      <c r="F32" s="161" t="s">
        <v>335</v>
      </c>
      <c r="G32" s="148"/>
      <c r="H32" s="148"/>
      <c r="I32" s="110"/>
    </row>
    <row r="33" spans="2:9" ht="20.149999999999999" customHeight="1" x14ac:dyDescent="0.35">
      <c r="B33" s="158">
        <v>28</v>
      </c>
      <c r="C33" s="159" t="s">
        <v>100</v>
      </c>
      <c r="D33" s="159" t="s">
        <v>99</v>
      </c>
      <c r="E33" s="156" t="s">
        <v>336</v>
      </c>
      <c r="F33" s="157" t="s">
        <v>337</v>
      </c>
      <c r="G33" s="148"/>
      <c r="H33" s="148"/>
      <c r="I33" s="110"/>
    </row>
    <row r="34" spans="2:9" ht="72.5" x14ac:dyDescent="0.35">
      <c r="B34" s="158">
        <v>29</v>
      </c>
      <c r="C34" s="159" t="s">
        <v>101</v>
      </c>
      <c r="D34" s="159" t="s">
        <v>102</v>
      </c>
      <c r="E34" s="156" t="s">
        <v>338</v>
      </c>
      <c r="F34" s="157" t="s">
        <v>339</v>
      </c>
      <c r="G34" s="148"/>
      <c r="H34" s="148"/>
      <c r="I34" s="110"/>
    </row>
    <row r="35" spans="2:9" ht="37" customHeight="1" x14ac:dyDescent="0.35">
      <c r="B35" s="158">
        <v>30</v>
      </c>
      <c r="C35" s="159" t="s">
        <v>103</v>
      </c>
      <c r="D35" s="159" t="s">
        <v>104</v>
      </c>
      <c r="E35" s="156" t="s">
        <v>340</v>
      </c>
      <c r="F35" s="161" t="s">
        <v>341</v>
      </c>
      <c r="G35" s="148"/>
      <c r="H35" s="148"/>
      <c r="I35" s="110"/>
    </row>
    <row r="36" spans="2:9" ht="38.15" customHeight="1" x14ac:dyDescent="0.35">
      <c r="B36" s="158">
        <v>31</v>
      </c>
      <c r="C36" s="159" t="s">
        <v>105</v>
      </c>
      <c r="D36" s="159" t="s">
        <v>102</v>
      </c>
      <c r="E36" s="156" t="s">
        <v>342</v>
      </c>
      <c r="F36" s="161" t="s">
        <v>343</v>
      </c>
      <c r="G36" s="148"/>
      <c r="H36" s="148"/>
      <c r="I36" s="110"/>
    </row>
    <row r="37" spans="2:9" ht="41.15" customHeight="1" x14ac:dyDescent="0.35">
      <c r="B37" s="158">
        <v>32</v>
      </c>
      <c r="C37" s="159" t="s">
        <v>106</v>
      </c>
      <c r="D37" s="159" t="s">
        <v>104</v>
      </c>
      <c r="E37" s="156" t="s">
        <v>344</v>
      </c>
      <c r="F37" s="157" t="s">
        <v>345</v>
      </c>
      <c r="G37" s="148"/>
      <c r="H37" s="148"/>
      <c r="I37" s="110"/>
    </row>
    <row r="38" spans="2:9" ht="51" customHeight="1" x14ac:dyDescent="0.35">
      <c r="B38" s="158">
        <v>33</v>
      </c>
      <c r="C38" s="159" t="s">
        <v>107</v>
      </c>
      <c r="D38" s="159" t="s">
        <v>108</v>
      </c>
      <c r="E38" s="156" t="s">
        <v>346</v>
      </c>
      <c r="F38" s="157" t="s">
        <v>347</v>
      </c>
      <c r="G38" s="148"/>
      <c r="H38" s="148"/>
      <c r="I38" s="110"/>
    </row>
    <row r="39" spans="2:9" ht="50.5" customHeight="1" x14ac:dyDescent="0.35">
      <c r="B39" s="158">
        <v>34</v>
      </c>
      <c r="C39" s="159" t="s">
        <v>109</v>
      </c>
      <c r="D39" s="159" t="s">
        <v>108</v>
      </c>
      <c r="E39" s="156" t="s">
        <v>348</v>
      </c>
      <c r="F39" s="161" t="s">
        <v>349</v>
      </c>
      <c r="G39" s="148"/>
      <c r="H39" s="148"/>
      <c r="I39" s="110"/>
    </row>
    <row r="40" spans="2:9" ht="43.5" x14ac:dyDescent="0.35">
      <c r="B40" s="158">
        <v>35</v>
      </c>
      <c r="C40" s="159" t="s">
        <v>110</v>
      </c>
      <c r="D40" s="159" t="s">
        <v>111</v>
      </c>
      <c r="E40" s="156" t="s">
        <v>350</v>
      </c>
      <c r="F40" s="157" t="s">
        <v>351</v>
      </c>
      <c r="G40" s="148"/>
      <c r="H40" s="148"/>
      <c r="I40" s="110"/>
    </row>
    <row r="41" spans="2:9" ht="43.5" x14ac:dyDescent="0.35">
      <c r="B41" s="158">
        <v>36</v>
      </c>
      <c r="C41" s="159" t="s">
        <v>112</v>
      </c>
      <c r="D41" s="159" t="s">
        <v>111</v>
      </c>
      <c r="E41" s="156" t="s">
        <v>352</v>
      </c>
      <c r="F41" s="161" t="s">
        <v>353</v>
      </c>
      <c r="G41" s="148"/>
      <c r="H41" s="148"/>
      <c r="I41" s="110"/>
    </row>
    <row r="42" spans="2:9" ht="29" x14ac:dyDescent="0.35">
      <c r="B42" s="158">
        <v>37</v>
      </c>
      <c r="C42" s="159" t="s">
        <v>113</v>
      </c>
      <c r="D42" s="159" t="s">
        <v>114</v>
      </c>
      <c r="E42" s="156" t="s">
        <v>114</v>
      </c>
      <c r="F42" s="157" t="s">
        <v>354</v>
      </c>
      <c r="G42" s="148"/>
      <c r="H42" s="148"/>
      <c r="I42" s="110"/>
    </row>
    <row r="43" spans="2:9" ht="43.5" x14ac:dyDescent="0.35">
      <c r="B43" s="158">
        <v>38</v>
      </c>
      <c r="C43" s="159" t="s">
        <v>115</v>
      </c>
      <c r="D43" s="159" t="s">
        <v>116</v>
      </c>
      <c r="E43" s="156" t="s">
        <v>355</v>
      </c>
      <c r="F43" s="161" t="s">
        <v>356</v>
      </c>
      <c r="G43" s="148"/>
      <c r="H43" s="148"/>
      <c r="I43" s="110"/>
    </row>
    <row r="44" spans="2:9" ht="43.5" x14ac:dyDescent="0.35">
      <c r="B44" s="158">
        <v>39</v>
      </c>
      <c r="C44" s="159" t="s">
        <v>117</v>
      </c>
      <c r="D44" s="159" t="s">
        <v>118</v>
      </c>
      <c r="E44" s="156" t="s">
        <v>357</v>
      </c>
      <c r="F44" s="161" t="s">
        <v>358</v>
      </c>
      <c r="G44" s="148"/>
      <c r="H44" s="148"/>
      <c r="I44" s="110"/>
    </row>
    <row r="45" spans="2:9" ht="43.5" x14ac:dyDescent="0.35">
      <c r="B45" s="158">
        <v>40</v>
      </c>
      <c r="C45" s="159" t="s">
        <v>119</v>
      </c>
      <c r="D45" s="159" t="s">
        <v>116</v>
      </c>
      <c r="E45" s="156" t="s">
        <v>359</v>
      </c>
      <c r="F45" s="157" t="s">
        <v>360</v>
      </c>
      <c r="G45" s="148"/>
      <c r="H45" s="148"/>
      <c r="I45" s="110"/>
    </row>
    <row r="46" spans="2:9" ht="43.5" x14ac:dyDescent="0.35">
      <c r="B46" s="158">
        <v>41</v>
      </c>
      <c r="C46" s="159" t="s">
        <v>120</v>
      </c>
      <c r="D46" s="159" t="s">
        <v>118</v>
      </c>
      <c r="E46" s="156" t="s">
        <v>361</v>
      </c>
      <c r="F46" s="160" t="s">
        <v>362</v>
      </c>
      <c r="G46" s="148"/>
      <c r="H46" s="148"/>
      <c r="I46" s="110"/>
    </row>
    <row r="47" spans="2:9" ht="41.15" customHeight="1" x14ac:dyDescent="0.35">
      <c r="B47" s="158">
        <v>42</v>
      </c>
      <c r="C47" s="159" t="s">
        <v>121</v>
      </c>
      <c r="D47" s="159" t="s">
        <v>122</v>
      </c>
      <c r="E47" s="156" t="s">
        <v>363</v>
      </c>
      <c r="F47" s="160" t="s">
        <v>364</v>
      </c>
      <c r="G47" s="148"/>
      <c r="H47" s="148"/>
      <c r="I47" s="110"/>
    </row>
    <row r="48" spans="2:9" ht="29" x14ac:dyDescent="0.35">
      <c r="B48" s="158">
        <v>43</v>
      </c>
      <c r="C48" s="159" t="s">
        <v>123</v>
      </c>
      <c r="D48" s="159" t="s">
        <v>124</v>
      </c>
      <c r="E48" s="156" t="s">
        <v>365</v>
      </c>
      <c r="F48" s="160" t="s">
        <v>366</v>
      </c>
      <c r="G48" s="148"/>
      <c r="H48" s="148"/>
      <c r="I48" s="110"/>
    </row>
    <row r="49" spans="2:9" ht="72.5" x14ac:dyDescent="0.35">
      <c r="B49" s="158">
        <v>44</v>
      </c>
      <c r="C49" s="159" t="s">
        <v>125</v>
      </c>
      <c r="D49" s="159" t="s">
        <v>126</v>
      </c>
      <c r="E49" s="156" t="s">
        <v>367</v>
      </c>
      <c r="F49" s="157" t="s">
        <v>368</v>
      </c>
      <c r="G49" s="148"/>
      <c r="H49" s="148"/>
      <c r="I49" s="110"/>
    </row>
    <row r="50" spans="2:9" ht="151.5" customHeight="1" x14ac:dyDescent="0.35">
      <c r="B50" s="158">
        <v>45</v>
      </c>
      <c r="C50" s="159" t="s">
        <v>127</v>
      </c>
      <c r="D50" s="159" t="s">
        <v>128</v>
      </c>
      <c r="E50" s="156" t="s">
        <v>369</v>
      </c>
      <c r="F50" s="157" t="s">
        <v>370</v>
      </c>
      <c r="G50" s="148"/>
      <c r="H50" s="148"/>
      <c r="I50" s="110"/>
    </row>
    <row r="51" spans="2:9" ht="43.5" x14ac:dyDescent="0.35">
      <c r="B51" s="158">
        <v>46</v>
      </c>
      <c r="C51" s="159" t="s">
        <v>129</v>
      </c>
      <c r="D51" s="159" t="s">
        <v>126</v>
      </c>
      <c r="E51" s="156" t="s">
        <v>371</v>
      </c>
      <c r="F51" s="161" t="s">
        <v>372</v>
      </c>
      <c r="G51" s="148"/>
      <c r="H51" s="148"/>
      <c r="I51" s="110"/>
    </row>
    <row r="52" spans="2:9" ht="43.5" x14ac:dyDescent="0.35">
      <c r="B52" s="158">
        <v>47</v>
      </c>
      <c r="C52" s="159" t="s">
        <v>130</v>
      </c>
      <c r="D52" s="159" t="s">
        <v>128</v>
      </c>
      <c r="E52" s="156" t="s">
        <v>373</v>
      </c>
      <c r="F52" s="161" t="s">
        <v>374</v>
      </c>
      <c r="G52" s="148"/>
      <c r="H52" s="148"/>
      <c r="I52" s="110"/>
    </row>
    <row r="53" spans="2:9" ht="156" customHeight="1" x14ac:dyDescent="0.35">
      <c r="B53" s="158">
        <v>48</v>
      </c>
      <c r="C53" s="159" t="s">
        <v>131</v>
      </c>
      <c r="D53" s="159" t="s">
        <v>132</v>
      </c>
      <c r="E53" s="156" t="s">
        <v>375</v>
      </c>
      <c r="F53" s="157" t="s">
        <v>376</v>
      </c>
      <c r="G53" s="148"/>
      <c r="H53" s="148"/>
      <c r="I53" s="110"/>
    </row>
    <row r="54" spans="2:9" ht="43.5" x14ac:dyDescent="0.35">
      <c r="B54" s="158">
        <v>49</v>
      </c>
      <c r="C54" s="159" t="s">
        <v>133</v>
      </c>
      <c r="D54" s="159" t="s">
        <v>134</v>
      </c>
      <c r="E54" s="156" t="s">
        <v>377</v>
      </c>
      <c r="F54" s="161" t="s">
        <v>378</v>
      </c>
      <c r="G54" s="148"/>
      <c r="H54" s="148"/>
      <c r="I54" s="110"/>
    </row>
    <row r="55" spans="2:9" ht="43.5" x14ac:dyDescent="0.35">
      <c r="B55" s="158">
        <v>50</v>
      </c>
      <c r="C55" s="159" t="s">
        <v>135</v>
      </c>
      <c r="D55" s="159" t="s">
        <v>132</v>
      </c>
      <c r="E55" s="156" t="s">
        <v>379</v>
      </c>
      <c r="F55" s="161" t="s">
        <v>380</v>
      </c>
      <c r="G55" s="148"/>
      <c r="H55" s="148"/>
      <c r="I55" s="110"/>
    </row>
    <row r="56" spans="2:9" ht="53.15" customHeight="1" x14ac:dyDescent="0.35">
      <c r="B56" s="158">
        <v>51</v>
      </c>
      <c r="C56" s="159" t="s">
        <v>136</v>
      </c>
      <c r="D56" s="159" t="s">
        <v>134</v>
      </c>
      <c r="E56" s="156" t="s">
        <v>381</v>
      </c>
      <c r="F56" s="157" t="s">
        <v>382</v>
      </c>
      <c r="G56" s="148"/>
      <c r="H56" s="148"/>
      <c r="I56" s="110"/>
    </row>
    <row r="57" spans="2:9" ht="82.5" customHeight="1" x14ac:dyDescent="0.35">
      <c r="B57" s="158">
        <v>52</v>
      </c>
      <c r="C57" s="159" t="s">
        <v>137</v>
      </c>
      <c r="D57" s="159" t="s">
        <v>138</v>
      </c>
      <c r="E57" s="156" t="s">
        <v>383</v>
      </c>
      <c r="F57" s="160" t="s">
        <v>384</v>
      </c>
      <c r="G57" s="148"/>
      <c r="H57" s="148"/>
      <c r="I57" s="110"/>
    </row>
    <row r="58" spans="2:9" ht="50.15" customHeight="1" x14ac:dyDescent="0.35">
      <c r="B58" s="158">
        <v>53</v>
      </c>
      <c r="C58" s="159" t="s">
        <v>139</v>
      </c>
      <c r="D58" s="159" t="s">
        <v>140</v>
      </c>
      <c r="E58" s="156" t="s">
        <v>385</v>
      </c>
      <c r="F58" s="160" t="s">
        <v>386</v>
      </c>
      <c r="G58" s="148"/>
      <c r="H58" s="148"/>
      <c r="I58" s="110"/>
    </row>
    <row r="59" spans="2:9" ht="36" customHeight="1" x14ac:dyDescent="0.35">
      <c r="B59" s="158">
        <v>54</v>
      </c>
      <c r="C59" s="159" t="s">
        <v>141</v>
      </c>
      <c r="D59" s="159" t="s">
        <v>138</v>
      </c>
      <c r="E59" s="156" t="s">
        <v>387</v>
      </c>
      <c r="F59" s="161" t="s">
        <v>388</v>
      </c>
      <c r="G59" s="148"/>
      <c r="H59" s="148"/>
      <c r="I59" s="110"/>
    </row>
    <row r="60" spans="2:9" ht="29" x14ac:dyDescent="0.35">
      <c r="B60" s="158">
        <v>55</v>
      </c>
      <c r="C60" s="159" t="s">
        <v>142</v>
      </c>
      <c r="D60" s="159" t="s">
        <v>140</v>
      </c>
      <c r="E60" s="156" t="s">
        <v>389</v>
      </c>
      <c r="F60" s="157" t="s">
        <v>390</v>
      </c>
      <c r="G60" s="148"/>
      <c r="H60" s="148"/>
      <c r="I60" s="110"/>
    </row>
    <row r="61" spans="2:9" ht="98.15" customHeight="1" x14ac:dyDescent="0.35">
      <c r="B61" s="158">
        <v>56</v>
      </c>
      <c r="C61" s="159" t="s">
        <v>143</v>
      </c>
      <c r="D61" s="159" t="s">
        <v>144</v>
      </c>
      <c r="E61" s="156" t="s">
        <v>391</v>
      </c>
      <c r="F61" s="157" t="s">
        <v>392</v>
      </c>
      <c r="G61" s="148"/>
      <c r="H61" s="148"/>
      <c r="I61" s="110"/>
    </row>
    <row r="62" spans="2:9" ht="46" customHeight="1" x14ac:dyDescent="0.35">
      <c r="B62" s="158">
        <v>57</v>
      </c>
      <c r="C62" s="159" t="s">
        <v>145</v>
      </c>
      <c r="D62" s="159" t="s">
        <v>144</v>
      </c>
      <c r="E62" s="156" t="s">
        <v>393</v>
      </c>
      <c r="F62" s="161" t="s">
        <v>394</v>
      </c>
      <c r="G62" s="148"/>
      <c r="H62" s="148"/>
      <c r="I62" s="110"/>
    </row>
    <row r="63" spans="2:9" ht="43.5" x14ac:dyDescent="0.35">
      <c r="B63" s="158">
        <v>58</v>
      </c>
      <c r="C63" s="159" t="s">
        <v>146</v>
      </c>
      <c r="D63" s="159" t="s">
        <v>147</v>
      </c>
      <c r="E63" s="156" t="s">
        <v>395</v>
      </c>
      <c r="F63" s="161" t="s">
        <v>396</v>
      </c>
      <c r="G63" s="148"/>
      <c r="H63" s="148"/>
      <c r="I63" s="110"/>
    </row>
    <row r="64" spans="2:9" ht="138" customHeight="1" x14ac:dyDescent="0.35">
      <c r="B64" s="158">
        <v>59</v>
      </c>
      <c r="C64" s="159" t="s">
        <v>148</v>
      </c>
      <c r="D64" s="159" t="s">
        <v>147</v>
      </c>
      <c r="E64" s="156" t="s">
        <v>397</v>
      </c>
      <c r="F64" s="157" t="s">
        <v>398</v>
      </c>
      <c r="G64" s="148"/>
      <c r="H64" s="148"/>
      <c r="I64" s="110"/>
    </row>
    <row r="65" spans="2:9" ht="122.5" customHeight="1" x14ac:dyDescent="0.35">
      <c r="B65" s="158">
        <v>60</v>
      </c>
      <c r="C65" s="159" t="s">
        <v>149</v>
      </c>
      <c r="D65" s="159" t="s">
        <v>150</v>
      </c>
      <c r="E65" s="156" t="s">
        <v>399</v>
      </c>
      <c r="F65" s="157" t="s">
        <v>400</v>
      </c>
      <c r="G65" s="148"/>
      <c r="H65" s="148"/>
      <c r="I65" s="110"/>
    </row>
    <row r="66" spans="2:9" ht="37" customHeight="1" x14ac:dyDescent="0.35">
      <c r="B66" s="158">
        <v>61</v>
      </c>
      <c r="C66" s="159" t="s">
        <v>151</v>
      </c>
      <c r="D66" s="159" t="s">
        <v>152</v>
      </c>
      <c r="E66" s="156" t="s">
        <v>401</v>
      </c>
      <c r="F66" s="161" t="s">
        <v>402</v>
      </c>
      <c r="G66" s="148"/>
      <c r="H66" s="148"/>
      <c r="I66" s="110"/>
    </row>
    <row r="67" spans="2:9" ht="97" customHeight="1" x14ac:dyDescent="0.35">
      <c r="B67" s="158">
        <v>62</v>
      </c>
      <c r="C67" s="159" t="s">
        <v>153</v>
      </c>
      <c r="D67" s="159" t="s">
        <v>152</v>
      </c>
      <c r="E67" s="156" t="s">
        <v>403</v>
      </c>
      <c r="F67" s="157" t="s">
        <v>404</v>
      </c>
      <c r="G67" s="148"/>
      <c r="H67" s="148"/>
      <c r="I67" s="110"/>
    </row>
    <row r="68" spans="2:9" ht="29" x14ac:dyDescent="0.35">
      <c r="B68" s="158">
        <v>63</v>
      </c>
      <c r="C68" s="159" t="s">
        <v>154</v>
      </c>
      <c r="D68" s="159" t="s">
        <v>150</v>
      </c>
      <c r="E68" s="156" t="s">
        <v>405</v>
      </c>
      <c r="F68" s="161" t="s">
        <v>406</v>
      </c>
      <c r="G68" s="148"/>
      <c r="H68" s="148"/>
      <c r="I68" s="110"/>
    </row>
    <row r="69" spans="2:9" ht="43.5" x14ac:dyDescent="0.35">
      <c r="B69" s="158">
        <v>64</v>
      </c>
      <c r="C69" s="159" t="s">
        <v>155</v>
      </c>
      <c r="D69" s="159" t="s">
        <v>156</v>
      </c>
      <c r="E69" s="156" t="s">
        <v>407</v>
      </c>
      <c r="F69" s="161" t="s">
        <v>408</v>
      </c>
      <c r="G69" s="148"/>
      <c r="H69" s="148"/>
      <c r="I69" s="110"/>
    </row>
    <row r="70" spans="2:9" ht="82" customHeight="1" x14ac:dyDescent="0.35">
      <c r="B70" s="158">
        <v>65</v>
      </c>
      <c r="C70" s="159" t="s">
        <v>157</v>
      </c>
      <c r="D70" s="159" t="s">
        <v>156</v>
      </c>
      <c r="E70" s="156" t="s">
        <v>409</v>
      </c>
      <c r="F70" s="157" t="s">
        <v>410</v>
      </c>
      <c r="G70" s="148"/>
      <c r="H70" s="148"/>
      <c r="I70" s="110"/>
    </row>
    <row r="71" spans="2:9" ht="43.5" x14ac:dyDescent="0.35">
      <c r="B71" s="158">
        <v>66</v>
      </c>
      <c r="C71" s="159" t="s">
        <v>158</v>
      </c>
      <c r="D71" s="159" t="s">
        <v>159</v>
      </c>
      <c r="E71" s="156" t="s">
        <v>411</v>
      </c>
      <c r="F71" s="161" t="s">
        <v>412</v>
      </c>
      <c r="G71" s="148"/>
      <c r="H71" s="148"/>
      <c r="I71" s="110"/>
    </row>
    <row r="72" spans="2:9" ht="72.5" x14ac:dyDescent="0.35">
      <c r="B72" s="158">
        <v>67</v>
      </c>
      <c r="C72" s="159" t="s">
        <v>160</v>
      </c>
      <c r="D72" s="159" t="s">
        <v>159</v>
      </c>
      <c r="E72" s="156" t="s">
        <v>413</v>
      </c>
      <c r="F72" s="157" t="s">
        <v>414</v>
      </c>
      <c r="G72" s="148"/>
      <c r="H72" s="148"/>
      <c r="I72" s="110"/>
    </row>
    <row r="73" spans="2:9" ht="37.5" customHeight="1" x14ac:dyDescent="0.35">
      <c r="B73" s="158">
        <v>68</v>
      </c>
      <c r="C73" s="159" t="s">
        <v>161</v>
      </c>
      <c r="D73" s="159" t="s">
        <v>162</v>
      </c>
      <c r="E73" s="156" t="s">
        <v>415</v>
      </c>
      <c r="F73" s="157" t="s">
        <v>416</v>
      </c>
      <c r="G73" s="148"/>
      <c r="H73" s="148"/>
      <c r="I73" s="110"/>
    </row>
    <row r="74" spans="2:9" ht="29" x14ac:dyDescent="0.35">
      <c r="B74" s="158">
        <v>69</v>
      </c>
      <c r="C74" s="159" t="s">
        <v>163</v>
      </c>
      <c r="D74" s="159" t="s">
        <v>164</v>
      </c>
      <c r="E74" s="156" t="s">
        <v>417</v>
      </c>
      <c r="F74" s="157" t="s">
        <v>418</v>
      </c>
      <c r="G74" s="148"/>
      <c r="H74" s="148"/>
      <c r="I74" s="110"/>
    </row>
    <row r="75" spans="2:9" ht="20.149999999999999" customHeight="1" x14ac:dyDescent="0.35">
      <c r="B75" s="158">
        <v>70</v>
      </c>
      <c r="C75" s="159" t="s">
        <v>165</v>
      </c>
      <c r="D75" s="159" t="s">
        <v>166</v>
      </c>
      <c r="E75" s="156" t="s">
        <v>166</v>
      </c>
      <c r="F75" s="157" t="s">
        <v>419</v>
      </c>
      <c r="G75" s="148"/>
      <c r="H75" s="148"/>
      <c r="I75" s="110"/>
    </row>
    <row r="76" spans="2:9" ht="51.65" customHeight="1" x14ac:dyDescent="0.35">
      <c r="B76" s="158">
        <v>71</v>
      </c>
      <c r="C76" s="159" t="s">
        <v>167</v>
      </c>
      <c r="D76" s="159" t="s">
        <v>168</v>
      </c>
      <c r="E76" s="156" t="s">
        <v>420</v>
      </c>
      <c r="F76" s="157" t="s">
        <v>421</v>
      </c>
      <c r="G76" s="148"/>
      <c r="H76" s="148"/>
      <c r="I76" s="110"/>
    </row>
    <row r="77" spans="2:9" ht="43.5" x14ac:dyDescent="0.35">
      <c r="B77" s="158">
        <v>72</v>
      </c>
      <c r="C77" s="159" t="s">
        <v>169</v>
      </c>
      <c r="D77" s="159" t="s">
        <v>170</v>
      </c>
      <c r="E77" s="156" t="s">
        <v>422</v>
      </c>
      <c r="F77" s="161" t="s">
        <v>423</v>
      </c>
      <c r="G77" s="148"/>
      <c r="H77" s="148"/>
      <c r="I77" s="110"/>
    </row>
    <row r="78" spans="2:9" ht="43.5" x14ac:dyDescent="0.35">
      <c r="B78" s="158">
        <v>73</v>
      </c>
      <c r="C78" s="159" t="s">
        <v>171</v>
      </c>
      <c r="D78" s="159" t="s">
        <v>168</v>
      </c>
      <c r="E78" s="156" t="s">
        <v>424</v>
      </c>
      <c r="F78" s="161" t="s">
        <v>425</v>
      </c>
      <c r="G78" s="148"/>
      <c r="H78" s="148"/>
      <c r="I78" s="110"/>
    </row>
    <row r="79" spans="2:9" ht="53.15" customHeight="1" x14ac:dyDescent="0.35">
      <c r="B79" s="158">
        <v>74</v>
      </c>
      <c r="C79" s="159" t="s">
        <v>172</v>
      </c>
      <c r="D79" s="159" t="s">
        <v>170</v>
      </c>
      <c r="E79" s="156" t="s">
        <v>426</v>
      </c>
      <c r="F79" s="157" t="s">
        <v>427</v>
      </c>
      <c r="G79" s="148"/>
      <c r="H79" s="148"/>
      <c r="I79" s="110"/>
    </row>
    <row r="80" spans="2:9" ht="37.5" customHeight="1" x14ac:dyDescent="0.35">
      <c r="B80" s="158">
        <v>75</v>
      </c>
      <c r="C80" s="159" t="s">
        <v>173</v>
      </c>
      <c r="D80" s="159" t="s">
        <v>174</v>
      </c>
      <c r="E80" s="156" t="s">
        <v>174</v>
      </c>
      <c r="F80" s="157" t="s">
        <v>428</v>
      </c>
      <c r="G80" s="148"/>
      <c r="H80" s="148"/>
      <c r="I80" s="110"/>
    </row>
    <row r="81" spans="2:9" ht="43.5" x14ac:dyDescent="0.35">
      <c r="B81" s="158">
        <v>76</v>
      </c>
      <c r="C81" s="159" t="s">
        <v>175</v>
      </c>
      <c r="D81" s="159" t="s">
        <v>176</v>
      </c>
      <c r="E81" s="156" t="s">
        <v>176</v>
      </c>
      <c r="F81" s="157" t="s">
        <v>429</v>
      </c>
      <c r="G81" s="148"/>
      <c r="H81" s="148"/>
      <c r="I81" s="110"/>
    </row>
    <row r="82" spans="2:9" ht="41.15" customHeight="1" x14ac:dyDescent="0.35">
      <c r="B82" s="158">
        <v>77</v>
      </c>
      <c r="C82" s="159" t="s">
        <v>177</v>
      </c>
      <c r="D82" s="159" t="s">
        <v>178</v>
      </c>
      <c r="E82" s="156" t="s">
        <v>430</v>
      </c>
      <c r="F82" s="157" t="s">
        <v>431</v>
      </c>
      <c r="G82" s="148"/>
      <c r="H82" s="148"/>
      <c r="I82" s="110"/>
    </row>
    <row r="83" spans="2:9" ht="21" customHeight="1" x14ac:dyDescent="0.35">
      <c r="B83" s="158">
        <v>78</v>
      </c>
      <c r="C83" s="159" t="s">
        <v>179</v>
      </c>
      <c r="D83" s="159" t="s">
        <v>178</v>
      </c>
      <c r="E83" s="156" t="s">
        <v>432</v>
      </c>
      <c r="F83" s="161" t="s">
        <v>433</v>
      </c>
      <c r="G83" s="148"/>
      <c r="H83" s="148"/>
      <c r="I83" s="110"/>
    </row>
    <row r="84" spans="2:9" ht="65.5" customHeight="1" x14ac:dyDescent="0.35">
      <c r="B84" s="158">
        <v>79</v>
      </c>
      <c r="C84" s="159" t="s">
        <v>180</v>
      </c>
      <c r="D84" s="159" t="s">
        <v>181</v>
      </c>
      <c r="E84" s="156" t="s">
        <v>181</v>
      </c>
      <c r="F84" s="157" t="s">
        <v>434</v>
      </c>
      <c r="G84" s="148"/>
      <c r="H84" s="148"/>
      <c r="I84" s="110"/>
    </row>
    <row r="85" spans="2:9" ht="34.5" customHeight="1" x14ac:dyDescent="0.35">
      <c r="B85" s="158">
        <v>80</v>
      </c>
      <c r="C85" s="159" t="s">
        <v>182</v>
      </c>
      <c r="D85" s="159" t="s">
        <v>183</v>
      </c>
      <c r="E85" s="156" t="s">
        <v>183</v>
      </c>
      <c r="F85" s="157" t="s">
        <v>435</v>
      </c>
      <c r="G85" s="148"/>
      <c r="H85" s="148"/>
      <c r="I85" s="110"/>
    </row>
    <row r="86" spans="2:9" ht="55" customHeight="1" x14ac:dyDescent="0.35">
      <c r="B86" s="158">
        <v>81</v>
      </c>
      <c r="C86" s="159" t="s">
        <v>184</v>
      </c>
      <c r="D86" s="159" t="s">
        <v>185</v>
      </c>
      <c r="E86" s="156" t="s">
        <v>185</v>
      </c>
      <c r="F86" s="157" t="s">
        <v>436</v>
      </c>
      <c r="G86" s="148"/>
      <c r="H86" s="148"/>
      <c r="I86" s="110"/>
    </row>
    <row r="87" spans="2:9" ht="49" customHeight="1" x14ac:dyDescent="0.35">
      <c r="B87" s="158">
        <v>82</v>
      </c>
      <c r="C87" s="159" t="s">
        <v>186</v>
      </c>
      <c r="D87" s="159" t="s">
        <v>187</v>
      </c>
      <c r="E87" s="156" t="s">
        <v>187</v>
      </c>
      <c r="F87" s="157" t="s">
        <v>437</v>
      </c>
      <c r="G87" s="148"/>
      <c r="H87" s="148"/>
      <c r="I87" s="110"/>
    </row>
    <row r="88" spans="2:9" ht="37" customHeight="1" x14ac:dyDescent="0.35">
      <c r="B88" s="158">
        <v>83</v>
      </c>
      <c r="C88" s="159" t="s">
        <v>188</v>
      </c>
      <c r="D88" s="159" t="s">
        <v>189</v>
      </c>
      <c r="E88" s="156" t="s">
        <v>438</v>
      </c>
      <c r="F88" s="157" t="s">
        <v>439</v>
      </c>
      <c r="G88" s="148"/>
      <c r="H88" s="148"/>
      <c r="I88" s="110"/>
    </row>
    <row r="89" spans="2:9" ht="52" customHeight="1" x14ac:dyDescent="0.35">
      <c r="B89" s="158">
        <v>84</v>
      </c>
      <c r="C89" s="159" t="s">
        <v>190</v>
      </c>
      <c r="D89" s="159" t="s">
        <v>191</v>
      </c>
      <c r="E89" s="156" t="s">
        <v>440</v>
      </c>
      <c r="F89" s="157" t="s">
        <v>441</v>
      </c>
      <c r="G89" s="148"/>
      <c r="H89" s="148"/>
      <c r="I89" s="110"/>
    </row>
    <row r="90" spans="2:9" ht="66.650000000000006" customHeight="1" x14ac:dyDescent="0.35">
      <c r="B90" s="158">
        <v>85</v>
      </c>
      <c r="C90" s="159" t="s">
        <v>192</v>
      </c>
      <c r="D90" s="159" t="s">
        <v>193</v>
      </c>
      <c r="E90" s="156" t="s">
        <v>193</v>
      </c>
      <c r="F90" s="157" t="s">
        <v>442</v>
      </c>
      <c r="G90" s="148"/>
      <c r="H90" s="148"/>
      <c r="I90" s="110"/>
    </row>
    <row r="91" spans="2:9" ht="36.65" customHeight="1" x14ac:dyDescent="0.35">
      <c r="B91" s="158">
        <v>86</v>
      </c>
      <c r="C91" s="159" t="s">
        <v>194</v>
      </c>
      <c r="D91" s="159" t="s">
        <v>195</v>
      </c>
      <c r="E91" s="156" t="s">
        <v>195</v>
      </c>
      <c r="F91" s="157" t="s">
        <v>443</v>
      </c>
      <c r="G91" s="148"/>
      <c r="H91" s="148"/>
      <c r="I91" s="110"/>
    </row>
    <row r="92" spans="2:9" ht="43.5" x14ac:dyDescent="0.35">
      <c r="B92" s="158">
        <v>87</v>
      </c>
      <c r="C92" s="159" t="s">
        <v>196</v>
      </c>
      <c r="D92" s="159" t="s">
        <v>197</v>
      </c>
      <c r="E92" s="156" t="s">
        <v>444</v>
      </c>
      <c r="F92" s="157" t="s">
        <v>445</v>
      </c>
      <c r="G92" s="148"/>
      <c r="H92" s="148"/>
      <c r="I92" s="110"/>
    </row>
    <row r="93" spans="2:9" ht="43.5" x14ac:dyDescent="0.35">
      <c r="B93" s="158">
        <v>88</v>
      </c>
      <c r="C93" s="159" t="s">
        <v>198</v>
      </c>
      <c r="D93" s="159" t="s">
        <v>199</v>
      </c>
      <c r="E93" s="156" t="s">
        <v>446</v>
      </c>
      <c r="F93" s="157" t="s">
        <v>447</v>
      </c>
      <c r="G93" s="148"/>
      <c r="H93" s="148"/>
      <c r="I93" s="110"/>
    </row>
    <row r="94" spans="2:9" ht="67.5" customHeight="1" x14ac:dyDescent="0.35">
      <c r="B94" s="158">
        <v>89</v>
      </c>
      <c r="C94" s="159" t="s">
        <v>200</v>
      </c>
      <c r="D94" s="159" t="s">
        <v>201</v>
      </c>
      <c r="E94" s="156" t="s">
        <v>201</v>
      </c>
      <c r="F94" s="157" t="s">
        <v>448</v>
      </c>
      <c r="G94" s="148"/>
      <c r="H94" s="148"/>
      <c r="I94" s="110"/>
    </row>
    <row r="95" spans="2:9" ht="19" customHeight="1" x14ac:dyDescent="0.35">
      <c r="B95" s="158">
        <v>90</v>
      </c>
      <c r="C95" s="159" t="s">
        <v>202</v>
      </c>
      <c r="D95" s="159" t="s">
        <v>203</v>
      </c>
      <c r="E95" s="156" t="s">
        <v>449</v>
      </c>
      <c r="F95" s="157" t="s">
        <v>450</v>
      </c>
      <c r="G95" s="148"/>
      <c r="H95" s="148"/>
      <c r="I95" s="110"/>
    </row>
    <row r="96" spans="2:9" ht="21.65" customHeight="1" x14ac:dyDescent="0.35">
      <c r="B96" s="158">
        <v>91</v>
      </c>
      <c r="C96" s="159" t="s">
        <v>204</v>
      </c>
      <c r="D96" s="159" t="s">
        <v>203</v>
      </c>
      <c r="E96" s="156" t="s">
        <v>451</v>
      </c>
      <c r="F96" s="161" t="s">
        <v>452</v>
      </c>
      <c r="G96" s="148"/>
      <c r="H96" s="148"/>
      <c r="I96" s="110"/>
    </row>
    <row r="97" spans="2:9" ht="69" customHeight="1" x14ac:dyDescent="0.35">
      <c r="B97" s="158">
        <v>92</v>
      </c>
      <c r="C97" s="159" t="s">
        <v>205</v>
      </c>
      <c r="D97" s="159" t="s">
        <v>206</v>
      </c>
      <c r="E97" s="156" t="s">
        <v>453</v>
      </c>
      <c r="F97" s="157" t="s">
        <v>454</v>
      </c>
      <c r="G97" s="148"/>
      <c r="H97" s="148"/>
      <c r="I97" s="110"/>
    </row>
    <row r="98" spans="2:9" ht="29" x14ac:dyDescent="0.35">
      <c r="B98" s="158">
        <v>93</v>
      </c>
      <c r="C98" s="159" t="s">
        <v>207</v>
      </c>
      <c r="D98" s="159" t="s">
        <v>206</v>
      </c>
      <c r="E98" s="156" t="s">
        <v>455</v>
      </c>
      <c r="F98" s="161" t="s">
        <v>456</v>
      </c>
      <c r="G98" s="148"/>
      <c r="H98" s="148"/>
      <c r="I98" s="110"/>
    </row>
    <row r="99" spans="2:9" ht="19.5" customHeight="1" x14ac:dyDescent="0.35">
      <c r="B99" s="158">
        <v>94</v>
      </c>
      <c r="C99" s="159" t="s">
        <v>208</v>
      </c>
      <c r="D99" s="159" t="s">
        <v>209</v>
      </c>
      <c r="E99" s="156" t="s">
        <v>457</v>
      </c>
      <c r="F99" s="161" t="s">
        <v>458</v>
      </c>
      <c r="G99" s="148"/>
      <c r="H99" s="148"/>
      <c r="I99" s="110"/>
    </row>
    <row r="100" spans="2:9" ht="19" customHeight="1" x14ac:dyDescent="0.35">
      <c r="B100" s="158">
        <v>95</v>
      </c>
      <c r="C100" s="159" t="s">
        <v>210</v>
      </c>
      <c r="D100" s="159" t="s">
        <v>209</v>
      </c>
      <c r="E100" s="156" t="s">
        <v>459</v>
      </c>
      <c r="F100" s="157" t="s">
        <v>460</v>
      </c>
      <c r="G100" s="148"/>
      <c r="H100" s="148"/>
      <c r="I100" s="110"/>
    </row>
    <row r="101" spans="2:9" ht="20.149999999999999" customHeight="1" x14ac:dyDescent="0.35">
      <c r="B101" s="158">
        <v>96</v>
      </c>
      <c r="C101" s="159" t="s">
        <v>211</v>
      </c>
      <c r="D101" s="159" t="s">
        <v>212</v>
      </c>
      <c r="E101" s="156" t="s">
        <v>461</v>
      </c>
      <c r="F101" s="157" t="s">
        <v>462</v>
      </c>
      <c r="G101" s="148"/>
      <c r="H101" s="148"/>
      <c r="I101" s="110"/>
    </row>
    <row r="102" spans="2:9" ht="22.5" customHeight="1" thickBot="1" x14ac:dyDescent="0.4">
      <c r="B102" s="162">
        <v>97</v>
      </c>
      <c r="C102" s="163" t="s">
        <v>213</v>
      </c>
      <c r="D102" s="163" t="s">
        <v>212</v>
      </c>
      <c r="E102" s="164" t="s">
        <v>463</v>
      </c>
      <c r="F102" s="165" t="s">
        <v>464</v>
      </c>
      <c r="G102" s="148"/>
      <c r="H102" s="148"/>
      <c r="I102" s="110"/>
    </row>
    <row r="103" spans="2:9" x14ac:dyDescent="0.35">
      <c r="B103" s="110"/>
      <c r="C103" s="110"/>
      <c r="D103" s="110"/>
      <c r="E103" s="110"/>
      <c r="F103" s="110"/>
      <c r="G103" s="110"/>
      <c r="H103" s="110"/>
    </row>
    <row r="104" spans="2:9" x14ac:dyDescent="0.35">
      <c r="D104" s="110"/>
      <c r="E104" s="110"/>
    </row>
  </sheetData>
  <sheetProtection selectLockedCells="1"/>
  <mergeCells count="1">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0468C-027A-4562-8B4E-D0664D49B175}">
  <sheetPr>
    <tabColor theme="2" tint="-0.249977111117893"/>
  </sheetPr>
  <dimension ref="B1:BT105"/>
  <sheetViews>
    <sheetView zoomScale="70" zoomScaleNormal="70" workbookViewId="0">
      <pane xSplit="6" ySplit="8" topLeftCell="G9" activePane="bottomRight" state="frozen"/>
      <selection pane="topRight" activeCell="D1" sqref="D1"/>
      <selection pane="bottomLeft" activeCell="A6" sqref="A6"/>
      <selection pane="bottomRight" activeCell="H30" sqref="H30"/>
    </sheetView>
  </sheetViews>
  <sheetFormatPr defaultRowHeight="14.5" x14ac:dyDescent="0.35"/>
  <cols>
    <col min="1" max="1" width="8.7265625" style="109"/>
    <col min="2" max="2" width="4.54296875" style="109" customWidth="1"/>
    <col min="3" max="3" width="25.54296875" style="109" customWidth="1"/>
    <col min="4" max="72" width="12.81640625" style="109" customWidth="1"/>
    <col min="73" max="16384" width="8.7265625" style="109"/>
  </cols>
  <sheetData>
    <row r="1" spans="2:72" ht="15" thickBot="1" x14ac:dyDescent="0.4"/>
    <row r="2" spans="2:72" ht="53.25" customHeight="1" x14ac:dyDescent="0.35">
      <c r="B2" s="196" t="s">
        <v>465</v>
      </c>
      <c r="C2" s="197"/>
      <c r="D2" s="197"/>
      <c r="E2" s="197"/>
      <c r="F2" s="197"/>
      <c r="G2" s="197"/>
      <c r="H2" s="197"/>
      <c r="I2" s="197"/>
      <c r="J2" s="197"/>
      <c r="K2" s="197"/>
      <c r="L2" s="197"/>
      <c r="M2" s="197"/>
      <c r="N2" s="197"/>
      <c r="O2" s="197"/>
      <c r="P2" s="197"/>
      <c r="Q2" s="197"/>
      <c r="R2" s="198"/>
      <c r="S2" s="127"/>
      <c r="T2" s="139"/>
      <c r="U2" s="139"/>
      <c r="V2" s="139"/>
      <c r="W2" s="139"/>
      <c r="X2" s="139"/>
      <c r="Y2" s="139"/>
      <c r="Z2" s="139"/>
      <c r="AA2" s="139"/>
      <c r="AB2" s="139"/>
      <c r="AC2" s="139"/>
      <c r="AD2" s="139"/>
      <c r="AE2" s="139"/>
      <c r="AF2" s="139"/>
      <c r="AG2" s="139"/>
      <c r="AH2" s="139"/>
      <c r="AL2" s="126"/>
    </row>
    <row r="4" spans="2:72" ht="15" thickBot="1" x14ac:dyDescent="0.4"/>
    <row r="5" spans="2:72" ht="16" thickBot="1" x14ac:dyDescent="0.4">
      <c r="B5" s="110"/>
      <c r="C5" s="110"/>
      <c r="D5" s="132"/>
      <c r="E5" s="175"/>
      <c r="F5" s="175"/>
      <c r="G5" s="287" t="s">
        <v>466</v>
      </c>
      <c r="H5" s="288"/>
      <c r="I5" s="288"/>
      <c r="J5" s="288"/>
      <c r="K5" s="288"/>
      <c r="L5" s="288"/>
      <c r="M5" s="288"/>
      <c r="N5" s="288"/>
      <c r="O5" s="288"/>
      <c r="P5" s="288"/>
      <c r="Q5" s="288"/>
      <c r="R5" s="289"/>
      <c r="S5" s="287" t="s">
        <v>467</v>
      </c>
      <c r="T5" s="288"/>
      <c r="U5" s="288"/>
      <c r="V5" s="288"/>
      <c r="W5" s="288"/>
      <c r="X5" s="288"/>
      <c r="Y5" s="288"/>
      <c r="Z5" s="288"/>
      <c r="AA5" s="288"/>
      <c r="AB5" s="288"/>
      <c r="AC5" s="288"/>
      <c r="AD5" s="288"/>
      <c r="AE5" s="288"/>
      <c r="AF5" s="288"/>
      <c r="AG5" s="288"/>
      <c r="AH5" s="288"/>
      <c r="AI5" s="288"/>
      <c r="AJ5" s="288"/>
      <c r="AK5" s="288"/>
      <c r="AL5" s="288"/>
      <c r="AM5" s="288"/>
      <c r="AN5" s="288"/>
      <c r="AO5" s="288"/>
      <c r="AP5" s="289"/>
      <c r="AQ5" s="287" t="s">
        <v>468</v>
      </c>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9"/>
    </row>
    <row r="6" spans="2:72" ht="16" thickBot="1" x14ac:dyDescent="0.4">
      <c r="B6" s="132"/>
      <c r="C6" s="132"/>
      <c r="D6" s="278" t="s">
        <v>469</v>
      </c>
      <c r="E6" s="202" t="s">
        <v>470</v>
      </c>
      <c r="F6" s="204"/>
      <c r="G6" s="347" t="s">
        <v>471</v>
      </c>
      <c r="H6" s="348"/>
      <c r="I6" s="349"/>
      <c r="J6" s="348" t="s">
        <v>472</v>
      </c>
      <c r="K6" s="348"/>
      <c r="L6" s="349"/>
      <c r="M6" s="347" t="s">
        <v>473</v>
      </c>
      <c r="N6" s="348"/>
      <c r="O6" s="349"/>
      <c r="P6" s="347" t="s">
        <v>474</v>
      </c>
      <c r="Q6" s="348"/>
      <c r="R6" s="349"/>
      <c r="S6" s="347" t="s">
        <v>475</v>
      </c>
      <c r="T6" s="348"/>
      <c r="U6" s="349"/>
      <c r="V6" s="347" t="s">
        <v>476</v>
      </c>
      <c r="W6" s="348"/>
      <c r="X6" s="349"/>
      <c r="Y6" s="347" t="s">
        <v>477</v>
      </c>
      <c r="Z6" s="348"/>
      <c r="AA6" s="349"/>
      <c r="AB6" s="347" t="s">
        <v>234</v>
      </c>
      <c r="AC6" s="348"/>
      <c r="AD6" s="348"/>
      <c r="AE6" s="347" t="s">
        <v>478</v>
      </c>
      <c r="AF6" s="348"/>
      <c r="AG6" s="349"/>
      <c r="AH6" s="347" t="s">
        <v>479</v>
      </c>
      <c r="AI6" s="348"/>
      <c r="AJ6" s="349"/>
      <c r="AK6" s="347" t="s">
        <v>480</v>
      </c>
      <c r="AL6" s="348"/>
      <c r="AM6" s="349"/>
      <c r="AN6" s="347" t="s">
        <v>481</v>
      </c>
      <c r="AO6" s="348"/>
      <c r="AP6" s="349"/>
      <c r="AQ6" s="347" t="s">
        <v>482</v>
      </c>
      <c r="AR6" s="348"/>
      <c r="AS6" s="349"/>
      <c r="AT6" s="347" t="s">
        <v>483</v>
      </c>
      <c r="AU6" s="348"/>
      <c r="AV6" s="349"/>
      <c r="AW6" s="347" t="s">
        <v>484</v>
      </c>
      <c r="AX6" s="348"/>
      <c r="AY6" s="349"/>
      <c r="AZ6" s="347" t="s">
        <v>485</v>
      </c>
      <c r="BA6" s="348"/>
      <c r="BB6" s="349"/>
      <c r="BC6" s="347" t="s">
        <v>486</v>
      </c>
      <c r="BD6" s="348"/>
      <c r="BE6" s="349"/>
      <c r="BF6" s="347" t="s">
        <v>487</v>
      </c>
      <c r="BG6" s="348"/>
      <c r="BH6" s="349"/>
      <c r="BI6" s="347" t="s">
        <v>488</v>
      </c>
      <c r="BJ6" s="348"/>
      <c r="BK6" s="349"/>
      <c r="BL6" s="347" t="s">
        <v>489</v>
      </c>
      <c r="BM6" s="348"/>
      <c r="BN6" s="349"/>
      <c r="BO6" s="347" t="s">
        <v>490</v>
      </c>
      <c r="BP6" s="348"/>
      <c r="BQ6" s="349"/>
      <c r="BR6" s="347" t="s">
        <v>491</v>
      </c>
      <c r="BS6" s="348"/>
      <c r="BT6" s="349"/>
    </row>
    <row r="7" spans="2:72" ht="16" thickBot="1" x14ac:dyDescent="0.4">
      <c r="B7" s="350" t="s">
        <v>34</v>
      </c>
      <c r="C7" s="351" t="s">
        <v>35</v>
      </c>
      <c r="D7" s="352" t="s">
        <v>39</v>
      </c>
      <c r="E7" s="353" t="s">
        <v>37</v>
      </c>
      <c r="F7" s="354" t="s">
        <v>492</v>
      </c>
      <c r="G7" s="355" t="s">
        <v>493</v>
      </c>
      <c r="H7" s="356" t="s">
        <v>492</v>
      </c>
      <c r="I7" s="354" t="s">
        <v>494</v>
      </c>
      <c r="J7" s="353" t="s">
        <v>493</v>
      </c>
      <c r="K7" s="357" t="s">
        <v>492</v>
      </c>
      <c r="L7" s="354" t="s">
        <v>494</v>
      </c>
      <c r="M7" s="357" t="s">
        <v>493</v>
      </c>
      <c r="N7" s="357" t="s">
        <v>492</v>
      </c>
      <c r="O7" s="354" t="s">
        <v>494</v>
      </c>
      <c r="P7" s="353" t="s">
        <v>493</v>
      </c>
      <c r="Q7" s="357" t="s">
        <v>492</v>
      </c>
      <c r="R7" s="354" t="s">
        <v>494</v>
      </c>
      <c r="S7" s="353" t="s">
        <v>495</v>
      </c>
      <c r="T7" s="357" t="s">
        <v>492</v>
      </c>
      <c r="U7" s="354" t="s">
        <v>494</v>
      </c>
      <c r="V7" s="353" t="s">
        <v>495</v>
      </c>
      <c r="W7" s="357" t="s">
        <v>492</v>
      </c>
      <c r="X7" s="354" t="s">
        <v>494</v>
      </c>
      <c r="Y7" s="353" t="s">
        <v>496</v>
      </c>
      <c r="Z7" s="357" t="s">
        <v>492</v>
      </c>
      <c r="AA7" s="354" t="s">
        <v>494</v>
      </c>
      <c r="AB7" s="353" t="s">
        <v>496</v>
      </c>
      <c r="AC7" s="358" t="s">
        <v>492</v>
      </c>
      <c r="AD7" s="359" t="s">
        <v>494</v>
      </c>
      <c r="AE7" s="353" t="s">
        <v>495</v>
      </c>
      <c r="AF7" s="357" t="s">
        <v>492</v>
      </c>
      <c r="AG7" s="354" t="s">
        <v>494</v>
      </c>
      <c r="AH7" s="353" t="s">
        <v>496</v>
      </c>
      <c r="AI7" s="357" t="s">
        <v>492</v>
      </c>
      <c r="AJ7" s="354" t="s">
        <v>494</v>
      </c>
      <c r="AK7" s="353" t="s">
        <v>493</v>
      </c>
      <c r="AL7" s="357" t="s">
        <v>492</v>
      </c>
      <c r="AM7" s="354" t="s">
        <v>494</v>
      </c>
      <c r="AN7" s="357" t="s">
        <v>493</v>
      </c>
      <c r="AO7" s="357" t="s">
        <v>492</v>
      </c>
      <c r="AP7" s="354" t="s">
        <v>494</v>
      </c>
      <c r="AQ7" s="353" t="s">
        <v>497</v>
      </c>
      <c r="AR7" s="357" t="s">
        <v>492</v>
      </c>
      <c r="AS7" s="354" t="s">
        <v>494</v>
      </c>
      <c r="AT7" s="353" t="s">
        <v>493</v>
      </c>
      <c r="AU7" s="357" t="s">
        <v>492</v>
      </c>
      <c r="AV7" s="354" t="s">
        <v>494</v>
      </c>
      <c r="AW7" s="353" t="s">
        <v>498</v>
      </c>
      <c r="AX7" s="357" t="s">
        <v>492</v>
      </c>
      <c r="AY7" s="354" t="s">
        <v>494</v>
      </c>
      <c r="AZ7" s="353" t="s">
        <v>497</v>
      </c>
      <c r="BA7" s="357" t="s">
        <v>492</v>
      </c>
      <c r="BB7" s="354" t="s">
        <v>494</v>
      </c>
      <c r="BC7" s="353" t="s">
        <v>497</v>
      </c>
      <c r="BD7" s="357" t="s">
        <v>492</v>
      </c>
      <c r="BE7" s="354" t="s">
        <v>494</v>
      </c>
      <c r="BF7" s="353" t="s">
        <v>498</v>
      </c>
      <c r="BG7" s="357" t="s">
        <v>492</v>
      </c>
      <c r="BH7" s="354" t="s">
        <v>494</v>
      </c>
      <c r="BI7" s="353" t="s">
        <v>497</v>
      </c>
      <c r="BJ7" s="357" t="s">
        <v>492</v>
      </c>
      <c r="BK7" s="354" t="s">
        <v>494</v>
      </c>
      <c r="BL7" s="353" t="s">
        <v>498</v>
      </c>
      <c r="BM7" s="357" t="s">
        <v>492</v>
      </c>
      <c r="BN7" s="354" t="s">
        <v>494</v>
      </c>
      <c r="BO7" s="353" t="s">
        <v>497</v>
      </c>
      <c r="BP7" s="357" t="s">
        <v>492</v>
      </c>
      <c r="BQ7" s="354" t="s">
        <v>494</v>
      </c>
      <c r="BR7" s="353" t="s">
        <v>497</v>
      </c>
      <c r="BS7" s="357" t="s">
        <v>492</v>
      </c>
      <c r="BT7" s="354" t="s">
        <v>494</v>
      </c>
    </row>
    <row r="8" spans="2:72" ht="15.5" x14ac:dyDescent="0.35">
      <c r="B8" s="85"/>
      <c r="C8" s="86"/>
      <c r="D8" s="85"/>
      <c r="E8" s="86"/>
      <c r="F8" s="87"/>
      <c r="G8" s="88"/>
      <c r="H8" s="89"/>
      <c r="I8" s="89"/>
      <c r="J8" s="89"/>
      <c r="K8" s="89"/>
      <c r="L8" s="89"/>
      <c r="M8" s="89"/>
      <c r="N8" s="89"/>
      <c r="O8" s="89"/>
      <c r="P8" s="89"/>
      <c r="Q8" s="89"/>
      <c r="R8" s="90"/>
      <c r="S8" s="88"/>
      <c r="T8" s="89"/>
      <c r="U8" s="89"/>
      <c r="V8" s="89"/>
      <c r="W8" s="89"/>
      <c r="X8" s="89"/>
      <c r="Y8" s="89"/>
      <c r="Z8" s="89"/>
      <c r="AA8" s="89"/>
      <c r="AB8" s="89"/>
      <c r="AC8" s="89"/>
      <c r="AD8" s="89"/>
      <c r="AE8" s="89"/>
      <c r="AF8" s="89"/>
      <c r="AG8" s="89"/>
      <c r="AH8" s="89"/>
      <c r="AI8" s="89"/>
      <c r="AJ8" s="89"/>
      <c r="AK8" s="89"/>
      <c r="AL8" s="89"/>
      <c r="AM8" s="89"/>
      <c r="AN8" s="89"/>
      <c r="AO8" s="89"/>
      <c r="AP8" s="90"/>
      <c r="AQ8" s="88"/>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90"/>
    </row>
    <row r="9" spans="2:72" x14ac:dyDescent="0.35">
      <c r="B9" s="237">
        <v>1</v>
      </c>
      <c r="C9" s="239" t="s">
        <v>41</v>
      </c>
      <c r="D9" s="360">
        <v>0.36280516000000002</v>
      </c>
      <c r="E9" s="138">
        <v>157.3095247</v>
      </c>
      <c r="F9" s="361">
        <f>$E9/$D9</f>
        <v>433.59230254608286</v>
      </c>
      <c r="G9" s="362">
        <v>3.2874562288888889</v>
      </c>
      <c r="H9" s="138">
        <f>$G9/$D9</f>
        <v>9.0612168495312719</v>
      </c>
      <c r="I9" s="242">
        <f>($G9/$E9)*1000</f>
        <v>20.89801132613103</v>
      </c>
      <c r="J9" s="138">
        <v>0.51487747288888885</v>
      </c>
      <c r="K9" s="138">
        <f>($J9/$D9)</f>
        <v>1.4191569736463749</v>
      </c>
      <c r="L9" s="242">
        <f>($J9/$E9)*1000</f>
        <v>3.2730216041959022</v>
      </c>
      <c r="M9" s="138">
        <v>24.258775579999998</v>
      </c>
      <c r="N9" s="138">
        <f>($M9/$D9)</f>
        <v>66.864472324484026</v>
      </c>
      <c r="O9" s="242">
        <f>($M9/$E9)*1000</f>
        <v>154.21046898630669</v>
      </c>
      <c r="P9" s="138">
        <v>8.6562916550000004</v>
      </c>
      <c r="Q9" s="138">
        <f>($P9/$D9)</f>
        <v>23.85933996914487</v>
      </c>
      <c r="R9" s="363">
        <f>($P9/$E9)*1000</f>
        <v>55.027129930677368</v>
      </c>
      <c r="S9" s="362">
        <v>0.56999999999999995</v>
      </c>
      <c r="T9" s="138">
        <f>($S9/$D9)</f>
        <v>1.5710912160124733</v>
      </c>
      <c r="U9" s="242">
        <f>($S9/$E9)*1000</f>
        <v>3.6234296752661916</v>
      </c>
      <c r="V9" s="138">
        <v>0</v>
      </c>
      <c r="W9" s="138">
        <f>($V9/$D9)</f>
        <v>0</v>
      </c>
      <c r="X9" s="242">
        <f>($V9/$E9)*1000</f>
        <v>0</v>
      </c>
      <c r="Y9" s="138">
        <v>0</v>
      </c>
      <c r="Z9" s="138">
        <f>($Y9/$D9)</f>
        <v>0</v>
      </c>
      <c r="AA9" s="242">
        <f>($Y9/$E9)*1000</f>
        <v>0</v>
      </c>
      <c r="AB9" s="138">
        <v>0</v>
      </c>
      <c r="AC9" s="138">
        <f>($AB9/$D9)</f>
        <v>0</v>
      </c>
      <c r="AD9" s="242">
        <f>($AB9/$E9)*1000</f>
        <v>0</v>
      </c>
      <c r="AE9" s="138">
        <v>0</v>
      </c>
      <c r="AF9" s="138">
        <f>($AE9/$D9)</f>
        <v>0</v>
      </c>
      <c r="AG9" s="242">
        <f>($AE9/$E9)*1000</f>
        <v>0</v>
      </c>
      <c r="AH9" s="138">
        <v>0</v>
      </c>
      <c r="AI9" s="138">
        <f>($AH9/$D9)</f>
        <v>0</v>
      </c>
      <c r="AJ9" s="242">
        <f>($AH9/$E9)*1000</f>
        <v>0</v>
      </c>
      <c r="AK9" s="138">
        <v>2.5321419189999999</v>
      </c>
      <c r="AL9" s="138">
        <f>($AK9/$D9)</f>
        <v>6.9793437309436275</v>
      </c>
      <c r="AM9" s="364">
        <f>($AK9/$E9)*1000</f>
        <v>16.096558195245759</v>
      </c>
      <c r="AN9" s="138">
        <v>0</v>
      </c>
      <c r="AO9" s="365">
        <f>($AN9/$D9)</f>
        <v>0</v>
      </c>
      <c r="AP9" s="361">
        <f>($AN9/$E9)*1000</f>
        <v>0</v>
      </c>
      <c r="AQ9" s="362">
        <v>43.48962083</v>
      </c>
      <c r="AR9" s="138">
        <f>($AQ9/$D9)</f>
        <v>119.87045837495806</v>
      </c>
      <c r="AS9" s="364">
        <f>($AQ9/$E9)*1000</f>
        <v>276.45891698508194</v>
      </c>
      <c r="AT9" s="138">
        <v>8.1914492899999996</v>
      </c>
      <c r="AU9" s="138">
        <f>($AT9/$D9)</f>
        <v>22.578094782334407</v>
      </c>
      <c r="AV9" s="242">
        <f>($AT9/$E9)*1000</f>
        <v>52.072176211972241</v>
      </c>
      <c r="AW9" s="138">
        <v>145.28885589999999</v>
      </c>
      <c r="AX9" s="138">
        <f>($AW9/$D9)</f>
        <v>400.45972857717896</v>
      </c>
      <c r="AY9" s="242">
        <f>($AW9/$E9)*1000</f>
        <v>923.58588062023432</v>
      </c>
      <c r="AZ9" s="138">
        <v>2.3478464149999998</v>
      </c>
      <c r="BA9" s="138">
        <f>($AZ9/$D9)</f>
        <v>6.4713699634260982</v>
      </c>
      <c r="BB9" s="242">
        <f>($AZ9/$E9)*1000</f>
        <v>14.925011180839196</v>
      </c>
      <c r="BC9" s="138">
        <v>407.59374659999997</v>
      </c>
      <c r="BD9" s="138">
        <f>($BC9/$D9)</f>
        <v>1123.4507982190771</v>
      </c>
      <c r="BE9" s="242">
        <f>($BC9/$E9)*1000</f>
        <v>2591.0303103216988</v>
      </c>
      <c r="BF9" s="138">
        <v>5.9454547000000003E-2</v>
      </c>
      <c r="BG9" s="138">
        <f>($BF9/$D9)</f>
        <v>0.16387459042754518</v>
      </c>
      <c r="BH9" s="242">
        <f>($BF9/$E9)*1000</f>
        <v>0.37794626303387469</v>
      </c>
      <c r="BI9" s="138">
        <v>0.162377086</v>
      </c>
      <c r="BJ9" s="138">
        <f>($BI9/$D9)</f>
        <v>0.44756002367772274</v>
      </c>
      <c r="BK9" s="242">
        <f>($BI9/$E9)*1000</f>
        <v>1.0322139508695622</v>
      </c>
      <c r="BL9" s="138">
        <v>1.5221700000000001E-4</v>
      </c>
      <c r="BM9" s="138">
        <f>($BL9/$D9)</f>
        <v>4.1955577478556259E-4</v>
      </c>
      <c r="BN9" s="242">
        <f>($BL9/$E9)*1000</f>
        <v>9.6762735943858598E-4</v>
      </c>
      <c r="BO9" s="138">
        <v>0.771866618</v>
      </c>
      <c r="BP9" s="138">
        <f>($BO9/$D9)</f>
        <v>2.1274962517071145</v>
      </c>
      <c r="BQ9" s="242">
        <f>($BO9/$E9)*1000</f>
        <v>4.9066744017693926</v>
      </c>
      <c r="BR9" s="138">
        <v>133.64382989999999</v>
      </c>
      <c r="BS9" s="138">
        <f>($BR9/$D9)</f>
        <v>368.36253900027214</v>
      </c>
      <c r="BT9" s="363">
        <f>($BR9/$E9)*1000</f>
        <v>849.55968276471424</v>
      </c>
    </row>
    <row r="10" spans="2:72" x14ac:dyDescent="0.35">
      <c r="B10" s="237">
        <v>2</v>
      </c>
      <c r="C10" s="239" t="s">
        <v>43</v>
      </c>
      <c r="D10" s="360">
        <v>0.15567932300000001</v>
      </c>
      <c r="E10" s="138">
        <v>34.20225645</v>
      </c>
      <c r="F10" s="361">
        <f>$E10/$D10</f>
        <v>219.69684728138236</v>
      </c>
      <c r="G10" s="362">
        <v>0.13355694299999998</v>
      </c>
      <c r="H10" s="138">
        <f>$G10/$D10</f>
        <v>0.85789776334009349</v>
      </c>
      <c r="I10" s="242">
        <f>($G10/$E10)*1000</f>
        <v>3.9049161330991655</v>
      </c>
      <c r="J10" s="138">
        <v>3.8039032111111114E-2</v>
      </c>
      <c r="K10" s="138">
        <f>($J10/$D10)</f>
        <v>0.24434222463256158</v>
      </c>
      <c r="L10" s="242">
        <f>($J10/$E10)*1000</f>
        <v>1.1121790214841545</v>
      </c>
      <c r="M10" s="138">
        <v>8.2844516099999996</v>
      </c>
      <c r="N10" s="138">
        <f>($M10/$D10)</f>
        <v>53.214848641139064</v>
      </c>
      <c r="O10" s="242">
        <f>($M10/$E10)*1000</f>
        <v>242.21944602137498</v>
      </c>
      <c r="P10" s="138">
        <v>0.11784549875</v>
      </c>
      <c r="Q10" s="138">
        <f>($P10/$D10)</f>
        <v>0.75697591998135805</v>
      </c>
      <c r="R10" s="363">
        <f>($P10/$E10)*1000</f>
        <v>3.4455474866775928</v>
      </c>
      <c r="S10" s="362">
        <v>0</v>
      </c>
      <c r="T10" s="138">
        <f>($S10/$D10)</f>
        <v>0</v>
      </c>
      <c r="U10" s="242">
        <f>($S10/$E10)*1000</f>
        <v>0</v>
      </c>
      <c r="V10" s="138">
        <v>1.193436E-3</v>
      </c>
      <c r="W10" s="138">
        <f>($V10/$D10)</f>
        <v>7.6659891435935899E-3</v>
      </c>
      <c r="X10" s="242">
        <f>($V10/$E10)*1000</f>
        <v>3.489348726873253E-2</v>
      </c>
      <c r="Y10" s="138">
        <v>0</v>
      </c>
      <c r="Z10" s="138">
        <f>($Y10/$D10)</f>
        <v>0</v>
      </c>
      <c r="AA10" s="242">
        <f>($Y10/$E10)*1000</f>
        <v>0</v>
      </c>
      <c r="AB10" s="138">
        <v>0</v>
      </c>
      <c r="AC10" s="138">
        <f>($AB10/$D10)</f>
        <v>0</v>
      </c>
      <c r="AD10" s="242">
        <f>($AB10/$E10)*1000</f>
        <v>0</v>
      </c>
      <c r="AE10" s="138">
        <v>1.3501630000000001E-2</v>
      </c>
      <c r="AF10" s="138">
        <f>($AE10/$D10)</f>
        <v>8.6727188555412713E-2</v>
      </c>
      <c r="AG10" s="242">
        <f>($AE10/$E10)*1000</f>
        <v>0.39475845752276384</v>
      </c>
      <c r="AH10" s="138">
        <v>0</v>
      </c>
      <c r="AI10" s="138">
        <f>($AH10/$D10)</f>
        <v>0</v>
      </c>
      <c r="AJ10" s="242">
        <f>($AH10/$E10)*1000</f>
        <v>0</v>
      </c>
      <c r="AK10" s="138">
        <v>0</v>
      </c>
      <c r="AL10" s="138">
        <f>($AK10/$D10)</f>
        <v>0</v>
      </c>
      <c r="AM10" s="364">
        <f>($AK10/$E10)*1000</f>
        <v>0</v>
      </c>
      <c r="AN10" s="138">
        <v>7.5570379750000001</v>
      </c>
      <c r="AO10" s="365">
        <f>($AN10/$D10)</f>
        <v>48.542335805250126</v>
      </c>
      <c r="AP10" s="361">
        <f>($AN10/$E10)*1000</f>
        <v>220.95144471089421</v>
      </c>
      <c r="AQ10" s="362">
        <v>5.0289715939999997</v>
      </c>
      <c r="AR10" s="138">
        <f>($AQ10/$D10)</f>
        <v>32.303400972523498</v>
      </c>
      <c r="AS10" s="364">
        <f>($AQ10/$E10)*1000</f>
        <v>147.03625187279127</v>
      </c>
      <c r="AT10" s="138">
        <v>6.496127E-3</v>
      </c>
      <c r="AU10" s="138">
        <f>($AT10/$D10)</f>
        <v>4.1727615940364796E-2</v>
      </c>
      <c r="AV10" s="242">
        <f>($AT10/$E10)*1000</f>
        <v>0.18993270252495284</v>
      </c>
      <c r="AW10" s="138">
        <v>3.2375955360000002</v>
      </c>
      <c r="AX10" s="138">
        <f>($AW10/$D10)</f>
        <v>20.796567415699773</v>
      </c>
      <c r="AY10" s="242">
        <f>($AW10/$E10)*1000</f>
        <v>94.660290637052398</v>
      </c>
      <c r="AZ10" s="138">
        <v>1.8455872000000002E-2</v>
      </c>
      <c r="BA10" s="138">
        <f>($AZ10/$D10)</f>
        <v>0.11855056692403525</v>
      </c>
      <c r="BB10" s="242">
        <f>($AZ10/$E10)*1000</f>
        <v>0.53960977770517826</v>
      </c>
      <c r="BC10" s="138">
        <v>33.966969519999999</v>
      </c>
      <c r="BD10" s="138">
        <f>($BC10/$D10)</f>
        <v>218.18549095309206</v>
      </c>
      <c r="BE10" s="242">
        <f>($BC10/$E10)*1000</f>
        <v>993.12071908635721</v>
      </c>
      <c r="BF10" s="138">
        <v>1.3462622259999999</v>
      </c>
      <c r="BG10" s="138">
        <f>($BF10/$D10)</f>
        <v>8.6476623873807554</v>
      </c>
      <c r="BH10" s="242">
        <f>($BF10/$E10)*1000</f>
        <v>39.361795557789868</v>
      </c>
      <c r="BI10" s="138">
        <v>1.165164E-3</v>
      </c>
      <c r="BJ10" s="138">
        <f>($BI10/$D10)</f>
        <v>7.4843850650609519E-3</v>
      </c>
      <c r="BK10" s="242">
        <f>($BI10/$E10)*1000</f>
        <v>3.4066875140338876E-2</v>
      </c>
      <c r="BL10" s="138">
        <v>1.9314141E-2</v>
      </c>
      <c r="BM10" s="138">
        <f>($BL10/$D10)</f>
        <v>0.1240636240433805</v>
      </c>
      <c r="BN10" s="242">
        <f>($BL10/$E10)*1000</f>
        <v>0.56470370685148175</v>
      </c>
      <c r="BO10" s="138">
        <v>5.0310592000000001E-2</v>
      </c>
      <c r="BP10" s="138">
        <f>($BO10/$D10)</f>
        <v>0.32316810627446008</v>
      </c>
      <c r="BQ10" s="242">
        <f>($BO10/$E10)*1000</f>
        <v>1.4709728895679337</v>
      </c>
      <c r="BR10" s="138">
        <v>5.6063381899999998</v>
      </c>
      <c r="BS10" s="138">
        <f>($BR10/$D10)</f>
        <v>36.012092562863984</v>
      </c>
      <c r="BT10" s="363">
        <f>($BR10/$E10)*1000</f>
        <v>163.91720231078497</v>
      </c>
    </row>
    <row r="11" spans="2:72" x14ac:dyDescent="0.35">
      <c r="B11" s="237">
        <v>3</v>
      </c>
      <c r="C11" s="239" t="s">
        <v>45</v>
      </c>
      <c r="D11" s="360">
        <v>6.4721003999999999E-2</v>
      </c>
      <c r="E11" s="138">
        <v>1.1593526830000001</v>
      </c>
      <c r="F11" s="361">
        <f>$E11/$D11</f>
        <v>17.913082482465818</v>
      </c>
      <c r="G11" s="362">
        <v>1.3919139333333334E-2</v>
      </c>
      <c r="H11" s="138">
        <f>$G11/$D11</f>
        <v>0.21506371151679499</v>
      </c>
      <c r="I11" s="242">
        <f>($G11/$E11)*1000</f>
        <v>12.005957753352035</v>
      </c>
      <c r="J11" s="138">
        <v>2.560970222222222E-3</v>
      </c>
      <c r="K11" s="138">
        <f>($J11/$D11)</f>
        <v>3.9569383414111162E-2</v>
      </c>
      <c r="L11" s="242">
        <f>($J11/$E11)*1000</f>
        <v>2.2089656234678516</v>
      </c>
      <c r="M11" s="138">
        <v>0.1198869295</v>
      </c>
      <c r="N11" s="138">
        <f>($M11/$D11)</f>
        <v>1.8523651070060656</v>
      </c>
      <c r="O11" s="242">
        <f>($M11/$E11)*1000</f>
        <v>103.4085065381265</v>
      </c>
      <c r="P11" s="138">
        <v>9.8234858250000001E-2</v>
      </c>
      <c r="Q11" s="138">
        <f>($P11/$D11)</f>
        <v>1.5178203701846158</v>
      </c>
      <c r="R11" s="363">
        <f>($P11/$E11)*1000</f>
        <v>84.732506070372381</v>
      </c>
      <c r="S11" s="362">
        <v>0</v>
      </c>
      <c r="T11" s="138">
        <f>($S11/$D11)</f>
        <v>0</v>
      </c>
      <c r="U11" s="242">
        <f>($S11/$E11)*1000</f>
        <v>0</v>
      </c>
      <c r="V11" s="138">
        <v>0</v>
      </c>
      <c r="W11" s="138">
        <f>($V11/$D11)</f>
        <v>0</v>
      </c>
      <c r="X11" s="242">
        <f>($V11/$E11)*1000</f>
        <v>0</v>
      </c>
      <c r="Y11" s="138">
        <v>0</v>
      </c>
      <c r="Z11" s="138">
        <f>($Y11/$D11)</f>
        <v>0</v>
      </c>
      <c r="AA11" s="242">
        <f>($Y11/$E11)*1000</f>
        <v>0</v>
      </c>
      <c r="AB11" s="138">
        <v>0</v>
      </c>
      <c r="AC11" s="138">
        <f>($AB11/$D11)</f>
        <v>0</v>
      </c>
      <c r="AD11" s="242">
        <f>($AB11/$E11)*1000</f>
        <v>0</v>
      </c>
      <c r="AE11" s="138">
        <v>0</v>
      </c>
      <c r="AF11" s="138">
        <f>($AE11/$D11)</f>
        <v>0</v>
      </c>
      <c r="AG11" s="242">
        <f>($AE11/$E11)*1000</f>
        <v>0</v>
      </c>
      <c r="AH11" s="138">
        <v>0</v>
      </c>
      <c r="AI11" s="138">
        <f>($AH11/$D11)</f>
        <v>0</v>
      </c>
      <c r="AJ11" s="242">
        <f>($AH11/$E11)*1000</f>
        <v>0</v>
      </c>
      <c r="AK11" s="138">
        <v>0</v>
      </c>
      <c r="AL11" s="138">
        <f>($AK11/$D11)</f>
        <v>0</v>
      </c>
      <c r="AM11" s="364">
        <f>($AK11/$E11)*1000</f>
        <v>0</v>
      </c>
      <c r="AN11" s="138">
        <v>0</v>
      </c>
      <c r="AO11" s="365">
        <f>($AN11/$D11)</f>
        <v>0</v>
      </c>
      <c r="AP11" s="361">
        <f>($AN11/$E11)*1000</f>
        <v>0</v>
      </c>
      <c r="AQ11" s="362">
        <v>1.7898842479999999</v>
      </c>
      <c r="AR11" s="138">
        <f>($AQ11/$D11)</f>
        <v>27.655384456026052</v>
      </c>
      <c r="AS11" s="364">
        <f>($AQ11/$E11)*1000</f>
        <v>1543.8651880878942</v>
      </c>
      <c r="AT11" s="138">
        <v>0</v>
      </c>
      <c r="AU11" s="138">
        <f>($AT11/$D11)</f>
        <v>0</v>
      </c>
      <c r="AV11" s="242">
        <f>($AT11/$E11)*1000</f>
        <v>0</v>
      </c>
      <c r="AW11" s="138">
        <v>1.953933369</v>
      </c>
      <c r="AX11" s="138">
        <f>($AW11/$D11)</f>
        <v>30.190096695656948</v>
      </c>
      <c r="AY11" s="242">
        <f>($AW11/$E11)*1000</f>
        <v>1685.365805980543</v>
      </c>
      <c r="AZ11" s="138">
        <v>1.8769126000000001E-2</v>
      </c>
      <c r="BA11" s="138">
        <f>($AZ11/$D11)</f>
        <v>0.29000053831056144</v>
      </c>
      <c r="BB11" s="242">
        <f>($AZ11/$E11)*1000</f>
        <v>16.189315188741404</v>
      </c>
      <c r="BC11" s="138">
        <v>42.639022339999997</v>
      </c>
      <c r="BD11" s="138">
        <f>($BC11/$D11)</f>
        <v>658.81274555011532</v>
      </c>
      <c r="BE11" s="242">
        <f>($BC11/$E11)*1000</f>
        <v>36778.301344561594</v>
      </c>
      <c r="BF11" s="138">
        <v>2.8360709999999999E-3</v>
      </c>
      <c r="BG11" s="138">
        <f>($BF11/$D11)</f>
        <v>4.3819947539750777E-2</v>
      </c>
      <c r="BH11" s="242">
        <f>($BF11/$E11)*1000</f>
        <v>2.4462538807959957</v>
      </c>
      <c r="BI11" s="138">
        <v>8.7217700000000002E-4</v>
      </c>
      <c r="BJ11" s="138">
        <f>($BI11/$D11)</f>
        <v>1.3475949785945842E-2</v>
      </c>
      <c r="BK11" s="242">
        <f>($BI11/$E11)*1000</f>
        <v>0.75229652959711135</v>
      </c>
      <c r="BL11" s="138">
        <v>0</v>
      </c>
      <c r="BM11" s="138">
        <f>($BL11/$D11)</f>
        <v>0</v>
      </c>
      <c r="BN11" s="242">
        <f>($BL11/$E11)*1000</f>
        <v>0</v>
      </c>
      <c r="BO11" s="138">
        <v>0.107331092</v>
      </c>
      <c r="BP11" s="138">
        <f>($BO11/$D11)</f>
        <v>1.6583656829551039</v>
      </c>
      <c r="BQ11" s="242">
        <f>($BO11/$E11)*1000</f>
        <v>92.578465184782772</v>
      </c>
      <c r="BR11" s="138">
        <v>2.4788578989999999</v>
      </c>
      <c r="BS11" s="138">
        <f>($BR11/$D11)</f>
        <v>38.300671278214409</v>
      </c>
      <c r="BT11" s="363">
        <f>($BR11/$E11)*1000</f>
        <v>2138.1396147594887</v>
      </c>
    </row>
    <row r="12" spans="2:72" x14ac:dyDescent="0.35">
      <c r="B12" s="237">
        <v>4</v>
      </c>
      <c r="C12" s="239" t="s">
        <v>47</v>
      </c>
      <c r="D12" s="360">
        <v>0.12213855</v>
      </c>
      <c r="E12" s="138">
        <v>1.6578389490000001</v>
      </c>
      <c r="F12" s="361">
        <f>$E12/$D12</f>
        <v>13.573429101622708</v>
      </c>
      <c r="G12" s="362">
        <v>1.3227381333333333E-2</v>
      </c>
      <c r="H12" s="138">
        <f>$G12/$D12</f>
        <v>0.10829816903290021</v>
      </c>
      <c r="I12" s="242">
        <f>($G12/$E12)*1000</f>
        <v>7.9786889681365132</v>
      </c>
      <c r="J12" s="138">
        <v>0</v>
      </c>
      <c r="K12" s="138">
        <f>($J12/$D12)</f>
        <v>0</v>
      </c>
      <c r="L12" s="242">
        <f>($J12/$E12)*1000</f>
        <v>0</v>
      </c>
      <c r="M12" s="138">
        <v>0.35093834600000001</v>
      </c>
      <c r="N12" s="138">
        <f>($M12/$D12)</f>
        <v>2.873280761888855</v>
      </c>
      <c r="O12" s="242">
        <f>($M12/$E12)*1000</f>
        <v>211.68422072100805</v>
      </c>
      <c r="P12" s="138">
        <v>6.6545056249999998E-2</v>
      </c>
      <c r="Q12" s="138">
        <f>($P12/$D12)</f>
        <v>0.54483253853922453</v>
      </c>
      <c r="R12" s="363">
        <f>($P12/$E12)*1000</f>
        <v>40.139638588018236</v>
      </c>
      <c r="S12" s="362">
        <v>3.7412E-5</v>
      </c>
      <c r="T12" s="138">
        <f>($S12/$D12)</f>
        <v>3.0630787740643718E-4</v>
      </c>
      <c r="U12" s="242">
        <f>($S12/$E12)*1000</f>
        <v>2.2566727620054242E-2</v>
      </c>
      <c r="V12" s="138">
        <v>3.7412E-5</v>
      </c>
      <c r="W12" s="138">
        <f>($V12/$D12)</f>
        <v>3.0630787740643718E-4</v>
      </c>
      <c r="X12" s="242">
        <f>($V12/$E12)*1000</f>
        <v>2.2566727620054242E-2</v>
      </c>
      <c r="Y12" s="138">
        <v>0</v>
      </c>
      <c r="Z12" s="138">
        <f>($Y12/$D12)</f>
        <v>0</v>
      </c>
      <c r="AA12" s="242">
        <f>($Y12/$E12)*1000</f>
        <v>0</v>
      </c>
      <c r="AB12" s="138">
        <v>0</v>
      </c>
      <c r="AC12" s="138">
        <f>($AB12/$D12)</f>
        <v>0</v>
      </c>
      <c r="AD12" s="242">
        <f>($AB12/$E12)*1000</f>
        <v>0</v>
      </c>
      <c r="AE12" s="138">
        <v>0</v>
      </c>
      <c r="AF12" s="138">
        <f>($AE12/$D12)</f>
        <v>0</v>
      </c>
      <c r="AG12" s="242">
        <f>($AE12/$E12)*1000</f>
        <v>0</v>
      </c>
      <c r="AH12" s="138">
        <v>0</v>
      </c>
      <c r="AI12" s="138">
        <f>($AH12/$D12)</f>
        <v>0</v>
      </c>
      <c r="AJ12" s="242">
        <f>($AH12/$E12)*1000</f>
        <v>0</v>
      </c>
      <c r="AK12" s="138">
        <v>0</v>
      </c>
      <c r="AL12" s="138">
        <f>($AK12/$D12)</f>
        <v>0</v>
      </c>
      <c r="AM12" s="364">
        <f>($AK12/$E12)*1000</f>
        <v>0</v>
      </c>
      <c r="AN12" s="138">
        <v>0</v>
      </c>
      <c r="AO12" s="365">
        <f>($AN12/$D12)</f>
        <v>0</v>
      </c>
      <c r="AP12" s="361">
        <f>($AN12/$E12)*1000</f>
        <v>0</v>
      </c>
      <c r="AQ12" s="362">
        <v>4.8378245120000001</v>
      </c>
      <c r="AR12" s="138">
        <f>($AQ12/$D12)</f>
        <v>39.609316730876536</v>
      </c>
      <c r="AS12" s="364">
        <f>($AQ12/$E12)*1000</f>
        <v>2918.15107548182</v>
      </c>
      <c r="AT12" s="138">
        <v>0</v>
      </c>
      <c r="AU12" s="138">
        <f>($AT12/$D12)</f>
        <v>0</v>
      </c>
      <c r="AV12" s="242">
        <f>($AT12/$E12)*1000</f>
        <v>0</v>
      </c>
      <c r="AW12" s="138">
        <v>0</v>
      </c>
      <c r="AX12" s="138">
        <f>($AW12/$D12)</f>
        <v>0</v>
      </c>
      <c r="AY12" s="242">
        <f>($AW12/$E12)*1000</f>
        <v>0</v>
      </c>
      <c r="AZ12" s="138">
        <v>5.5551530000000002E-2</v>
      </c>
      <c r="BA12" s="138">
        <f>($AZ12/$D12)</f>
        <v>0.45482388647973965</v>
      </c>
      <c r="BB12" s="242">
        <f>($AZ12/$E12)*1000</f>
        <v>33.508399614756549</v>
      </c>
      <c r="BC12" s="138">
        <v>6.4013075190000004</v>
      </c>
      <c r="BD12" s="138">
        <f>($BC12/$D12)</f>
        <v>52.410213802276189</v>
      </c>
      <c r="BE12" s="242">
        <f>($BC12/$E12)*1000</f>
        <v>3861.2360524291194</v>
      </c>
      <c r="BF12" s="138">
        <v>9.8206590999999996E-2</v>
      </c>
      <c r="BG12" s="138">
        <f>($BF12/$D12)</f>
        <v>0.80405892324741035</v>
      </c>
      <c r="BH12" s="242">
        <f>($BF12/$E12)*1000</f>
        <v>59.237714893378339</v>
      </c>
      <c r="BI12" s="138">
        <v>2.223636E-2</v>
      </c>
      <c r="BJ12" s="138">
        <f>($BI12/$D12)</f>
        <v>0.18205849013272224</v>
      </c>
      <c r="BK12" s="242">
        <f>($BI12/$E12)*1000</f>
        <v>13.412858959196765</v>
      </c>
      <c r="BL12" s="138">
        <v>5.1776560000000001E-3</v>
      </c>
      <c r="BM12" s="138">
        <f>($BL12/$D12)</f>
        <v>4.2391660945704693E-2</v>
      </c>
      <c r="BN12" s="242">
        <f>($BL12/$E12)*1000</f>
        <v>3.1231356960958934</v>
      </c>
      <c r="BO12" s="138">
        <v>1.358122016</v>
      </c>
      <c r="BP12" s="138">
        <f>($BO12/$D12)</f>
        <v>11.119519725754072</v>
      </c>
      <c r="BQ12" s="242">
        <f>($BO12/$E12)*1000</f>
        <v>819.21227440048517</v>
      </c>
      <c r="BR12" s="138">
        <v>10.56887098</v>
      </c>
      <c r="BS12" s="138">
        <f>($BR12/$D12)</f>
        <v>86.531819642528916</v>
      </c>
      <c r="BT12" s="363">
        <f>($BR12/$E12)*1000</f>
        <v>6375.0890798983146</v>
      </c>
    </row>
    <row r="13" spans="2:72" x14ac:dyDescent="0.35">
      <c r="B13" s="237">
        <v>5</v>
      </c>
      <c r="C13" s="239" t="s">
        <v>49</v>
      </c>
      <c r="D13" s="360">
        <v>0.26649845599999999</v>
      </c>
      <c r="E13" s="138">
        <v>20.104912890000001</v>
      </c>
      <c r="F13" s="361">
        <f>$E13/$D13</f>
        <v>75.441010772685303</v>
      </c>
      <c r="G13" s="362">
        <v>5.7379242222222224E-2</v>
      </c>
      <c r="H13" s="138">
        <f>$G13/$D13</f>
        <v>0.21530797244927463</v>
      </c>
      <c r="I13" s="242">
        <f>($G13/$E13)*1000</f>
        <v>2.8539910884549085</v>
      </c>
      <c r="J13" s="138">
        <v>2.3194435555555556E-3</v>
      </c>
      <c r="K13" s="138">
        <f>($J13/$D13)</f>
        <v>8.7034033531344576E-3</v>
      </c>
      <c r="L13" s="242">
        <f>($J13/$E13)*1000</f>
        <v>0.11536700349043669</v>
      </c>
      <c r="M13" s="138">
        <v>4.8391311349999997</v>
      </c>
      <c r="N13" s="138">
        <f>($M13/$D13)</f>
        <v>18.158195764556325</v>
      </c>
      <c r="O13" s="242">
        <f>($M13/$E13)*1000</f>
        <v>240.69396179313659</v>
      </c>
      <c r="P13" s="138">
        <v>9.0033864749999998E-2</v>
      </c>
      <c r="Q13" s="138">
        <f>($P13/$D13)</f>
        <v>0.33784009896852835</v>
      </c>
      <c r="R13" s="363">
        <f>($P13/$E13)*1000</f>
        <v>4.4782021808600829</v>
      </c>
      <c r="S13" s="362">
        <v>8.2660899999999996E-4</v>
      </c>
      <c r="T13" s="138">
        <f>($S13/$D13)</f>
        <v>3.1017402967617944E-3</v>
      </c>
      <c r="U13" s="242">
        <f>($S13/$E13)*1000</f>
        <v>4.1114776498790383E-2</v>
      </c>
      <c r="V13" s="138">
        <v>0.14130055599999999</v>
      </c>
      <c r="W13" s="138">
        <f>($V13/$D13)</f>
        <v>0.53021153713550973</v>
      </c>
      <c r="X13" s="242">
        <f>($V13/$E13)*1000</f>
        <v>7.0281605681704589</v>
      </c>
      <c r="Y13" s="138">
        <v>0</v>
      </c>
      <c r="Z13" s="138">
        <f>($Y13/$D13)</f>
        <v>0</v>
      </c>
      <c r="AA13" s="242">
        <f>($Y13/$E13)*1000</f>
        <v>0</v>
      </c>
      <c r="AB13" s="138">
        <v>0</v>
      </c>
      <c r="AC13" s="138">
        <f>($AB13/$D13)</f>
        <v>0</v>
      </c>
      <c r="AD13" s="242">
        <f>($AB13/$E13)*1000</f>
        <v>0</v>
      </c>
      <c r="AE13" s="138">
        <v>0</v>
      </c>
      <c r="AF13" s="138">
        <f>($AE13/$D13)</f>
        <v>0</v>
      </c>
      <c r="AG13" s="242">
        <f>($AE13/$E13)*1000</f>
        <v>0</v>
      </c>
      <c r="AH13" s="138">
        <v>0</v>
      </c>
      <c r="AI13" s="138">
        <f>($AH13/$D13)</f>
        <v>0</v>
      </c>
      <c r="AJ13" s="242">
        <f>($AH13/$E13)*1000</f>
        <v>0</v>
      </c>
      <c r="AK13" s="138">
        <v>0</v>
      </c>
      <c r="AL13" s="138">
        <f>($AK13/$D13)</f>
        <v>0</v>
      </c>
      <c r="AM13" s="364">
        <f>($AK13/$E13)*1000</f>
        <v>0</v>
      </c>
      <c r="AN13" s="138">
        <v>0</v>
      </c>
      <c r="AO13" s="365">
        <f>($AN13/$D13)</f>
        <v>0</v>
      </c>
      <c r="AP13" s="361">
        <f>($AN13/$E13)*1000</f>
        <v>0</v>
      </c>
      <c r="AQ13" s="362">
        <v>4.4772097349999997</v>
      </c>
      <c r="AR13" s="138">
        <f>($AQ13/$D13)</f>
        <v>16.800133862689243</v>
      </c>
      <c r="AS13" s="364">
        <f>($AQ13/$E13)*1000</f>
        <v>222.69232199592977</v>
      </c>
      <c r="AT13" s="138">
        <v>7.3116709999999996E-3</v>
      </c>
      <c r="AU13" s="138">
        <f>($AT13/$D13)</f>
        <v>2.7436072650267061E-2</v>
      </c>
      <c r="AV13" s="242">
        <f>($AT13/$E13)*1000</f>
        <v>0.36367583585188062</v>
      </c>
      <c r="AW13" s="138">
        <v>2.0360143430000002</v>
      </c>
      <c r="AX13" s="138">
        <f>($AW13/$D13)</f>
        <v>7.6398729417028974</v>
      </c>
      <c r="AY13" s="242">
        <f>($AW13/$E13)*1000</f>
        <v>101.26949338898628</v>
      </c>
      <c r="AZ13" s="138">
        <v>0.115720291</v>
      </c>
      <c r="BA13" s="138">
        <f>($AZ13/$D13)</f>
        <v>0.43422499603524911</v>
      </c>
      <c r="BB13" s="242">
        <f>($AZ13/$E13)*1000</f>
        <v>5.7558215563101598</v>
      </c>
      <c r="BC13" s="138">
        <v>94.001481279999993</v>
      </c>
      <c r="BD13" s="138">
        <f>($BC13/$D13)</f>
        <v>352.72805212800182</v>
      </c>
      <c r="BE13" s="242">
        <f>($BC13/$E13)*1000</f>
        <v>4675.5478023859268</v>
      </c>
      <c r="BF13" s="138">
        <v>5.7084999270000001</v>
      </c>
      <c r="BG13" s="138">
        <f>($BF13/$D13)</f>
        <v>21.420386491845193</v>
      </c>
      <c r="BH13" s="242">
        <f>($BF13/$E13)*1000</f>
        <v>283.9355712821494</v>
      </c>
      <c r="BI13" s="138">
        <v>2.0809558999999998E-2</v>
      </c>
      <c r="BJ13" s="138">
        <f>($BI13/$D13)</f>
        <v>7.8085101551207486E-2</v>
      </c>
      <c r="BK13" s="242">
        <f>($BI13/$E13)*1000</f>
        <v>1.0350484537712412</v>
      </c>
      <c r="BL13" s="138">
        <v>0</v>
      </c>
      <c r="BM13" s="138">
        <f>($BL13/$D13)</f>
        <v>0</v>
      </c>
      <c r="BN13" s="242">
        <f>($BL13/$E13)*1000</f>
        <v>0</v>
      </c>
      <c r="BO13" s="138">
        <v>19.8238032</v>
      </c>
      <c r="BP13" s="138">
        <f>($BO13/$D13)</f>
        <v>74.386184061043863</v>
      </c>
      <c r="BQ13" s="242">
        <f>($BO13/$E13)*1000</f>
        <v>986.01786083142781</v>
      </c>
      <c r="BR13" s="138">
        <v>13.291679240000001</v>
      </c>
      <c r="BS13" s="138">
        <f>($BR13/$D13)</f>
        <v>49.875257963971094</v>
      </c>
      <c r="BT13" s="363">
        <f>($BR13/$E13)*1000</f>
        <v>661.11598258210597</v>
      </c>
    </row>
    <row r="14" spans="2:72" x14ac:dyDescent="0.35">
      <c r="B14" s="237">
        <v>6</v>
      </c>
      <c r="C14" s="239" t="s">
        <v>52</v>
      </c>
      <c r="D14" s="360">
        <v>0.13324372500000001</v>
      </c>
      <c r="E14" s="138">
        <v>35.812749680000003</v>
      </c>
      <c r="F14" s="361">
        <f>$E14/$D14</f>
        <v>268.77625704324913</v>
      </c>
      <c r="G14" s="362">
        <v>5.027317411111111E-2</v>
      </c>
      <c r="H14" s="138">
        <f>$G14/$D14</f>
        <v>0.37730237661181498</v>
      </c>
      <c r="I14" s="242">
        <f>($G14/$E14)*1000</f>
        <v>1.4037786698960644</v>
      </c>
      <c r="J14" s="138">
        <v>8.0980930000000007E-3</v>
      </c>
      <c r="K14" s="138">
        <f>($J14/$D14)</f>
        <v>6.077654313552102E-2</v>
      </c>
      <c r="L14" s="242">
        <f>($J14/$E14)*1000</f>
        <v>0.22612318440665458</v>
      </c>
      <c r="M14" s="138">
        <v>9.1074491549999994</v>
      </c>
      <c r="N14" s="138">
        <f>($M14/$D14)</f>
        <v>68.351805347681463</v>
      </c>
      <c r="O14" s="242">
        <f>($M14/$E14)*1000</f>
        <v>254.30745297075435</v>
      </c>
      <c r="P14" s="138">
        <v>3.9702879000000003E-2</v>
      </c>
      <c r="Q14" s="138">
        <f>($P14/$D14)</f>
        <v>0.29797184820523442</v>
      </c>
      <c r="R14" s="363">
        <f>($P14/$E14)*1000</f>
        <v>1.1086241451650523</v>
      </c>
      <c r="S14" s="362">
        <v>4.7068099999999997E-4</v>
      </c>
      <c r="T14" s="138">
        <f>($S14/$D14)</f>
        <v>3.5324815483806084E-3</v>
      </c>
      <c r="U14" s="242">
        <f>($S14/$E14)*1000</f>
        <v>1.3142833326279234E-2</v>
      </c>
      <c r="V14" s="138">
        <v>2.0536885000000001E-2</v>
      </c>
      <c r="W14" s="138">
        <f>($V14/$D14)</f>
        <v>0.15413022264275486</v>
      </c>
      <c r="X14" s="242">
        <f>($V14/$E14)*1000</f>
        <v>0.5734517785845703</v>
      </c>
      <c r="Y14" s="138">
        <v>0</v>
      </c>
      <c r="Z14" s="138">
        <f>($Y14/$D14)</f>
        <v>0</v>
      </c>
      <c r="AA14" s="242">
        <f>($Y14/$E14)*1000</f>
        <v>0</v>
      </c>
      <c r="AB14" s="138">
        <v>0</v>
      </c>
      <c r="AC14" s="138">
        <f>($AB14/$D14)</f>
        <v>0</v>
      </c>
      <c r="AD14" s="242">
        <f>($AB14/$E14)*1000</f>
        <v>0</v>
      </c>
      <c r="AE14" s="138">
        <v>0</v>
      </c>
      <c r="AF14" s="138">
        <f>($AE14/$D14)</f>
        <v>0</v>
      </c>
      <c r="AG14" s="242">
        <f>($AE14/$E14)*1000</f>
        <v>0</v>
      </c>
      <c r="AH14" s="138">
        <v>0</v>
      </c>
      <c r="AI14" s="138">
        <f>($AH14/$D14)</f>
        <v>0</v>
      </c>
      <c r="AJ14" s="242">
        <f>($AH14/$E14)*1000</f>
        <v>0</v>
      </c>
      <c r="AK14" s="138">
        <v>0</v>
      </c>
      <c r="AL14" s="138">
        <f>($AK14/$D14)</f>
        <v>0</v>
      </c>
      <c r="AM14" s="364">
        <f>($AK14/$E14)*1000</f>
        <v>0</v>
      </c>
      <c r="AN14" s="138">
        <v>7.8758495499999999</v>
      </c>
      <c r="AO14" s="365">
        <f>($AN14/$D14)</f>
        <v>59.108596295998176</v>
      </c>
      <c r="AP14" s="361">
        <f>($AN14/$E14)*1000</f>
        <v>219.91747688668397</v>
      </c>
      <c r="AQ14" s="362">
        <v>5.5196246379999998</v>
      </c>
      <c r="AR14" s="138">
        <f>($AQ14/$D14)</f>
        <v>41.425024990857914</v>
      </c>
      <c r="AS14" s="364">
        <f>($AQ14/$E14)*1000</f>
        <v>154.12456980600098</v>
      </c>
      <c r="AT14" s="138">
        <v>4.7652112000000003E-2</v>
      </c>
      <c r="AU14" s="138">
        <f>($AT14/$D14)</f>
        <v>0.35763119051197345</v>
      </c>
      <c r="AV14" s="242">
        <f>($AT14/$E14)*1000</f>
        <v>1.3305907093364522</v>
      </c>
      <c r="AW14" s="138">
        <v>0.63374951199999996</v>
      </c>
      <c r="AX14" s="138">
        <f>($AW14/$D14)</f>
        <v>4.7563178828871671</v>
      </c>
      <c r="AY14" s="242">
        <f>($AW14/$E14)*1000</f>
        <v>17.69619807646113</v>
      </c>
      <c r="AZ14" s="138">
        <v>8.5637181000000007E-2</v>
      </c>
      <c r="BA14" s="138">
        <f>($AZ14/$D14)</f>
        <v>0.64271079932657238</v>
      </c>
      <c r="BB14" s="242">
        <f>($AZ14/$E14)*1000</f>
        <v>2.3912484175384328</v>
      </c>
      <c r="BC14" s="138">
        <v>36.172552420000002</v>
      </c>
      <c r="BD14" s="138">
        <f>($BC14/$D14)</f>
        <v>271.47659238737134</v>
      </c>
      <c r="BE14" s="242">
        <f>($BC14/$E14)*1000</f>
        <v>1010.0467778435045</v>
      </c>
      <c r="BF14" s="138">
        <v>5.8585318260000001</v>
      </c>
      <c r="BG14" s="138">
        <f>($BF14/$D14)</f>
        <v>43.968538300771762</v>
      </c>
      <c r="BH14" s="242">
        <f>($BF14/$E14)*1000</f>
        <v>163.58788080636424</v>
      </c>
      <c r="BI14" s="138">
        <v>1.0410365E-2</v>
      </c>
      <c r="BJ14" s="138">
        <f>($BI14/$D14)</f>
        <v>7.8130245908390794E-2</v>
      </c>
      <c r="BK14" s="242">
        <f>($BI14/$E14)*1000</f>
        <v>0.29068879360061461</v>
      </c>
      <c r="BL14" s="138">
        <v>2.3815429999999999E-3</v>
      </c>
      <c r="BM14" s="138">
        <f>($BL14/$D14)</f>
        <v>1.7873584665994587E-2</v>
      </c>
      <c r="BN14" s="242">
        <f>($BL14/$E14)*1000</f>
        <v>6.6499864469496364E-2</v>
      </c>
      <c r="BO14" s="138">
        <v>11.24479137</v>
      </c>
      <c r="BP14" s="138">
        <f>($BO14/$D14)</f>
        <v>84.392652411961606</v>
      </c>
      <c r="BQ14" s="242">
        <f>($BO14/$E14)*1000</f>
        <v>313.98849489291706</v>
      </c>
      <c r="BR14" s="138">
        <v>13.769143140000001</v>
      </c>
      <c r="BS14" s="138">
        <f>($BR14/$D14)</f>
        <v>103.33802316019009</v>
      </c>
      <c r="BT14" s="363">
        <f>($BR14/$E14)*1000</f>
        <v>384.47601100257094</v>
      </c>
    </row>
    <row r="15" spans="2:72" x14ac:dyDescent="0.35">
      <c r="B15" s="237">
        <v>7</v>
      </c>
      <c r="C15" s="239" t="s">
        <v>55</v>
      </c>
      <c r="D15" s="360">
        <v>0.44836069699999997</v>
      </c>
      <c r="E15" s="138">
        <v>65.028251929999996</v>
      </c>
      <c r="F15" s="361">
        <f>$E15/$D15</f>
        <v>145.03557596619581</v>
      </c>
      <c r="G15" s="362">
        <v>1.4354967144444446</v>
      </c>
      <c r="H15" s="138">
        <f>$G15/$D15</f>
        <v>3.2016559971679337</v>
      </c>
      <c r="I15" s="242">
        <f>($G15/$E15)*1000</f>
        <v>22.0749700605468</v>
      </c>
      <c r="J15" s="138">
        <v>0.48273352144444448</v>
      </c>
      <c r="K15" s="138">
        <f>($J15/$D15)</f>
        <v>1.0766633308281357</v>
      </c>
      <c r="L15" s="242">
        <f>($J15/$E15)*1000</f>
        <v>7.4234429977309793</v>
      </c>
      <c r="M15" s="138">
        <v>10.935963232500001</v>
      </c>
      <c r="N15" s="138">
        <f>($M15/$D15)</f>
        <v>24.390994361622205</v>
      </c>
      <c r="O15" s="242">
        <f>($M15/$E15)*1000</f>
        <v>168.1724928462182</v>
      </c>
      <c r="P15" s="138">
        <v>2.5131207849999999</v>
      </c>
      <c r="Q15" s="138">
        <f>($P15/$D15)</f>
        <v>5.6051317651511283</v>
      </c>
      <c r="R15" s="363">
        <f>($P15/$E15)*1000</f>
        <v>38.646599138252434</v>
      </c>
      <c r="S15" s="362">
        <v>2.6748287999999999E-2</v>
      </c>
      <c r="T15" s="138">
        <f>($S15/$D15)</f>
        <v>5.9657967745553757E-2</v>
      </c>
      <c r="U15" s="242">
        <f>($S15/$E15)*1000</f>
        <v>0.41133333906612363</v>
      </c>
      <c r="V15" s="138">
        <v>0.16661438200000001</v>
      </c>
      <c r="W15" s="138">
        <f>($V15/$D15)</f>
        <v>0.37160791102972174</v>
      </c>
      <c r="X15" s="242">
        <f>($V15/$E15)*1000</f>
        <v>2.5621845437172897</v>
      </c>
      <c r="Y15" s="138">
        <v>2.3486670000000001E-2</v>
      </c>
      <c r="Z15" s="138">
        <f>($Y15/$D15)</f>
        <v>5.2383427354695193E-2</v>
      </c>
      <c r="AA15" s="242">
        <f>($Y15/$E15)*1000</f>
        <v>0.36117640107075849</v>
      </c>
      <c r="AB15" s="138">
        <v>5.2133799999999999E-4</v>
      </c>
      <c r="AC15" s="138">
        <f>($AB15/$D15)</f>
        <v>1.1627647193170458E-3</v>
      </c>
      <c r="AD15" s="242">
        <f>($AB15/$E15)*1000</f>
        <v>8.0171000223287093E-3</v>
      </c>
      <c r="AE15" s="138">
        <v>0.124527473</v>
      </c>
      <c r="AF15" s="138">
        <f>($AE15/$D15)</f>
        <v>0.27773949374514423</v>
      </c>
      <c r="AG15" s="242">
        <f>($AE15/$E15)*1000</f>
        <v>1.9149749424918918</v>
      </c>
      <c r="AH15" s="138">
        <v>5.3984635000000003E-2</v>
      </c>
      <c r="AI15" s="138">
        <f>($AH15/$D15)</f>
        <v>0.12040447648782204</v>
      </c>
      <c r="AJ15" s="242">
        <f>($AH15/$E15)*1000</f>
        <v>0.83017201597410373</v>
      </c>
      <c r="AK15" s="138">
        <v>0.61350219900000003</v>
      </c>
      <c r="AL15" s="138">
        <f>($AK15/$D15)</f>
        <v>1.3683228773283846</v>
      </c>
      <c r="AM15" s="364">
        <f>($AK15/$E15)*1000</f>
        <v>9.4343947559963262</v>
      </c>
      <c r="AN15" s="138">
        <v>2.6690038975000001</v>
      </c>
      <c r="AO15" s="365">
        <f>($AN15/$D15)</f>
        <v>5.9528052199008874</v>
      </c>
      <c r="AP15" s="361">
        <f>($AN15/$E15)*1000</f>
        <v>41.043758955308583</v>
      </c>
      <c r="AQ15" s="362">
        <v>106.9848114</v>
      </c>
      <c r="AR15" s="138">
        <f>($AQ15/$D15)</f>
        <v>238.61326854882645</v>
      </c>
      <c r="AS15" s="364">
        <f>($AQ15/$E15)*1000</f>
        <v>1645.2050950895061</v>
      </c>
      <c r="AT15" s="138">
        <v>0.71361929800000001</v>
      </c>
      <c r="AU15" s="138">
        <f>($AT15/$D15)</f>
        <v>1.591618763140606</v>
      </c>
      <c r="AV15" s="242">
        <f>($AT15/$E15)*1000</f>
        <v>10.973988640632371</v>
      </c>
      <c r="AW15" s="138">
        <v>27.499652879999999</v>
      </c>
      <c r="AX15" s="138">
        <f>($AW15/$D15)</f>
        <v>61.333772259703665</v>
      </c>
      <c r="AY15" s="242">
        <f>($AW15/$E15)*1000</f>
        <v>422.88777667900627</v>
      </c>
      <c r="AZ15" s="138">
        <v>0.62219868300000003</v>
      </c>
      <c r="BA15" s="138">
        <f>($AZ15/$D15)</f>
        <v>1.3877190555799321</v>
      </c>
      <c r="BB15" s="242">
        <f>($AZ15/$E15)*1000</f>
        <v>9.5681286907384351</v>
      </c>
      <c r="BC15" s="138">
        <v>151.60362480000001</v>
      </c>
      <c r="BD15" s="138">
        <f>($BC15/$D15)</f>
        <v>338.12871158062279</v>
      </c>
      <c r="BE15" s="242">
        <f>($BC15/$E15)*1000</f>
        <v>2331.3501485968673</v>
      </c>
      <c r="BF15" s="138">
        <v>60.27903397</v>
      </c>
      <c r="BG15" s="138">
        <f>($BF15/$D15)</f>
        <v>134.44317125325551</v>
      </c>
      <c r="BH15" s="242">
        <f>($BF15/$E15)*1000</f>
        <v>926.96685180600718</v>
      </c>
      <c r="BI15" s="138">
        <v>0.107126638</v>
      </c>
      <c r="BJ15" s="138">
        <f>($BI15/$D15)</f>
        <v>0.23892959110106834</v>
      </c>
      <c r="BK15" s="242">
        <f>($BI15/$E15)*1000</f>
        <v>1.6473860948210175</v>
      </c>
      <c r="BL15" s="138">
        <v>0.395668146</v>
      </c>
      <c r="BM15" s="138">
        <f>($BL15/$D15)</f>
        <v>0.88247731937128293</v>
      </c>
      <c r="BN15" s="242">
        <f>($BL15/$E15)*1000</f>
        <v>6.0845576231376954</v>
      </c>
      <c r="BO15" s="138">
        <v>9.0254907109999998</v>
      </c>
      <c r="BP15" s="138">
        <f>($BO15/$D15)</f>
        <v>20.129977429756739</v>
      </c>
      <c r="BQ15" s="242">
        <f>($BO15/$E15)*1000</f>
        <v>138.79337738796266</v>
      </c>
      <c r="BR15" s="138">
        <v>44.380889869999997</v>
      </c>
      <c r="BS15" s="138">
        <f>($BR15/$D15)</f>
        <v>98.984790966189436</v>
      </c>
      <c r="BT15" s="363">
        <f>($BR15/$E15)*1000</f>
        <v>682.48628177448222</v>
      </c>
    </row>
    <row r="16" spans="2:72" x14ac:dyDescent="0.35">
      <c r="B16" s="237">
        <v>8</v>
      </c>
      <c r="C16" s="239" t="s">
        <v>58</v>
      </c>
      <c r="D16" s="360">
        <v>0.169080484</v>
      </c>
      <c r="E16" s="138">
        <v>39.564153840000003</v>
      </c>
      <c r="F16" s="361">
        <f>$E16/$D16</f>
        <v>233.99598170064382</v>
      </c>
      <c r="G16" s="362">
        <v>0.11282401855555554</v>
      </c>
      <c r="H16" s="138">
        <f>$G16/$D16</f>
        <v>0.66727995973536214</v>
      </c>
      <c r="I16" s="242">
        <f>($G16/$E16)*1000</f>
        <v>2.851672729102793</v>
      </c>
      <c r="J16" s="138">
        <v>1.7692944444444445E-4</v>
      </c>
      <c r="K16" s="138">
        <f>($J16/$D16)</f>
        <v>1.0464214453304052E-3</v>
      </c>
      <c r="L16" s="242">
        <f>($J16/$E16)*1000</f>
        <v>4.4719633120414645E-3</v>
      </c>
      <c r="M16" s="138">
        <v>9.9136252324999994</v>
      </c>
      <c r="N16" s="138">
        <f>($M16/$D16)</f>
        <v>58.632581348063795</v>
      </c>
      <c r="O16" s="242">
        <f>($M16/$E16)*1000</f>
        <v>250.57088981585051</v>
      </c>
      <c r="P16" s="138">
        <v>2.8963144749999999E-2</v>
      </c>
      <c r="Q16" s="138">
        <f>($P16/$D16)</f>
        <v>0.171297976353084</v>
      </c>
      <c r="R16" s="363">
        <f>($P16/$E16)*1000</f>
        <v>0.73205520500018351</v>
      </c>
      <c r="S16" s="362">
        <v>0</v>
      </c>
      <c r="T16" s="138">
        <f>($S16/$D16)</f>
        <v>0</v>
      </c>
      <c r="U16" s="242">
        <f>($S16/$E16)*1000</f>
        <v>0</v>
      </c>
      <c r="V16" s="138">
        <v>1.17024E-5</v>
      </c>
      <c r="W16" s="138">
        <f>($V16/$D16)</f>
        <v>6.9212009116321197E-5</v>
      </c>
      <c r="X16" s="242">
        <f>($V16/$E16)*1000</f>
        <v>2.9578289598522088E-4</v>
      </c>
      <c r="Y16" s="138">
        <v>0</v>
      </c>
      <c r="Z16" s="138">
        <f>($Y16/$D16)</f>
        <v>0</v>
      </c>
      <c r="AA16" s="242">
        <f>($Y16/$E16)*1000</f>
        <v>0</v>
      </c>
      <c r="AB16" s="138">
        <v>0</v>
      </c>
      <c r="AC16" s="138">
        <f>($AB16/$D16)</f>
        <v>0</v>
      </c>
      <c r="AD16" s="242">
        <f>($AB16/$E16)*1000</f>
        <v>0</v>
      </c>
      <c r="AE16" s="138">
        <v>0</v>
      </c>
      <c r="AF16" s="138">
        <f>($AE16/$D16)</f>
        <v>0</v>
      </c>
      <c r="AG16" s="242">
        <f>($AE16/$E16)*1000</f>
        <v>0</v>
      </c>
      <c r="AH16" s="138">
        <v>0</v>
      </c>
      <c r="AI16" s="138">
        <f>($AH16/$D16)</f>
        <v>0</v>
      </c>
      <c r="AJ16" s="242">
        <f>($AH16/$E16)*1000</f>
        <v>0</v>
      </c>
      <c r="AK16" s="138">
        <v>0</v>
      </c>
      <c r="AL16" s="138">
        <f>($AK16/$D16)</f>
        <v>0</v>
      </c>
      <c r="AM16" s="364">
        <f>($AK16/$E16)*1000</f>
        <v>0</v>
      </c>
      <c r="AN16" s="138">
        <v>9.3784250849999999</v>
      </c>
      <c r="AO16" s="365">
        <f>($AN16/$D16)</f>
        <v>55.467224029238054</v>
      </c>
      <c r="AP16" s="361">
        <f>($AN16/$E16)*1000</f>
        <v>237.04348949119341</v>
      </c>
      <c r="AQ16" s="362">
        <v>1.721119431</v>
      </c>
      <c r="AR16" s="138">
        <f>($AQ16/$D16)</f>
        <v>10.179290893205629</v>
      </c>
      <c r="AS16" s="364">
        <f>($AQ16/$E16)*1000</f>
        <v>43.501990159079817</v>
      </c>
      <c r="AT16" s="138">
        <v>0</v>
      </c>
      <c r="AU16" s="138">
        <f>($AT16/$D16)</f>
        <v>0</v>
      </c>
      <c r="AV16" s="242">
        <f>($AT16/$E16)*1000</f>
        <v>0</v>
      </c>
      <c r="AW16" s="138">
        <v>0.17938806500000001</v>
      </c>
      <c r="AX16" s="138">
        <f>($AW16/$D16)</f>
        <v>1.0609625709375188</v>
      </c>
      <c r="AY16" s="242">
        <f>($AW16/$E16)*1000</f>
        <v>4.5341059415918998</v>
      </c>
      <c r="AZ16" s="138">
        <v>5.4009281999999999E-2</v>
      </c>
      <c r="BA16" s="138">
        <f>($AZ16/$D16)</f>
        <v>0.31942942628434867</v>
      </c>
      <c r="BB16" s="242">
        <f>($AZ16/$E16)*1000</f>
        <v>1.3651064602169183</v>
      </c>
      <c r="BC16" s="138">
        <v>5.0594328669999999</v>
      </c>
      <c r="BD16" s="138">
        <f>($BC16/$D16)</f>
        <v>29.923222049683748</v>
      </c>
      <c r="BE16" s="242">
        <f>($BC16/$E16)*1000</f>
        <v>127.87921327625692</v>
      </c>
      <c r="BF16" s="138">
        <v>0.41002986200000002</v>
      </c>
      <c r="BG16" s="138">
        <f>($BF16/$D16)</f>
        <v>2.4250572999306059</v>
      </c>
      <c r="BH16" s="242">
        <f>($BF16/$E16)*1000</f>
        <v>10.363670701973996</v>
      </c>
      <c r="BI16" s="138">
        <v>8.6738365999999997E-2</v>
      </c>
      <c r="BJ16" s="138">
        <f>($BI16/$D16)</f>
        <v>0.51300045959177643</v>
      </c>
      <c r="BK16" s="242">
        <f>($BI16/$E16)*1000</f>
        <v>2.1923473038441705</v>
      </c>
      <c r="BL16" s="138">
        <v>0.168637921</v>
      </c>
      <c r="BM16" s="138">
        <f>($BL16/$D16)</f>
        <v>0.99738253055864212</v>
      </c>
      <c r="BN16" s="242">
        <f>($BL16/$E16)*1000</f>
        <v>4.2623917013866297</v>
      </c>
      <c r="BO16" s="138">
        <v>0.23615236100000001</v>
      </c>
      <c r="BP16" s="138">
        <f>($BO16/$D16)</f>
        <v>1.3966860953627267</v>
      </c>
      <c r="BQ16" s="242">
        <f>($BO16/$E16)*1000</f>
        <v>5.9688464956186209</v>
      </c>
      <c r="BR16" s="138">
        <v>15.154126209999999</v>
      </c>
      <c r="BS16" s="138">
        <f>($BR16/$D16)</f>
        <v>89.626702334256379</v>
      </c>
      <c r="BT16" s="363">
        <f>($BR16/$E16)*1000</f>
        <v>383.0266728636297</v>
      </c>
    </row>
    <row r="17" spans="2:72" x14ac:dyDescent="0.35">
      <c r="B17" s="237">
        <v>9</v>
      </c>
      <c r="C17" s="239" t="s">
        <v>61</v>
      </c>
      <c r="D17" s="360">
        <v>0.89829294500000001</v>
      </c>
      <c r="E17" s="138">
        <v>301.38697300000001</v>
      </c>
      <c r="F17" s="361">
        <f>$E17/$D17</f>
        <v>335.51078707403184</v>
      </c>
      <c r="G17" s="362">
        <v>11.539712077777777</v>
      </c>
      <c r="H17" s="138">
        <f>$G17/$D17</f>
        <v>12.846268182344209</v>
      </c>
      <c r="I17" s="242">
        <f>($G17/$E17)*1000</f>
        <v>38.288688999765682</v>
      </c>
      <c r="J17" s="138">
        <v>3.2790094288888891</v>
      </c>
      <c r="K17" s="138">
        <f>($J17/$D17)</f>
        <v>3.6502673733999873</v>
      </c>
      <c r="L17" s="242">
        <f>($J17/$E17)*1000</f>
        <v>10.879731782199123</v>
      </c>
      <c r="M17" s="138">
        <v>42.568741674999998</v>
      </c>
      <c r="N17" s="138">
        <f>($M17/$D17)</f>
        <v>47.388484916799605</v>
      </c>
      <c r="O17" s="242">
        <f>($M17/$E17)*1000</f>
        <v>141.24280572339134</v>
      </c>
      <c r="P17" s="138">
        <v>6.8974682850000004</v>
      </c>
      <c r="Q17" s="138">
        <f>($P17/$D17)</f>
        <v>7.6784175177953786</v>
      </c>
      <c r="R17" s="363">
        <f>($P17/$E17)*1000</f>
        <v>22.885754537904329</v>
      </c>
      <c r="S17" s="362">
        <v>3.008307E-3</v>
      </c>
      <c r="T17" s="138">
        <f>($S17/$D17)</f>
        <v>3.3489153140348889E-3</v>
      </c>
      <c r="U17" s="242">
        <f>($S17/$E17)*1000</f>
        <v>9.9815428983388733E-3</v>
      </c>
      <c r="V17" s="138">
        <v>1.0871311E-2</v>
      </c>
      <c r="W17" s="138">
        <f>($V17/$D17)</f>
        <v>1.2102189002497397E-2</v>
      </c>
      <c r="X17" s="242">
        <f>($V17/$E17)*1000</f>
        <v>3.6070938606891943E-2</v>
      </c>
      <c r="Y17" s="138">
        <v>2.5326471709999998</v>
      </c>
      <c r="Z17" s="138">
        <f>($Y17/$D17)</f>
        <v>2.8194000466072899</v>
      </c>
      <c r="AA17" s="242">
        <f>($Y17/$E17)*1000</f>
        <v>8.4033067049649812</v>
      </c>
      <c r="AB17" s="138">
        <v>0.14396378000000001</v>
      </c>
      <c r="AC17" s="138">
        <f>($AB17/$D17)</f>
        <v>0.16026373222824322</v>
      </c>
      <c r="AD17" s="242">
        <f>($AB17/$E17)*1000</f>
        <v>0.4776708779645894</v>
      </c>
      <c r="AE17" s="138">
        <v>0.13685122199999999</v>
      </c>
      <c r="AF17" s="138">
        <f>($AE17/$D17)</f>
        <v>0.15234587198054861</v>
      </c>
      <c r="AG17" s="242">
        <f>($AE17/$E17)*1000</f>
        <v>0.45407145716281505</v>
      </c>
      <c r="AH17" s="138">
        <v>0.230272112</v>
      </c>
      <c r="AI17" s="138">
        <f>($AH17/$D17)</f>
        <v>0.25634411723004236</v>
      </c>
      <c r="AJ17" s="242">
        <f>($AH17/$E17)*1000</f>
        <v>0.7640413575539643</v>
      </c>
      <c r="AK17" s="138">
        <v>6.3325038630000003</v>
      </c>
      <c r="AL17" s="138">
        <f>($AK17/$D17)</f>
        <v>7.0494863599312811</v>
      </c>
      <c r="AM17" s="364">
        <f>($AK17/$E17)*1000</f>
        <v>21.011206290591733</v>
      </c>
      <c r="AN17" s="138">
        <v>7.3893885575000002</v>
      </c>
      <c r="AO17" s="365">
        <f>($AN17/$D17)</f>
        <v>8.2260342782721061</v>
      </c>
      <c r="AP17" s="361">
        <f>($AN17/$E17)*1000</f>
        <v>24.517942776179645</v>
      </c>
      <c r="AQ17" s="362">
        <v>159.45028239999999</v>
      </c>
      <c r="AR17" s="138">
        <f>($AQ17/$D17)</f>
        <v>177.50365656049985</v>
      </c>
      <c r="AS17" s="364">
        <f>($AQ17/$E17)*1000</f>
        <v>529.05499137150821</v>
      </c>
      <c r="AT17" s="138">
        <v>2.1545403479999998</v>
      </c>
      <c r="AU17" s="138">
        <f>($AT17/$D17)</f>
        <v>2.3984829893103523</v>
      </c>
      <c r="AV17" s="242">
        <f>($AT17/$E17)*1000</f>
        <v>7.1487507457729436</v>
      </c>
      <c r="AW17" s="138">
        <v>84.132330339999996</v>
      </c>
      <c r="AX17" s="138">
        <f>($AW17/$D17)</f>
        <v>93.658010795130977</v>
      </c>
      <c r="AY17" s="242">
        <f>($AW17/$E17)*1000</f>
        <v>279.15052035112342</v>
      </c>
      <c r="AZ17" s="138">
        <v>2.8771690369999998</v>
      </c>
      <c r="BA17" s="138">
        <f>($AZ17/$D17)</f>
        <v>3.2029295710432191</v>
      </c>
      <c r="BB17" s="242">
        <f>($AZ17/$E17)*1000</f>
        <v>9.5464279970720547</v>
      </c>
      <c r="BC17" s="138">
        <v>152.12432340000001</v>
      </c>
      <c r="BD17" s="138">
        <f>($BC17/$D17)</f>
        <v>169.3482334985944</v>
      </c>
      <c r="BE17" s="242">
        <f>($BC17/$E17)*1000</f>
        <v>504.74750745115983</v>
      </c>
      <c r="BF17" s="138">
        <v>108.26586880000001</v>
      </c>
      <c r="BG17" s="138">
        <f>($BF17/$D17)</f>
        <v>120.52401101736362</v>
      </c>
      <c r="BH17" s="242">
        <f>($BF17/$E17)*1000</f>
        <v>359.22544270020592</v>
      </c>
      <c r="BI17" s="138">
        <v>0.241322487</v>
      </c>
      <c r="BJ17" s="138">
        <f>($BI17/$D17)</f>
        <v>0.26864564432263244</v>
      </c>
      <c r="BK17" s="242">
        <f>($BI17/$E17)*1000</f>
        <v>0.80070642933860314</v>
      </c>
      <c r="BL17" s="138">
        <v>0.52465851600000002</v>
      </c>
      <c r="BM17" s="138">
        <f>($BL17/$D17)</f>
        <v>0.58406171274115926</v>
      </c>
      <c r="BN17" s="242">
        <f>($BL17/$E17)*1000</f>
        <v>1.7408135155197966</v>
      </c>
      <c r="BO17" s="138">
        <v>0.12692762399999999</v>
      </c>
      <c r="BP17" s="138">
        <f>($BO17/$D17)</f>
        <v>0.14129869849974164</v>
      </c>
      <c r="BQ17" s="242">
        <f>($BO17/$E17)*1000</f>
        <v>0.42114502407507837</v>
      </c>
      <c r="BR17" s="138">
        <v>585.02375949999998</v>
      </c>
      <c r="BS17" s="138">
        <f>($BR17/$D17)</f>
        <v>651.26166553606845</v>
      </c>
      <c r="BT17" s="363">
        <f>($BR17/$E17)*1000</f>
        <v>1941.1049975939072</v>
      </c>
    </row>
    <row r="18" spans="2:72" x14ac:dyDescent="0.35">
      <c r="B18" s="237">
        <v>10</v>
      </c>
      <c r="C18" s="239" t="s">
        <v>63</v>
      </c>
      <c r="D18" s="360">
        <v>1.2934711720000001</v>
      </c>
      <c r="E18" s="138">
        <v>171.2865923</v>
      </c>
      <c r="F18" s="361">
        <f>$E18/$D18</f>
        <v>132.42397357426378</v>
      </c>
      <c r="G18" s="362">
        <v>13.589727888888889</v>
      </c>
      <c r="H18" s="138">
        <f>$G18/$D18</f>
        <v>10.506401830259646</v>
      </c>
      <c r="I18" s="242">
        <f>($G18/$E18)*1000</f>
        <v>79.339122265256776</v>
      </c>
      <c r="J18" s="138">
        <v>3.3354186811111113</v>
      </c>
      <c r="K18" s="138">
        <f>($J18/$D18)</f>
        <v>2.5786571462229011</v>
      </c>
      <c r="L18" s="242">
        <f>($J18/$E18)*1000</f>
        <v>19.472736519092461</v>
      </c>
      <c r="M18" s="138">
        <v>9.9833377849999998</v>
      </c>
      <c r="N18" s="138">
        <f>($M18/$D18)</f>
        <v>7.7182530241965059</v>
      </c>
      <c r="O18" s="242">
        <f>($M18/$E18)*1000</f>
        <v>58.284408901746836</v>
      </c>
      <c r="P18" s="138">
        <v>2.8793529324999998</v>
      </c>
      <c r="Q18" s="138">
        <f>($P18/$D18)</f>
        <v>2.2260665678755456</v>
      </c>
      <c r="R18" s="363">
        <f>($P18/$E18)*1000</f>
        <v>16.810147798707767</v>
      </c>
      <c r="S18" s="362">
        <v>0.20446335400000001</v>
      </c>
      <c r="T18" s="138">
        <f>($S18/$D18)</f>
        <v>0.15807337529127399</v>
      </c>
      <c r="U18" s="242">
        <f>($S18/$E18)*1000</f>
        <v>1.193691527483322</v>
      </c>
      <c r="V18" s="138">
        <v>1.8395333E-2</v>
      </c>
      <c r="W18" s="138">
        <f>($V18/$D18)</f>
        <v>1.4221679924691819E-2</v>
      </c>
      <c r="X18" s="242">
        <f>($V18/$E18)*1000</f>
        <v>0.10739505499520642</v>
      </c>
      <c r="Y18" s="138">
        <v>0.112540841</v>
      </c>
      <c r="Z18" s="138">
        <f>($Y18/$D18)</f>
        <v>8.7006841309023003E-2</v>
      </c>
      <c r="AA18" s="242">
        <f>($Y18/$E18)*1000</f>
        <v>0.65703240101181004</v>
      </c>
      <c r="AB18" s="138">
        <v>0</v>
      </c>
      <c r="AC18" s="138">
        <f>($AB18/$D18)</f>
        <v>0</v>
      </c>
      <c r="AD18" s="242">
        <f>($AB18/$E18)*1000</f>
        <v>0</v>
      </c>
      <c r="AE18" s="138">
        <v>0.112976561</v>
      </c>
      <c r="AF18" s="138">
        <f>($AE18/$D18)</f>
        <v>8.7343702314843702E-2</v>
      </c>
      <c r="AG18" s="242">
        <f>($AE18/$E18)*1000</f>
        <v>0.65957620782207604</v>
      </c>
      <c r="AH18" s="138">
        <v>6.2891212000000002E-2</v>
      </c>
      <c r="AI18" s="138">
        <f>($AH18/$D18)</f>
        <v>4.8622043816218888E-2</v>
      </c>
      <c r="AJ18" s="242">
        <f>($AH18/$E18)*1000</f>
        <v>0.36716949736409699</v>
      </c>
      <c r="AK18" s="138">
        <v>9.8640530880000004</v>
      </c>
      <c r="AL18" s="138">
        <f>($AK18/$D18)</f>
        <v>7.6260324169018281</v>
      </c>
      <c r="AM18" s="364">
        <f>($AK18/$E18)*1000</f>
        <v>57.588004732580586</v>
      </c>
      <c r="AN18" s="138">
        <v>3.1973875600000001</v>
      </c>
      <c r="AO18" s="365">
        <f>($AN18/$D18)</f>
        <v>2.4719434257325683</v>
      </c>
      <c r="AP18" s="361">
        <f>($AN18/$E18)*1000</f>
        <v>18.666887565840145</v>
      </c>
      <c r="AQ18" s="362">
        <v>58.563334500000003</v>
      </c>
      <c r="AR18" s="138">
        <f>($AQ18/$D18)</f>
        <v>45.276103378050394</v>
      </c>
      <c r="AS18" s="364">
        <f>($AQ18/$E18)*1000</f>
        <v>341.9026189593942</v>
      </c>
      <c r="AT18" s="138">
        <v>0.80290339399999999</v>
      </c>
      <c r="AU18" s="138">
        <f>($AT18/$D18)</f>
        <v>0.62073543761978789</v>
      </c>
      <c r="AV18" s="242">
        <f>($AT18/$E18)*1000</f>
        <v>4.6874853613396334</v>
      </c>
      <c r="AW18" s="138">
        <v>16.107340390000001</v>
      </c>
      <c r="AX18" s="138">
        <f>($AW18/$D18)</f>
        <v>12.452801994105826</v>
      </c>
      <c r="AY18" s="242">
        <f>($AW18/$E18)*1000</f>
        <v>94.03736844614663</v>
      </c>
      <c r="AZ18" s="138">
        <v>0.56991180699999999</v>
      </c>
      <c r="BA18" s="138">
        <f>($AZ18/$D18)</f>
        <v>0.4406065008150023</v>
      </c>
      <c r="BB18" s="242">
        <f>($AZ18/$E18)*1000</f>
        <v>3.3272412005361613</v>
      </c>
      <c r="BC18" s="138">
        <v>135.0731002</v>
      </c>
      <c r="BD18" s="138">
        <f>($BC18/$D18)</f>
        <v>104.42683464769171</v>
      </c>
      <c r="BE18" s="242">
        <f>($BC18/$E18)*1000</f>
        <v>788.57952853324412</v>
      </c>
      <c r="BF18" s="138">
        <v>43.345850650000003</v>
      </c>
      <c r="BG18" s="138">
        <f>($BF18/$D18)</f>
        <v>33.511261470928247</v>
      </c>
      <c r="BH18" s="242">
        <f>($BF18/$E18)*1000</f>
        <v>253.06038299881573</v>
      </c>
      <c r="BI18" s="138">
        <v>7.4381092999999995E-2</v>
      </c>
      <c r="BJ18" s="138">
        <f>($BI18/$D18)</f>
        <v>5.7505025709223917E-2</v>
      </c>
      <c r="BK18" s="242">
        <f>($BI18/$E18)*1000</f>
        <v>0.43424935951627308</v>
      </c>
      <c r="BL18" s="138">
        <v>0.13471138199999999</v>
      </c>
      <c r="BM18" s="138">
        <f>($BL18/$D18)</f>
        <v>0.10414718543104877</v>
      </c>
      <c r="BN18" s="242">
        <f>($BL18/$E18)*1000</f>
        <v>0.78646775670602209</v>
      </c>
      <c r="BO18" s="138">
        <v>5.0803390459999997</v>
      </c>
      <c r="BP18" s="138">
        <f>($BO18/$D18)</f>
        <v>3.9276786031068958</v>
      </c>
      <c r="BQ18" s="242">
        <f>($BO18/$E18)*1000</f>
        <v>29.659875754326627</v>
      </c>
      <c r="BR18" s="138">
        <v>1236.4657830000001</v>
      </c>
      <c r="BS18" s="138">
        <f>($BR18/$D18)</f>
        <v>955.92836529023168</v>
      </c>
      <c r="BT18" s="363">
        <f>($BR18/$E18)*1000</f>
        <v>7218.6956748744897</v>
      </c>
    </row>
    <row r="19" spans="2:72" x14ac:dyDescent="0.35">
      <c r="B19" s="237">
        <v>11</v>
      </c>
      <c r="C19" s="239" t="s">
        <v>66</v>
      </c>
      <c r="D19" s="360">
        <v>0.58569229</v>
      </c>
      <c r="E19" s="138">
        <v>68.072817670000006</v>
      </c>
      <c r="F19" s="361">
        <f>$E19/$D19</f>
        <v>116.22624854768023</v>
      </c>
      <c r="G19" s="362">
        <v>2.5780256233333336</v>
      </c>
      <c r="H19" s="138">
        <f>$G19/$D19</f>
        <v>4.401672460693197</v>
      </c>
      <c r="I19" s="242">
        <f>($G19/$E19)*1000</f>
        <v>37.871586803281112</v>
      </c>
      <c r="J19" s="138">
        <v>0.76580545199999994</v>
      </c>
      <c r="K19" s="138">
        <f>($J19/$D19)</f>
        <v>1.3075218251549801</v>
      </c>
      <c r="L19" s="242">
        <f>($J19/$E19)*1000</f>
        <v>11.249798057609915</v>
      </c>
      <c r="M19" s="138">
        <v>10.5674408</v>
      </c>
      <c r="N19" s="138">
        <f>($M19/$D19)</f>
        <v>18.042649665065593</v>
      </c>
      <c r="O19" s="242">
        <f>($M19/$E19)*1000</f>
        <v>155.23730560454115</v>
      </c>
      <c r="P19" s="138">
        <v>1.6920262605</v>
      </c>
      <c r="Q19" s="138">
        <f>($P19/$D19)</f>
        <v>2.8889338128388204</v>
      </c>
      <c r="R19" s="363">
        <f>($P19/$E19)*1000</f>
        <v>24.85612199428148</v>
      </c>
      <c r="S19" s="362">
        <v>0.31451007800000003</v>
      </c>
      <c r="T19" s="138">
        <f>($S19/$D19)</f>
        <v>0.53698859173987079</v>
      </c>
      <c r="U19" s="242">
        <f>($S19/$E19)*1000</f>
        <v>4.6202006728245948</v>
      </c>
      <c r="V19" s="138">
        <v>1.5977834999999999E-2</v>
      </c>
      <c r="W19" s="138">
        <f>($V19/$D19)</f>
        <v>2.728025496118448E-2</v>
      </c>
      <c r="X19" s="242">
        <f>($V19/$E19)*1000</f>
        <v>0.23471681571132472</v>
      </c>
      <c r="Y19" s="138">
        <v>7.6928173000000002E-2</v>
      </c>
      <c r="Z19" s="138">
        <f>($Y19/$D19)</f>
        <v>0.13134571568288872</v>
      </c>
      <c r="AA19" s="242">
        <f>($Y19/$E19)*1000</f>
        <v>1.130086510785091</v>
      </c>
      <c r="AB19" s="138">
        <v>0</v>
      </c>
      <c r="AC19" s="138">
        <f>($AB19/$D19)</f>
        <v>0</v>
      </c>
      <c r="AD19" s="242">
        <f>($AB19/$E19)*1000</f>
        <v>0</v>
      </c>
      <c r="AE19" s="138">
        <v>1.2822966E-2</v>
      </c>
      <c r="AF19" s="138">
        <f>($AE19/$D19)</f>
        <v>2.1893690968682548E-2</v>
      </c>
      <c r="AG19" s="242">
        <f>($AE19/$E19)*1000</f>
        <v>0.18837131235205412</v>
      </c>
      <c r="AH19" s="138">
        <v>4.08365E-4</v>
      </c>
      <c r="AI19" s="138">
        <f>($AH19/$D19)</f>
        <v>6.9723472029997182E-4</v>
      </c>
      <c r="AJ19" s="242">
        <f>($AH19/$E19)*1000</f>
        <v>5.998943689677301E-3</v>
      </c>
      <c r="AK19" s="138">
        <v>0.87823849499999995</v>
      </c>
      <c r="AL19" s="138">
        <f>($AK19/$D19)</f>
        <v>1.499487888085397</v>
      </c>
      <c r="AM19" s="364">
        <f>($AK19/$E19)*1000</f>
        <v>12.9014564852814</v>
      </c>
      <c r="AN19" s="138">
        <v>4.6740388074999997</v>
      </c>
      <c r="AO19" s="365">
        <f>($AN19/$D19)</f>
        <v>7.980365948645149</v>
      </c>
      <c r="AP19" s="361">
        <f>($AN19/$E19)*1000</f>
        <v>68.662337882920767</v>
      </c>
      <c r="AQ19" s="362">
        <v>27.775440060000001</v>
      </c>
      <c r="AR19" s="138">
        <f>($AQ19/$D19)</f>
        <v>47.423263946329222</v>
      </c>
      <c r="AS19" s="364">
        <f>($AQ19/$E19)*1000</f>
        <v>408.0254205819478</v>
      </c>
      <c r="AT19" s="138">
        <v>1.0395820680000001</v>
      </c>
      <c r="AU19" s="138">
        <f>($AT19/$D19)</f>
        <v>1.7749628700080722</v>
      </c>
      <c r="AV19" s="242">
        <f>($AT19/$E19)*1000</f>
        <v>15.271618005290069</v>
      </c>
      <c r="AW19" s="138">
        <v>7.6519481440000003</v>
      </c>
      <c r="AX19" s="138">
        <f>($AW19/$D19)</f>
        <v>13.064792340018682</v>
      </c>
      <c r="AY19" s="242">
        <f>($AW19/$E19)*1000</f>
        <v>112.4082769879562</v>
      </c>
      <c r="AZ19" s="138">
        <v>0.49800074300000002</v>
      </c>
      <c r="BA19" s="138">
        <f>($AZ19/$D19)</f>
        <v>0.85027710199155948</v>
      </c>
      <c r="BB19" s="242">
        <f>($AZ19/$E19)*1000</f>
        <v>7.3157063280997576</v>
      </c>
      <c r="BC19" s="138">
        <v>170.93019659999999</v>
      </c>
      <c r="BD19" s="138">
        <f>($BC19/$D19)</f>
        <v>291.84300274808123</v>
      </c>
      <c r="BE19" s="242">
        <f>($BC19/$E19)*1000</f>
        <v>2510.99047241774</v>
      </c>
      <c r="BF19" s="138">
        <v>14.189100460000001</v>
      </c>
      <c r="BG19" s="138">
        <f>($BF19/$D19)</f>
        <v>24.226203250857203</v>
      </c>
      <c r="BH19" s="242">
        <f>($BF19/$E19)*1000</f>
        <v>208.44003444642487</v>
      </c>
      <c r="BI19" s="138">
        <v>8.4326802000000006E-2</v>
      </c>
      <c r="BJ19" s="138">
        <f>($BI19/$D19)</f>
        <v>0.14397799568097441</v>
      </c>
      <c r="BK19" s="242">
        <f>($BI19/$E19)*1000</f>
        <v>1.2387734911869706</v>
      </c>
      <c r="BL19" s="138">
        <v>2.7254859999999999E-2</v>
      </c>
      <c r="BM19" s="138">
        <f>($BL19/$D19)</f>
        <v>4.6534435343173114E-2</v>
      </c>
      <c r="BN19" s="242">
        <f>($BL19/$E19)*1000</f>
        <v>0.40037802066787864</v>
      </c>
      <c r="BO19" s="138">
        <v>4.5499984830000004</v>
      </c>
      <c r="BP19" s="138">
        <f>($BO19/$D19)</f>
        <v>7.7685818315962472</v>
      </c>
      <c r="BQ19" s="242">
        <f>($BO19/$E19)*1000</f>
        <v>66.840166732296211</v>
      </c>
      <c r="BR19" s="138">
        <v>719.02585669999996</v>
      </c>
      <c r="BS19" s="138">
        <f>($BR19/$D19)</f>
        <v>1227.6512239899896</v>
      </c>
      <c r="BT19" s="363">
        <f>($BR19/$E19)*1000</f>
        <v>10562.598718708214</v>
      </c>
    </row>
    <row r="20" spans="2:72" x14ac:dyDescent="0.35">
      <c r="B20" s="237">
        <v>12</v>
      </c>
      <c r="C20" s="239" t="s">
        <v>68</v>
      </c>
      <c r="D20" s="360">
        <v>0.30529075700000002</v>
      </c>
      <c r="E20" s="138">
        <v>135.11385369999999</v>
      </c>
      <c r="F20" s="361">
        <f>$E20/$D20</f>
        <v>442.57433480044722</v>
      </c>
      <c r="G20" s="362">
        <v>2.3046960177777778</v>
      </c>
      <c r="H20" s="138">
        <f>$G20/$D20</f>
        <v>7.5491837369245269</v>
      </c>
      <c r="I20" s="242">
        <f>($G20/$E20)*1000</f>
        <v>17.057436781390376</v>
      </c>
      <c r="J20" s="138">
        <v>0.61836789911111112</v>
      </c>
      <c r="K20" s="138">
        <f>($J20/$D20)</f>
        <v>2.0255048177272892</v>
      </c>
      <c r="L20" s="242">
        <f>($J20/$E20)*1000</f>
        <v>4.5766431951834052</v>
      </c>
      <c r="M20" s="138">
        <v>26.15371695</v>
      </c>
      <c r="N20" s="138">
        <f>($M20/$D20)</f>
        <v>85.66822398098347</v>
      </c>
      <c r="O20" s="242">
        <f>($M20/$E20)*1000</f>
        <v>193.56798902405964</v>
      </c>
      <c r="P20" s="138">
        <v>4.3251527699999999</v>
      </c>
      <c r="Q20" s="138">
        <f>($P20/$D20)</f>
        <v>14.167323021836523</v>
      </c>
      <c r="R20" s="363">
        <f>($P20/$E20)*1000</f>
        <v>32.011171701188772</v>
      </c>
      <c r="S20" s="362">
        <v>0</v>
      </c>
      <c r="T20" s="138">
        <f>($S20/$D20)</f>
        <v>0</v>
      </c>
      <c r="U20" s="242">
        <f>($S20/$E20)*1000</f>
        <v>0</v>
      </c>
      <c r="V20" s="138">
        <v>3.0148559999999998E-3</v>
      </c>
      <c r="W20" s="138">
        <f>($V20/$D20)</f>
        <v>9.8753595740207738E-3</v>
      </c>
      <c r="X20" s="242">
        <f>($V20/$E20)*1000</f>
        <v>2.2313448380312167E-2</v>
      </c>
      <c r="Y20" s="138">
        <v>1.0288454440000001</v>
      </c>
      <c r="Z20" s="138">
        <f>($Y20/$D20)</f>
        <v>3.3700510756046245</v>
      </c>
      <c r="AA20" s="242">
        <f>($Y20/$E20)*1000</f>
        <v>7.6146554614924744</v>
      </c>
      <c r="AB20" s="138">
        <v>0.97075115199999995</v>
      </c>
      <c r="AC20" s="138">
        <f>($AB20/$D20)</f>
        <v>3.1797593924535352</v>
      </c>
      <c r="AD20" s="242">
        <f>($AB20/$E20)*1000</f>
        <v>7.1846899886032931</v>
      </c>
      <c r="AE20" s="138">
        <v>7.4958368999999997E-2</v>
      </c>
      <c r="AF20" s="138">
        <f>($AE20/$D20)</f>
        <v>0.24553107908209612</v>
      </c>
      <c r="AG20" s="242">
        <f>($AE20/$E20)*1000</f>
        <v>0.55477929869748066</v>
      </c>
      <c r="AH20" s="138">
        <v>1.049227E-2</v>
      </c>
      <c r="AI20" s="138">
        <f>($AH20/$D20)</f>
        <v>3.4368122058801798E-2</v>
      </c>
      <c r="AJ20" s="242">
        <f>($AH20/$E20)*1000</f>
        <v>7.7655027317158079E-2</v>
      </c>
      <c r="AK20" s="138">
        <v>0.168839349</v>
      </c>
      <c r="AL20" s="138">
        <f>($AK20/$D20)</f>
        <v>0.55304441791534487</v>
      </c>
      <c r="AM20" s="364">
        <f>($AK20/$E20)*1000</f>
        <v>1.2496079741377402</v>
      </c>
      <c r="AN20" s="138">
        <v>3.3770339974999999</v>
      </c>
      <c r="AO20" s="365">
        <f>($AN20/$D20)</f>
        <v>11.061697480412089</v>
      </c>
      <c r="AP20" s="361">
        <f>($AN20/$E20)*1000</f>
        <v>24.993987700167271</v>
      </c>
      <c r="AQ20" s="362">
        <v>86.026619609999997</v>
      </c>
      <c r="AR20" s="138">
        <f>($AQ20/$D20)</f>
        <v>281.78586359887731</v>
      </c>
      <c r="AS20" s="364">
        <f>($AQ20/$E20)*1000</f>
        <v>636.69725386568552</v>
      </c>
      <c r="AT20" s="138">
        <v>3.4734768420000002</v>
      </c>
      <c r="AU20" s="138">
        <f>($AT20/$D20)</f>
        <v>11.377602375298903</v>
      </c>
      <c r="AV20" s="242">
        <f>($AT20/$E20)*1000</f>
        <v>25.707777158901362</v>
      </c>
      <c r="AW20" s="138">
        <v>183.2470217</v>
      </c>
      <c r="AX20" s="138">
        <f>($AW20/$D20)</f>
        <v>600.23769963006112</v>
      </c>
      <c r="AY20" s="242">
        <f>($AW20/$E20)*1000</f>
        <v>1356.2415450518677</v>
      </c>
      <c r="AZ20" s="138">
        <v>5.9976862860000004</v>
      </c>
      <c r="BA20" s="138">
        <f>($AZ20/$D20)</f>
        <v>19.645816810628173</v>
      </c>
      <c r="BB20" s="242">
        <f>($AZ20/$E20)*1000</f>
        <v>44.389869149295095</v>
      </c>
      <c r="BC20" s="138">
        <v>159.85253639999999</v>
      </c>
      <c r="BD20" s="138">
        <f>($BC20/$D20)</f>
        <v>523.60752081334704</v>
      </c>
      <c r="BE20" s="242">
        <f>($BC20/$E20)*1000</f>
        <v>1183.0950862738955</v>
      </c>
      <c r="BF20" s="138">
        <v>123.06804409999999</v>
      </c>
      <c r="BG20" s="138">
        <f>($BF20/$D20)</f>
        <v>403.1174913690557</v>
      </c>
      <c r="BH20" s="242">
        <f>($BF20/$E20)*1000</f>
        <v>910.84696890708256</v>
      </c>
      <c r="BI20" s="138">
        <v>0.35758755399999997</v>
      </c>
      <c r="BJ20" s="138">
        <f>($BI20/$D20)</f>
        <v>1.1713016060948087</v>
      </c>
      <c r="BK20" s="242">
        <f>($BI20/$E20)*1000</f>
        <v>2.6465646875409936</v>
      </c>
      <c r="BL20" s="138">
        <v>0.73418684300000003</v>
      </c>
      <c r="BM20" s="138">
        <f>($BL20/$D20)</f>
        <v>2.4048774034780225</v>
      </c>
      <c r="BN20" s="242">
        <f>($BL20/$E20)*1000</f>
        <v>5.4338383733036846</v>
      </c>
      <c r="BO20" s="138">
        <v>2.3930174499999999</v>
      </c>
      <c r="BP20" s="138">
        <f>($BO20/$D20)</f>
        <v>7.8384864105138945</v>
      </c>
      <c r="BQ20" s="242">
        <f>($BO20/$E20)*1000</f>
        <v>17.711118323316686</v>
      </c>
      <c r="BR20" s="138">
        <v>135.03069930000001</v>
      </c>
      <c r="BS20" s="138">
        <f>($BR20/$D20)</f>
        <v>442.30195708152411</v>
      </c>
      <c r="BT20" s="363">
        <f>($BR20/$E20)*1000</f>
        <v>999.38456051897822</v>
      </c>
    </row>
    <row r="21" spans="2:72" x14ac:dyDescent="0.35">
      <c r="B21" s="237">
        <v>13</v>
      </c>
      <c r="C21" s="239" t="s">
        <v>70</v>
      </c>
      <c r="D21" s="360">
        <v>0.70858421900000002</v>
      </c>
      <c r="E21" s="138">
        <v>308.288298</v>
      </c>
      <c r="F21" s="361">
        <f>$E21/$D21</f>
        <v>435.07643796396769</v>
      </c>
      <c r="G21" s="362">
        <v>3.5702007855555555</v>
      </c>
      <c r="H21" s="138">
        <f>$G21/$D21</f>
        <v>5.0384988683406675</v>
      </c>
      <c r="I21" s="242">
        <f>($G21/$E21)*1000</f>
        <v>11.580721061152817</v>
      </c>
      <c r="J21" s="138">
        <v>0.91652463066666678</v>
      </c>
      <c r="K21" s="138">
        <f>($J21/$D21)</f>
        <v>1.2934589934279452</v>
      </c>
      <c r="L21" s="242">
        <f>($J21/$E21)*1000</f>
        <v>2.9729465458551618</v>
      </c>
      <c r="M21" s="138">
        <v>67.267428300000006</v>
      </c>
      <c r="N21" s="138">
        <f>($M21/$D21)</f>
        <v>94.93215696354649</v>
      </c>
      <c r="O21" s="242">
        <f>($M21/$E21)*1000</f>
        <v>218.19650222338316</v>
      </c>
      <c r="P21" s="138">
        <v>5.6571127150000002</v>
      </c>
      <c r="Q21" s="138">
        <f>($P21/$D21)</f>
        <v>7.9836843148774674</v>
      </c>
      <c r="R21" s="363">
        <f>($P21/$E21)*1000</f>
        <v>18.350072810742883</v>
      </c>
      <c r="S21" s="362">
        <v>0</v>
      </c>
      <c r="T21" s="138">
        <f>($S21/$D21)</f>
        <v>0</v>
      </c>
      <c r="U21" s="242">
        <f>($S21/$E21)*1000</f>
        <v>0</v>
      </c>
      <c r="V21" s="138">
        <v>4.1161511999999997E-2</v>
      </c>
      <c r="W21" s="138">
        <f>($V21/$D21)</f>
        <v>5.8089794969029641E-2</v>
      </c>
      <c r="X21" s="242">
        <f>($V21/$E21)*1000</f>
        <v>0.13351629713820665</v>
      </c>
      <c r="Y21" s="138">
        <v>1.8524708009999999</v>
      </c>
      <c r="Z21" s="138">
        <f>($Y21/$D21)</f>
        <v>2.6143269230781443</v>
      </c>
      <c r="AA21" s="242">
        <f>($Y21/$E21)*1000</f>
        <v>6.0088910705264587</v>
      </c>
      <c r="AB21" s="138">
        <v>0.82673464299999999</v>
      </c>
      <c r="AC21" s="138">
        <f>($AB21/$D21)</f>
        <v>1.1667415401471142</v>
      </c>
      <c r="AD21" s="242">
        <f>($AB21/$E21)*1000</f>
        <v>2.6816932344282494</v>
      </c>
      <c r="AE21" s="138">
        <v>7.5560929999999998E-3</v>
      </c>
      <c r="AF21" s="138">
        <f>($AE21/$D21)</f>
        <v>1.0663648437815407E-2</v>
      </c>
      <c r="AG21" s="242">
        <f>($AE21/$E21)*1000</f>
        <v>2.4509827486218758E-2</v>
      </c>
      <c r="AH21" s="138">
        <v>3.877046E-2</v>
      </c>
      <c r="AI21" s="138">
        <f>($AH21/$D21)</f>
        <v>5.4715387332102017E-2</v>
      </c>
      <c r="AJ21" s="242">
        <f>($AH21/$E21)*1000</f>
        <v>0.12576040106459052</v>
      </c>
      <c r="AK21" s="138">
        <v>0.89981633800000005</v>
      </c>
      <c r="AL21" s="138">
        <f>($AK21/$D21)</f>
        <v>1.2698791673202645</v>
      </c>
      <c r="AM21" s="364">
        <f>($AK21/$E21)*1000</f>
        <v>2.9187495725186432</v>
      </c>
      <c r="AN21" s="138">
        <v>21.1707124725</v>
      </c>
      <c r="AO21" s="365">
        <f>($AN21/$D21)</f>
        <v>29.87748231590238</v>
      </c>
      <c r="AP21" s="361">
        <f>($AN21/$E21)*1000</f>
        <v>68.67180042137052</v>
      </c>
      <c r="AQ21" s="362">
        <v>121.2003278</v>
      </c>
      <c r="AR21" s="138">
        <f>($AQ21/$D21)</f>
        <v>171.0457621693096</v>
      </c>
      <c r="AS21" s="364">
        <f>($AQ21/$E21)*1000</f>
        <v>393.13956639379154</v>
      </c>
      <c r="AT21" s="138">
        <v>4.7202640850000002</v>
      </c>
      <c r="AU21" s="138">
        <f>($AT21/$D21)</f>
        <v>6.6615427756231194</v>
      </c>
      <c r="AV21" s="242">
        <f>($AT21/$E21)*1000</f>
        <v>15.311200962288877</v>
      </c>
      <c r="AW21" s="138">
        <v>663.91791320000004</v>
      </c>
      <c r="AX21" s="138">
        <f>($AW21/$D21)</f>
        <v>936.96401274214668</v>
      </c>
      <c r="AY21" s="242">
        <f>($AW21/$E21)*1000</f>
        <v>2153.561836459975</v>
      </c>
      <c r="AZ21" s="138">
        <v>16.08010251</v>
      </c>
      <c r="BA21" s="138">
        <f>($AZ21/$D21)</f>
        <v>22.693283421825683</v>
      </c>
      <c r="BB21" s="242">
        <f>($AZ21/$E21)*1000</f>
        <v>52.159302232094454</v>
      </c>
      <c r="BC21" s="138">
        <v>215.53642060000001</v>
      </c>
      <c r="BD21" s="138">
        <f>($BC21/$D21)</f>
        <v>304.17897381934216</v>
      </c>
      <c r="BE21" s="242">
        <f>($BC21/$E21)*1000</f>
        <v>699.1391564268846</v>
      </c>
      <c r="BF21" s="138">
        <v>469.13160199999999</v>
      </c>
      <c r="BG21" s="138">
        <f>($BF21/$D21)</f>
        <v>662.06893890759932</v>
      </c>
      <c r="BH21" s="242">
        <f>($BF21/$E21)*1000</f>
        <v>1521.7301631085588</v>
      </c>
      <c r="BI21" s="138">
        <v>1.8190628470000001</v>
      </c>
      <c r="BJ21" s="138">
        <f>($BI21/$D21)</f>
        <v>2.5671794519601066</v>
      </c>
      <c r="BK21" s="242">
        <f>($BI21/$E21)*1000</f>
        <v>5.9005251214562806</v>
      </c>
      <c r="BL21" s="138">
        <v>4.5826539359999998</v>
      </c>
      <c r="BM21" s="138">
        <f>($BL21/$D21)</f>
        <v>6.467338409635115</v>
      </c>
      <c r="BN21" s="242">
        <f>($BL21/$E21)*1000</f>
        <v>14.864832579535666</v>
      </c>
      <c r="BO21" s="138">
        <v>16.845728900000001</v>
      </c>
      <c r="BP21" s="138">
        <f>($BO21/$D21)</f>
        <v>23.773785032601751</v>
      </c>
      <c r="BQ21" s="242">
        <f>($BO21/$E21)*1000</f>
        <v>54.642777586063289</v>
      </c>
      <c r="BR21" s="138">
        <v>420.24404420000002</v>
      </c>
      <c r="BS21" s="138">
        <f>($BR21/$D21)</f>
        <v>593.07564708832444</v>
      </c>
      <c r="BT21" s="363">
        <f>($BR21/$E21)*1000</f>
        <v>1363.1527596937851</v>
      </c>
    </row>
    <row r="22" spans="2:72" x14ac:dyDescent="0.35">
      <c r="B22" s="237">
        <v>14</v>
      </c>
      <c r="C22" s="239" t="s">
        <v>73</v>
      </c>
      <c r="D22" s="360">
        <v>1.500089252</v>
      </c>
      <c r="E22" s="138">
        <v>357.17574150000002</v>
      </c>
      <c r="F22" s="361">
        <f>$E22/$D22</f>
        <v>238.10299355441288</v>
      </c>
      <c r="G22" s="362">
        <v>27.43978171111111</v>
      </c>
      <c r="H22" s="138">
        <f>$G22/$D22</f>
        <v>18.292099403103457</v>
      </c>
      <c r="I22" s="242">
        <f>($G22/$E22)*1000</f>
        <v>76.824315100109075</v>
      </c>
      <c r="J22" s="138">
        <v>16.103941900000002</v>
      </c>
      <c r="K22" s="138">
        <f>($J22/$D22)</f>
        <v>10.735322500664115</v>
      </c>
      <c r="L22" s="242">
        <f>($J22/$E22)*1000</f>
        <v>45.08688589087734</v>
      </c>
      <c r="M22" s="138">
        <v>4.2641409299999999</v>
      </c>
      <c r="N22" s="138">
        <f>($M22/$D22)</f>
        <v>2.8425914820166982</v>
      </c>
      <c r="O22" s="242">
        <f>($M22/$E22)*1000</f>
        <v>11.938495352714204</v>
      </c>
      <c r="P22" s="138">
        <v>23.258815615</v>
      </c>
      <c r="Q22" s="138">
        <f>($P22/$D22)</f>
        <v>15.504954511199978</v>
      </c>
      <c r="R22" s="363">
        <f>($P22/$E22)*1000</f>
        <v>65.118687840674639</v>
      </c>
      <c r="S22" s="362">
        <v>5.6479700000000001E-5</v>
      </c>
      <c r="T22" s="138">
        <f>($S22/$D22)</f>
        <v>3.7650893054995372E-5</v>
      </c>
      <c r="U22" s="242">
        <f>($S22/$E22)*1000</f>
        <v>1.581286001193897E-4</v>
      </c>
      <c r="V22" s="138">
        <v>0</v>
      </c>
      <c r="W22" s="138">
        <f>($V22/$D22)</f>
        <v>0</v>
      </c>
      <c r="X22" s="242">
        <f>($V22/$E22)*1000</f>
        <v>0</v>
      </c>
      <c r="Y22" s="138">
        <v>0</v>
      </c>
      <c r="Z22" s="138">
        <f>($Y22/$D22)</f>
        <v>0</v>
      </c>
      <c r="AA22" s="242">
        <f>($Y22/$E22)*1000</f>
        <v>0</v>
      </c>
      <c r="AB22" s="138">
        <v>0</v>
      </c>
      <c r="AC22" s="138">
        <f>($AB22/$D22)</f>
        <v>0</v>
      </c>
      <c r="AD22" s="242">
        <f>($AB22/$E22)*1000</f>
        <v>0</v>
      </c>
      <c r="AE22" s="138">
        <v>2.3831220270000002</v>
      </c>
      <c r="AF22" s="138">
        <f>($AE22/$D22)</f>
        <v>1.588653490999081</v>
      </c>
      <c r="AG22" s="242">
        <f>($AE22/$E22)*1000</f>
        <v>6.6721273314694018</v>
      </c>
      <c r="AH22" s="138">
        <v>2.1655189999999999E-3</v>
      </c>
      <c r="AI22" s="138">
        <f>($AH22/$D22)</f>
        <v>1.443593437599005E-3</v>
      </c>
      <c r="AJ22" s="242">
        <f>($AH22/$E22)*1000</f>
        <v>6.0628949516718508E-3</v>
      </c>
      <c r="AK22" s="138">
        <v>1.2848744E-2</v>
      </c>
      <c r="AL22" s="138">
        <f>($AK22/$D22)</f>
        <v>8.5653196853916272E-3</v>
      </c>
      <c r="AM22" s="364">
        <f>($AK22/$E22)*1000</f>
        <v>3.5973170927119082E-2</v>
      </c>
      <c r="AN22" s="138">
        <v>0</v>
      </c>
      <c r="AO22" s="365">
        <f>($AN22/$D22)</f>
        <v>0</v>
      </c>
      <c r="AP22" s="361">
        <f>($AN22/$E22)*1000</f>
        <v>0</v>
      </c>
      <c r="AQ22" s="362">
        <v>705.21516199999996</v>
      </c>
      <c r="AR22" s="138">
        <f>($AQ22/$D22)</f>
        <v>470.11546883611692</v>
      </c>
      <c r="AS22" s="364">
        <f>($AQ22/$E22)*1000</f>
        <v>1974.4206564487524</v>
      </c>
      <c r="AT22" s="138">
        <v>2.402207E-3</v>
      </c>
      <c r="AU22" s="138">
        <f>($AT22/$D22)</f>
        <v>1.6013760493232305E-3</v>
      </c>
      <c r="AV22" s="242">
        <f>($AT22/$E22)*1000</f>
        <v>6.7255603359613935E-3</v>
      </c>
      <c r="AW22" s="138">
        <v>20.915275770000001</v>
      </c>
      <c r="AX22" s="138">
        <f>($AW22/$D22)</f>
        <v>13.942687571499247</v>
      </c>
      <c r="AY22" s="242">
        <f>($AW22/$E22)*1000</f>
        <v>58.55738041492944</v>
      </c>
      <c r="AZ22" s="138">
        <v>0.28889390199999998</v>
      </c>
      <c r="BA22" s="138">
        <f>($AZ22/$D22)</f>
        <v>0.19258447563358716</v>
      </c>
      <c r="BB22" s="242">
        <f>($AZ22/$E22)*1000</f>
        <v>0.80882845174971096</v>
      </c>
      <c r="BC22" s="138">
        <v>125.5314557</v>
      </c>
      <c r="BD22" s="138">
        <f>($BC22/$D22)</f>
        <v>83.682657903611187</v>
      </c>
      <c r="BE22" s="242">
        <f>($BC22/$E22)*1000</f>
        <v>351.45571525327119</v>
      </c>
      <c r="BF22" s="138">
        <v>261.75637519999998</v>
      </c>
      <c r="BG22" s="138">
        <f>($BF22/$D22)</f>
        <v>174.49386751555767</v>
      </c>
      <c r="BH22" s="242">
        <f>($BF22/$E22)*1000</f>
        <v>732.8503724825332</v>
      </c>
      <c r="BI22" s="138">
        <v>8.1690967000000003E-2</v>
      </c>
      <c r="BJ22" s="138">
        <f>($BI22/$D22)</f>
        <v>5.4457404378496277E-2</v>
      </c>
      <c r="BK22" s="242">
        <f>($BI22/$E22)*1000</f>
        <v>0.22871364851635648</v>
      </c>
      <c r="BL22" s="138">
        <v>1.2764072660000001</v>
      </c>
      <c r="BM22" s="138">
        <f>($BL22/$D22)</f>
        <v>0.8508875483896875</v>
      </c>
      <c r="BN22" s="242">
        <f>($BL22/$E22)*1000</f>
        <v>3.573611300251196</v>
      </c>
      <c r="BO22" s="138">
        <v>1.1152924999999999E-2</v>
      </c>
      <c r="BP22" s="138">
        <f>($BO22/$D22)</f>
        <v>7.434840950383664E-3</v>
      </c>
      <c r="BQ22" s="242">
        <f>($BO22/$E22)*1000</f>
        <v>3.1225314891660971E-2</v>
      </c>
      <c r="BR22" s="138">
        <v>762.15242460000002</v>
      </c>
      <c r="BS22" s="138">
        <f>($BR22/$D22)</f>
        <v>508.07138547513574</v>
      </c>
      <c r="BT22" s="363">
        <f>($BR22/$E22)*1000</f>
        <v>2133.830313893252</v>
      </c>
    </row>
    <row r="23" spans="2:72" x14ac:dyDescent="0.35">
      <c r="B23" s="237">
        <v>15</v>
      </c>
      <c r="C23" s="239" t="s">
        <v>76</v>
      </c>
      <c r="D23" s="360">
        <v>0.96031910399999998</v>
      </c>
      <c r="E23" s="138">
        <v>241.41319139999999</v>
      </c>
      <c r="F23" s="361">
        <f>$E23/$D23</f>
        <v>251.3885128333342</v>
      </c>
      <c r="G23" s="362">
        <v>17.00204646666667</v>
      </c>
      <c r="H23" s="138">
        <f>$G23/$D23</f>
        <v>17.704580067030168</v>
      </c>
      <c r="I23" s="242">
        <f>($G23/$E23)*1000</f>
        <v>70.427164182987028</v>
      </c>
      <c r="J23" s="138">
        <v>9.260375834444444</v>
      </c>
      <c r="K23" s="138">
        <f>($J23/$D23)</f>
        <v>9.6430194878685285</v>
      </c>
      <c r="L23" s="242">
        <f>($J23/$E23)*1000</f>
        <v>38.359029930145091</v>
      </c>
      <c r="M23" s="138">
        <v>7.0053520725</v>
      </c>
      <c r="N23" s="138">
        <f>($M23/$D23)</f>
        <v>7.2948169450349702</v>
      </c>
      <c r="O23" s="242">
        <f>($M23/$E23)*1000</f>
        <v>29.018099764452227</v>
      </c>
      <c r="P23" s="138">
        <v>15.0881066925</v>
      </c>
      <c r="Q23" s="138">
        <f>($P23/$D23)</f>
        <v>15.711555283711196</v>
      </c>
      <c r="R23" s="363">
        <f>($P23/$E23)*1000</f>
        <v>62.499097936617567</v>
      </c>
      <c r="S23" s="362">
        <v>0</v>
      </c>
      <c r="T23" s="138">
        <f>($S23/$D23)</f>
        <v>0</v>
      </c>
      <c r="U23" s="242">
        <f>($S23/$E23)*1000</f>
        <v>0</v>
      </c>
      <c r="V23" s="138">
        <v>3.1715900000000002E-4</v>
      </c>
      <c r="W23" s="138">
        <f>($V23/$D23)</f>
        <v>3.3026417852039316E-4</v>
      </c>
      <c r="X23" s="242">
        <f>($V23/$E23)*1000</f>
        <v>1.3137600234715261E-3</v>
      </c>
      <c r="Y23" s="138">
        <v>8.4055298000000001E-2</v>
      </c>
      <c r="Z23" s="138">
        <f>($Y23/$D23)</f>
        <v>8.7528507607404632E-2</v>
      </c>
      <c r="AA23" s="242">
        <f>($Y23/$E23)*1000</f>
        <v>0.34818021961661538</v>
      </c>
      <c r="AB23" s="138">
        <v>0</v>
      </c>
      <c r="AC23" s="138">
        <f>($AB23/$D23)</f>
        <v>0</v>
      </c>
      <c r="AD23" s="242">
        <f>($AB23/$E23)*1000</f>
        <v>0</v>
      </c>
      <c r="AE23" s="138">
        <v>1.5565772069999999</v>
      </c>
      <c r="AF23" s="138">
        <f>($AE23/$D23)</f>
        <v>1.6208958048594646</v>
      </c>
      <c r="AG23" s="242">
        <f>($AE23/$E23)*1000</f>
        <v>6.4477719629698749</v>
      </c>
      <c r="AH23" s="138">
        <v>0</v>
      </c>
      <c r="AI23" s="138">
        <f>($AH23/$D23)</f>
        <v>0</v>
      </c>
      <c r="AJ23" s="242">
        <f>($AH23/$E23)*1000</f>
        <v>0</v>
      </c>
      <c r="AK23" s="138">
        <v>0.62028868999999998</v>
      </c>
      <c r="AL23" s="138">
        <f>($AK23/$D23)</f>
        <v>0.64591934849189458</v>
      </c>
      <c r="AM23" s="364">
        <f>($AK23/$E23)*1000</f>
        <v>2.5694067768328259</v>
      </c>
      <c r="AN23" s="138">
        <v>1.0656525999999999E-2</v>
      </c>
      <c r="AO23" s="365">
        <f>($AN23/$D23)</f>
        <v>1.109685932062849E-2</v>
      </c>
      <c r="AP23" s="361">
        <f>($AN23/$E23)*1000</f>
        <v>4.4142268855321548E-2</v>
      </c>
      <c r="AQ23" s="362">
        <v>770.70905800000003</v>
      </c>
      <c r="AR23" s="138">
        <f>($AQ23/$D23)</f>
        <v>802.55516607946186</v>
      </c>
      <c r="AS23" s="364">
        <f>($AQ23/$E23)*1000</f>
        <v>3192.4894142300795</v>
      </c>
      <c r="AT23" s="138">
        <v>8.9319594000000002E-2</v>
      </c>
      <c r="AU23" s="138">
        <f>($AT23/$D23)</f>
        <v>9.3010327117266228E-2</v>
      </c>
      <c r="AV23" s="242">
        <f>($AT23/$E23)*1000</f>
        <v>0.36998638509361925</v>
      </c>
      <c r="AW23" s="138">
        <v>15.72439348</v>
      </c>
      <c r="AX23" s="138">
        <f>($AW23/$D23)</f>
        <v>16.374133779598328</v>
      </c>
      <c r="AY23" s="242">
        <f>($AW23/$E23)*1000</f>
        <v>65.134773244209725</v>
      </c>
      <c r="AZ23" s="138">
        <v>0.53166314400000003</v>
      </c>
      <c r="BA23" s="138">
        <f>($AZ23/$D23)</f>
        <v>0.55363174780702895</v>
      </c>
      <c r="BB23" s="242">
        <f>($AZ23/$E23)*1000</f>
        <v>2.2022953299146026</v>
      </c>
      <c r="BC23" s="138">
        <v>192.01576230000001</v>
      </c>
      <c r="BD23" s="138">
        <f>($BC23/$D23)</f>
        <v>199.94995569722624</v>
      </c>
      <c r="BE23" s="242">
        <f>($BC23/$E23)*1000</f>
        <v>795.38222905908708</v>
      </c>
      <c r="BF23" s="138">
        <v>182.60809510000001</v>
      </c>
      <c r="BG23" s="138">
        <f>($BF23/$D23)</f>
        <v>190.15355868625937</v>
      </c>
      <c r="BH23" s="242">
        <f>($BF23/$E23)*1000</f>
        <v>756.41307768238232</v>
      </c>
      <c r="BI23" s="138">
        <v>8.7504623000000004E-2</v>
      </c>
      <c r="BJ23" s="138">
        <f>($BI23/$D23)</f>
        <v>9.1120360550486362E-2</v>
      </c>
      <c r="BK23" s="242">
        <f>($BI23/$E23)*1000</f>
        <v>0.36246827479701682</v>
      </c>
      <c r="BL23" s="138">
        <v>1.0796244189999999</v>
      </c>
      <c r="BM23" s="138">
        <f>($BL23/$D23)</f>
        <v>1.1242350740530513</v>
      </c>
      <c r="BN23" s="242">
        <f>($BL23/$E23)*1000</f>
        <v>4.4721020120692536</v>
      </c>
      <c r="BO23" s="138">
        <v>3.1715850000000002E-3</v>
      </c>
      <c r="BP23" s="138">
        <f>($BO23/$D23)</f>
        <v>3.3026365786012731E-3</v>
      </c>
      <c r="BQ23" s="242">
        <f>($BO23/$E23)*1000</f>
        <v>1.3137579523336688E-2</v>
      </c>
      <c r="BR23" s="138">
        <v>835.08979339999996</v>
      </c>
      <c r="BS23" s="138">
        <f>($BR23/$D23)</f>
        <v>869.59614769883819</v>
      </c>
      <c r="BT23" s="363">
        <f>($BR23/$E23)*1000</f>
        <v>3459.172170986842</v>
      </c>
    </row>
    <row r="24" spans="2:72" x14ac:dyDescent="0.35">
      <c r="B24" s="237">
        <v>16</v>
      </c>
      <c r="C24" s="239" t="s">
        <v>77</v>
      </c>
      <c r="D24" s="360">
        <v>0.15594915000000001</v>
      </c>
      <c r="E24" s="138">
        <v>40.233085770000002</v>
      </c>
      <c r="F24" s="361">
        <f>$E24/$D24</f>
        <v>257.98849028673771</v>
      </c>
      <c r="G24" s="362">
        <v>0.70410816311111113</v>
      </c>
      <c r="H24" s="138">
        <f>$G24/$D24</f>
        <v>4.5149855777419186</v>
      </c>
      <c r="I24" s="242">
        <f>($G24/$E24)*1000</f>
        <v>17.50072482971547</v>
      </c>
      <c r="J24" s="138">
        <v>0.39681370500000002</v>
      </c>
      <c r="K24" s="138">
        <f>($J24/$D24)</f>
        <v>2.5445070075726606</v>
      </c>
      <c r="L24" s="242">
        <f>($J24/$E24)*1000</f>
        <v>9.8628702572917266</v>
      </c>
      <c r="M24" s="138">
        <v>5.0137669100000002</v>
      </c>
      <c r="N24" s="138">
        <f>($M24/$D24)</f>
        <v>32.150011141452197</v>
      </c>
      <c r="O24" s="242">
        <f>($M24/$E24)*1000</f>
        <v>124.61800565490157</v>
      </c>
      <c r="P24" s="138">
        <v>3.4900087525000001</v>
      </c>
      <c r="Q24" s="138">
        <f>($P24/$D24)</f>
        <v>22.379145718331905</v>
      </c>
      <c r="R24" s="363">
        <f>($P24/$E24)*1000</f>
        <v>86.744744672364703</v>
      </c>
      <c r="S24" s="362">
        <v>0</v>
      </c>
      <c r="T24" s="138">
        <f>($S24/$D24)</f>
        <v>0</v>
      </c>
      <c r="U24" s="242">
        <f>($S24/$E24)*1000</f>
        <v>0</v>
      </c>
      <c r="V24" s="138">
        <v>0</v>
      </c>
      <c r="W24" s="138">
        <f>($V24/$D24)</f>
        <v>0</v>
      </c>
      <c r="X24" s="242">
        <f>($V24/$E24)*1000</f>
        <v>0</v>
      </c>
      <c r="Y24" s="138">
        <v>0</v>
      </c>
      <c r="Z24" s="138">
        <f>($Y24/$D24)</f>
        <v>0</v>
      </c>
      <c r="AA24" s="242">
        <f>($Y24/$E24)*1000</f>
        <v>0</v>
      </c>
      <c r="AB24" s="138">
        <v>0</v>
      </c>
      <c r="AC24" s="138">
        <f>($AB24/$D24)</f>
        <v>0</v>
      </c>
      <c r="AD24" s="242">
        <f>($AB24/$E24)*1000</f>
        <v>0</v>
      </c>
      <c r="AE24" s="138">
        <v>0.40755353500000002</v>
      </c>
      <c r="AF24" s="138">
        <f>($AE24/$D24)</f>
        <v>2.6133745198354719</v>
      </c>
      <c r="AG24" s="242">
        <f>($AE24/$E24)*1000</f>
        <v>10.129810507945038</v>
      </c>
      <c r="AH24" s="138">
        <v>0</v>
      </c>
      <c r="AI24" s="138">
        <f>($AH24/$D24)</f>
        <v>0</v>
      </c>
      <c r="AJ24" s="242">
        <f>($AH24/$E24)*1000</f>
        <v>0</v>
      </c>
      <c r="AK24" s="138">
        <v>6.7108615999999996E-2</v>
      </c>
      <c r="AL24" s="138">
        <f>($AK24/$D24)</f>
        <v>0.43032370487431315</v>
      </c>
      <c r="AM24" s="364">
        <f>($AK24/$E24)*1000</f>
        <v>1.6679957481670438</v>
      </c>
      <c r="AN24" s="138">
        <v>0.25978012524999999</v>
      </c>
      <c r="AO24" s="365">
        <f>($AN24/$D24)</f>
        <v>1.6658001999369665</v>
      </c>
      <c r="AP24" s="361">
        <f>($AN24/$E24)*1000</f>
        <v>6.4568779719030722</v>
      </c>
      <c r="AQ24" s="362">
        <v>124.6134928</v>
      </c>
      <c r="AR24" s="138">
        <f>($AQ24/$D24)</f>
        <v>799.06490545155259</v>
      </c>
      <c r="AS24" s="364">
        <f>($AQ24/$E24)*1000</f>
        <v>3097.288970385629</v>
      </c>
      <c r="AT24" s="138">
        <v>2.2923341999999999E-2</v>
      </c>
      <c r="AU24" s="138">
        <f>($AT24/$D24)</f>
        <v>0.14699241387336834</v>
      </c>
      <c r="AV24" s="242">
        <f>($AT24/$E24)*1000</f>
        <v>0.56976345615262003</v>
      </c>
      <c r="AW24" s="138">
        <v>5.5132303509999998</v>
      </c>
      <c r="AX24" s="138">
        <f>($AW24/$D24)</f>
        <v>35.352743833486748</v>
      </c>
      <c r="AY24" s="242">
        <f>($AW24/$E24)*1000</f>
        <v>137.03225207525509</v>
      </c>
      <c r="AZ24" s="138">
        <v>6.8261483999999997E-2</v>
      </c>
      <c r="BA24" s="138">
        <f>($AZ24/$D24)</f>
        <v>0.43771629406123724</v>
      </c>
      <c r="BB24" s="242">
        <f>($AZ24/$E24)*1000</f>
        <v>1.6966504729522762</v>
      </c>
      <c r="BC24" s="138">
        <v>152.83235250000001</v>
      </c>
      <c r="BD24" s="138">
        <f>($BC24/$D24)</f>
        <v>980.0140141834695</v>
      </c>
      <c r="BE24" s="242">
        <f>($BC24/$E24)*1000</f>
        <v>3798.6733946706172</v>
      </c>
      <c r="BF24" s="138">
        <v>55.423014780000003</v>
      </c>
      <c r="BG24" s="138">
        <f>($BF24/$D24)</f>
        <v>355.39157975532407</v>
      </c>
      <c r="BH24" s="242">
        <f>($BF24/$E24)*1000</f>
        <v>1377.5481974421768</v>
      </c>
      <c r="BI24" s="138">
        <v>3.7267344000000001E-2</v>
      </c>
      <c r="BJ24" s="138">
        <f>($BI24/$D24)</f>
        <v>0.23897112616516344</v>
      </c>
      <c r="BK24" s="242">
        <f>($BI24/$E24)*1000</f>
        <v>0.92628599787363508</v>
      </c>
      <c r="BL24" s="138">
        <v>0.51610894299999999</v>
      </c>
      <c r="BM24" s="138">
        <f>($BL24/$D24)</f>
        <v>3.3094694200000445</v>
      </c>
      <c r="BN24" s="242">
        <f>($BL24/$E24)*1000</f>
        <v>12.827973125164542</v>
      </c>
      <c r="BO24" s="138">
        <v>2.6723589999999998E-2</v>
      </c>
      <c r="BP24" s="138">
        <f>($BO24/$D24)</f>
        <v>0.1713609211720615</v>
      </c>
      <c r="BQ24" s="242">
        <f>($BO24/$E24)*1000</f>
        <v>0.66421924862463755</v>
      </c>
      <c r="BR24" s="138">
        <v>44.946989180000003</v>
      </c>
      <c r="BS24" s="138">
        <f>($BR24/$D24)</f>
        <v>288.21567273691454</v>
      </c>
      <c r="BT24" s="363">
        <f>($BR24/$E24)*1000</f>
        <v>1117.1648487751577</v>
      </c>
    </row>
    <row r="25" spans="2:72" x14ac:dyDescent="0.35">
      <c r="B25" s="237">
        <v>17</v>
      </c>
      <c r="C25" s="239" t="s">
        <v>79</v>
      </c>
      <c r="D25" s="360">
        <v>0.17915500400000001</v>
      </c>
      <c r="E25" s="138">
        <v>59.899881489999999</v>
      </c>
      <c r="F25" s="361">
        <f>$E25/$D25</f>
        <v>334.34668389167626</v>
      </c>
      <c r="G25" s="362">
        <v>2.4019528188888888</v>
      </c>
      <c r="H25" s="138">
        <f>$G25/$D25</f>
        <v>13.407121013984565</v>
      </c>
      <c r="I25" s="242">
        <f>($G25/$E25)*1000</f>
        <v>40.099458615621522</v>
      </c>
      <c r="J25" s="138">
        <v>1.4498100377777776</v>
      </c>
      <c r="K25" s="138">
        <f>($J25/$D25)</f>
        <v>8.0924897737033206</v>
      </c>
      <c r="L25" s="242">
        <f>($J25/$E25)*1000</f>
        <v>24.203888250093058</v>
      </c>
      <c r="M25" s="138">
        <v>6.1836647175000001</v>
      </c>
      <c r="N25" s="138">
        <f>($M25/$D25)</f>
        <v>34.515724257972721</v>
      </c>
      <c r="O25" s="242">
        <f>($M25/$E25)*1000</f>
        <v>103.23333809153418</v>
      </c>
      <c r="P25" s="138">
        <v>3.428085195</v>
      </c>
      <c r="Q25" s="138">
        <f>($P25/$D25)</f>
        <v>19.134744318947405</v>
      </c>
      <c r="R25" s="363">
        <f>($P25/$E25)*1000</f>
        <v>57.230250039347787</v>
      </c>
      <c r="S25" s="362">
        <v>0</v>
      </c>
      <c r="T25" s="138">
        <f>($S25/$D25)</f>
        <v>0</v>
      </c>
      <c r="U25" s="242">
        <f>($S25/$E25)*1000</f>
        <v>0</v>
      </c>
      <c r="V25" s="138">
        <v>3.581983E-3</v>
      </c>
      <c r="W25" s="138">
        <f>($V25/$D25)</f>
        <v>1.999376472900528E-2</v>
      </c>
      <c r="X25" s="242">
        <f>($V25/$E25)*1000</f>
        <v>5.9799500615005309E-2</v>
      </c>
      <c r="Y25" s="138">
        <v>0</v>
      </c>
      <c r="Z25" s="138">
        <f>($Y25/$D25)</f>
        <v>0</v>
      </c>
      <c r="AA25" s="242">
        <f>($Y25/$E25)*1000</f>
        <v>0</v>
      </c>
      <c r="AB25" s="138">
        <v>0</v>
      </c>
      <c r="AC25" s="138">
        <f>($AB25/$D25)</f>
        <v>0</v>
      </c>
      <c r="AD25" s="242">
        <f>($AB25/$E25)*1000</f>
        <v>0</v>
      </c>
      <c r="AE25" s="138">
        <v>0.40048737600000001</v>
      </c>
      <c r="AF25" s="138">
        <f>($AE25/$D25)</f>
        <v>2.2354238902531574</v>
      </c>
      <c r="AG25" s="242">
        <f>($AE25/$E25)*1000</f>
        <v>6.6859460492732268</v>
      </c>
      <c r="AH25" s="138">
        <v>2.8561E-4</v>
      </c>
      <c r="AI25" s="138">
        <f>($AH25/$D25)</f>
        <v>1.5942060987590388E-3</v>
      </c>
      <c r="AJ25" s="242">
        <f>($AH25/$E25)*1000</f>
        <v>4.7681229560976885E-3</v>
      </c>
      <c r="AK25" s="138">
        <v>8.5086800000000007E-5</v>
      </c>
      <c r="AL25" s="138">
        <f>($AK25/$D25)</f>
        <v>4.7493398509817792E-4</v>
      </c>
      <c r="AM25" s="364">
        <f>($AK25/$E25)*1000</f>
        <v>1.4204836117113996E-3</v>
      </c>
      <c r="AN25" s="138">
        <v>1.07606033575</v>
      </c>
      <c r="AO25" s="365">
        <f>($AN25/$D25)</f>
        <v>6.0063091274302334</v>
      </c>
      <c r="AP25" s="361">
        <f>($AN25/$E25)*1000</f>
        <v>17.964314936577015</v>
      </c>
      <c r="AQ25" s="362">
        <v>118.6456527</v>
      </c>
      <c r="AR25" s="138">
        <f>($AQ25/$D25)</f>
        <v>662.25140270153997</v>
      </c>
      <c r="AS25" s="364">
        <f>($AQ25/$E25)*1000</f>
        <v>1980.7326784078418</v>
      </c>
      <c r="AT25" s="138">
        <v>4.3204178000000003E-2</v>
      </c>
      <c r="AU25" s="138">
        <f>($AT25/$D25)</f>
        <v>0.24115529589114909</v>
      </c>
      <c r="AV25" s="242">
        <f>($AT25/$E25)*1000</f>
        <v>0.72127317993463369</v>
      </c>
      <c r="AW25" s="138">
        <v>5.4290155430000002</v>
      </c>
      <c r="AX25" s="138">
        <f>($AW25/$D25)</f>
        <v>30.30345467213408</v>
      </c>
      <c r="AY25" s="242">
        <f>($AW25/$E25)*1000</f>
        <v>90.634829451312839</v>
      </c>
      <c r="AZ25" s="138">
        <v>4.4371439999999998E-2</v>
      </c>
      <c r="BA25" s="138">
        <f>($AZ25/$D25)</f>
        <v>0.24767067070032828</v>
      </c>
      <c r="BB25" s="242">
        <f>($AZ25/$E25)*1000</f>
        <v>0.74076006322996812</v>
      </c>
      <c r="BC25" s="138">
        <v>142.94098320000001</v>
      </c>
      <c r="BD25" s="138">
        <f>($BC25/$D25)</f>
        <v>797.86207478748406</v>
      </c>
      <c r="BE25" s="242">
        <f>($BC25/$E25)*1000</f>
        <v>2386.3316528241103</v>
      </c>
      <c r="BF25" s="138">
        <v>48.856801330000003</v>
      </c>
      <c r="BG25" s="138">
        <f>($BF25/$D25)</f>
        <v>272.70687527098045</v>
      </c>
      <c r="BH25" s="242">
        <f>($BF25/$E25)*1000</f>
        <v>815.64103491851506</v>
      </c>
      <c r="BI25" s="138">
        <v>3.8376095999999998E-2</v>
      </c>
      <c r="BJ25" s="138">
        <f>($BI25/$D25)</f>
        <v>0.21420610724331204</v>
      </c>
      <c r="BK25" s="242">
        <f>($BI25/$E25)*1000</f>
        <v>0.64067064984772482</v>
      </c>
      <c r="BL25" s="138">
        <v>0.476766105</v>
      </c>
      <c r="BM25" s="138">
        <f>($BL25/$D25)</f>
        <v>2.6611933485262851</v>
      </c>
      <c r="BN25" s="242">
        <f>($BL25/$E25)*1000</f>
        <v>7.9593831096242456</v>
      </c>
      <c r="BO25" s="138">
        <v>0.25482745099999998</v>
      </c>
      <c r="BP25" s="138">
        <f>($BO25/$D25)</f>
        <v>1.4223853384525056</v>
      </c>
      <c r="BQ25" s="242">
        <f>($BO25/$E25)*1000</f>
        <v>4.2542229577289268</v>
      </c>
      <c r="BR25" s="138">
        <v>48.373263829999999</v>
      </c>
      <c r="BS25" s="138">
        <f>($BR25/$D25)</f>
        <v>270.00788562958587</v>
      </c>
      <c r="BT25" s="363">
        <f>($BR25/$E25)*1000</f>
        <v>807.5686065935821</v>
      </c>
    </row>
    <row r="26" spans="2:72" x14ac:dyDescent="0.35">
      <c r="B26" s="237">
        <v>18</v>
      </c>
      <c r="C26" s="239" t="s">
        <v>82</v>
      </c>
      <c r="D26" s="360">
        <v>0.39882403599999999</v>
      </c>
      <c r="E26" s="138">
        <v>81.918043040000001</v>
      </c>
      <c r="F26" s="361">
        <f>$E26/$D26</f>
        <v>205.39896206255733</v>
      </c>
      <c r="G26" s="362">
        <v>1.8222013933333332</v>
      </c>
      <c r="H26" s="138">
        <f>$G26/$D26</f>
        <v>4.5689357432141655</v>
      </c>
      <c r="I26" s="242">
        <f>($G26/$E26)*1000</f>
        <v>22.244200736626059</v>
      </c>
      <c r="J26" s="138">
        <v>1.1220806288888889</v>
      </c>
      <c r="K26" s="138">
        <f>($J26/$D26)</f>
        <v>2.8134729294221601</v>
      </c>
      <c r="L26" s="242">
        <f>($J26/$E26)*1000</f>
        <v>13.697600519350601</v>
      </c>
      <c r="M26" s="138">
        <v>12.239233165</v>
      </c>
      <c r="N26" s="138">
        <f>($M26/$D26)</f>
        <v>30.688303763617697</v>
      </c>
      <c r="O26" s="242">
        <f>($M26/$E26)*1000</f>
        <v>149.40827088635004</v>
      </c>
      <c r="P26" s="138">
        <v>4.2049975899999996</v>
      </c>
      <c r="Q26" s="138">
        <f>($P26/$D26)</f>
        <v>10.543490889300362</v>
      </c>
      <c r="R26" s="363">
        <f>($P26/$E26)*1000</f>
        <v>51.331763234953364</v>
      </c>
      <c r="S26" s="362">
        <v>0</v>
      </c>
      <c r="T26" s="138">
        <f>($S26/$D26)</f>
        <v>0</v>
      </c>
      <c r="U26" s="242">
        <f>($S26/$E26)*1000</f>
        <v>0</v>
      </c>
      <c r="V26" s="138">
        <v>2.0001028000000001E-2</v>
      </c>
      <c r="W26" s="138">
        <f>($V26/$D26)</f>
        <v>5.0150006505625955E-2</v>
      </c>
      <c r="X26" s="242">
        <f>($V26/$E26)*1000</f>
        <v>0.24415900646251573</v>
      </c>
      <c r="Y26" s="138">
        <v>0</v>
      </c>
      <c r="Z26" s="138">
        <f>($Y26/$D26)</f>
        <v>0</v>
      </c>
      <c r="AA26" s="242">
        <f>($Y26/$E26)*1000</f>
        <v>0</v>
      </c>
      <c r="AB26" s="138">
        <v>0</v>
      </c>
      <c r="AC26" s="138">
        <f>($AB26/$D26)</f>
        <v>0</v>
      </c>
      <c r="AD26" s="242">
        <f>($AB26/$E26)*1000</f>
        <v>0</v>
      </c>
      <c r="AE26" s="138">
        <v>0.35467990100000002</v>
      </c>
      <c r="AF26" s="138">
        <f>($AE26/$D26)</f>
        <v>0.8893142563754608</v>
      </c>
      <c r="AG26" s="242">
        <f>($AE26/$E26)*1000</f>
        <v>4.3296920658469871</v>
      </c>
      <c r="AH26" s="138">
        <v>1.4968340000000001E-3</v>
      </c>
      <c r="AI26" s="138">
        <f>($AH26/$D26)</f>
        <v>3.7531188315841628E-3</v>
      </c>
      <c r="AJ26" s="242">
        <f>($AH26/$E26)*1000</f>
        <v>1.8272335915899586E-2</v>
      </c>
      <c r="AK26" s="138">
        <v>4.4592500000000001E-4</v>
      </c>
      <c r="AL26" s="138">
        <f>($AK26/$D26)</f>
        <v>1.118099612230994E-3</v>
      </c>
      <c r="AM26" s="364">
        <f>($AK26/$E26)*1000</f>
        <v>5.4435504493467691E-3</v>
      </c>
      <c r="AN26" s="138">
        <v>5.7296677450000004</v>
      </c>
      <c r="AO26" s="365">
        <f>($AN26/$D26)</f>
        <v>14.366405301108784</v>
      </c>
      <c r="AP26" s="361">
        <f>($AN26/$E26)*1000</f>
        <v>69.943904082306318</v>
      </c>
      <c r="AQ26" s="362">
        <v>123.4710762</v>
      </c>
      <c r="AR26" s="138">
        <f>($AQ26/$D26)</f>
        <v>309.58785091879469</v>
      </c>
      <c r="AS26" s="364">
        <f>($AQ26/$E26)*1000</f>
        <v>1507.251291876076</v>
      </c>
      <c r="AT26" s="138">
        <v>0.236320168</v>
      </c>
      <c r="AU26" s="138">
        <f>($AT26/$D26)</f>
        <v>0.59254244144904045</v>
      </c>
      <c r="AV26" s="242">
        <f>($AT26/$E26)*1000</f>
        <v>2.8848365906959783</v>
      </c>
      <c r="AW26" s="138">
        <v>7.2367864559999999</v>
      </c>
      <c r="AX26" s="138">
        <f>($AW26/$D26)</f>
        <v>18.145311723388708</v>
      </c>
      <c r="AY26" s="242">
        <f>($AW26/$E26)*1000</f>
        <v>88.341788785973904</v>
      </c>
      <c r="AZ26" s="138">
        <v>0.13292690600000001</v>
      </c>
      <c r="BA26" s="138">
        <f>($AZ26/$D26)</f>
        <v>0.33329712856122845</v>
      </c>
      <c r="BB26" s="242">
        <f>($AZ26/$E26)*1000</f>
        <v>1.6226816592175273</v>
      </c>
      <c r="BC26" s="138">
        <v>168.0602658</v>
      </c>
      <c r="BD26" s="138">
        <f>($BC26/$D26)</f>
        <v>421.38951173945793</v>
      </c>
      <c r="BE26" s="242">
        <f>($BC26/$E26)*1000</f>
        <v>2051.5659256891349</v>
      </c>
      <c r="BF26" s="138">
        <v>39.213726559999998</v>
      </c>
      <c r="BG26" s="138">
        <f>($BF26/$D26)</f>
        <v>98.323378283048115</v>
      </c>
      <c r="BH26" s="242">
        <f>($BF26/$E26)*1000</f>
        <v>478.69462092560263</v>
      </c>
      <c r="BI26" s="138">
        <v>4.3497265E-2</v>
      </c>
      <c r="BJ26" s="138">
        <f>($BI26/$D26)</f>
        <v>0.10906380025701359</v>
      </c>
      <c r="BK26" s="242">
        <f>($BI26/$E26)*1000</f>
        <v>0.53098515767473342</v>
      </c>
      <c r="BL26" s="138">
        <v>0.40562320800000001</v>
      </c>
      <c r="BM26" s="138">
        <f>($BL26/$D26)</f>
        <v>1.0170480497318872</v>
      </c>
      <c r="BN26" s="242">
        <f>($BL26/$E26)*1000</f>
        <v>4.9515734622949559</v>
      </c>
      <c r="BO26" s="138">
        <v>0.835094271</v>
      </c>
      <c r="BP26" s="138">
        <f>($BO26/$D26)</f>
        <v>2.0938915301483987</v>
      </c>
      <c r="BQ26" s="242">
        <f>($BO26/$E26)*1000</f>
        <v>10.194265390253882</v>
      </c>
      <c r="BR26" s="138">
        <v>61.259930429999997</v>
      </c>
      <c r="BS26" s="138">
        <f>($BR26/$D26)</f>
        <v>153.60140036795576</v>
      </c>
      <c r="BT26" s="363">
        <f>($BR26/$E26)*1000</f>
        <v>747.8197495524546</v>
      </c>
    </row>
    <row r="27" spans="2:72" x14ac:dyDescent="0.35">
      <c r="B27" s="237">
        <v>19</v>
      </c>
      <c r="C27" s="239" t="s">
        <v>84</v>
      </c>
      <c r="D27" s="360">
        <v>0.13796008500000001</v>
      </c>
      <c r="E27" s="138">
        <v>51.949069000000001</v>
      </c>
      <c r="F27" s="361">
        <f>$E27/$D27</f>
        <v>376.55144239727019</v>
      </c>
      <c r="G27" s="362">
        <v>2.1691696899999999</v>
      </c>
      <c r="H27" s="138">
        <f>$G27/$D27</f>
        <v>15.723168697670777</v>
      </c>
      <c r="I27" s="242">
        <f>($G27/$E27)*1000</f>
        <v>41.755699028985482</v>
      </c>
      <c r="J27" s="138">
        <v>1.2998590255555555</v>
      </c>
      <c r="K27" s="138">
        <f>($J27/$D27)</f>
        <v>9.4219935103371046</v>
      </c>
      <c r="L27" s="242">
        <f>($J27/$E27)*1000</f>
        <v>25.021796358959879</v>
      </c>
      <c r="M27" s="138">
        <v>4.8440232999999999</v>
      </c>
      <c r="N27" s="138">
        <f>($M27/$D27)</f>
        <v>35.111773814868258</v>
      </c>
      <c r="O27" s="242">
        <f>($M27/$E27)*1000</f>
        <v>93.24562293888269</v>
      </c>
      <c r="P27" s="138">
        <v>3.2977147449999999</v>
      </c>
      <c r="Q27" s="138">
        <f>($P27/$D27)</f>
        <v>23.903397457315279</v>
      </c>
      <c r="R27" s="363">
        <f>($P27/$E27)*1000</f>
        <v>63.479766018520941</v>
      </c>
      <c r="S27" s="362">
        <v>0</v>
      </c>
      <c r="T27" s="138">
        <f>($S27/$D27)</f>
        <v>0</v>
      </c>
      <c r="U27" s="242">
        <f>($S27/$E27)*1000</f>
        <v>0</v>
      </c>
      <c r="V27" s="138">
        <v>0</v>
      </c>
      <c r="W27" s="138">
        <f>($V27/$D27)</f>
        <v>0</v>
      </c>
      <c r="X27" s="242">
        <f>($V27/$E27)*1000</f>
        <v>0</v>
      </c>
      <c r="Y27" s="138">
        <v>0</v>
      </c>
      <c r="Z27" s="138">
        <f>($Y27/$D27)</f>
        <v>0</v>
      </c>
      <c r="AA27" s="242">
        <f>($Y27/$E27)*1000</f>
        <v>0</v>
      </c>
      <c r="AB27" s="138">
        <v>0</v>
      </c>
      <c r="AC27" s="138">
        <f>($AB27/$D27)</f>
        <v>0</v>
      </c>
      <c r="AD27" s="242">
        <f>($AB27/$E27)*1000</f>
        <v>0</v>
      </c>
      <c r="AE27" s="138">
        <v>0.41031443099999998</v>
      </c>
      <c r="AF27" s="138">
        <f>($AE27/$D27)</f>
        <v>2.9741532197519303</v>
      </c>
      <c r="AG27" s="242">
        <f>($AE27/$E27)*1000</f>
        <v>7.8983981599362245</v>
      </c>
      <c r="AH27" s="138">
        <v>0</v>
      </c>
      <c r="AI27" s="138">
        <f>($AH27/$D27)</f>
        <v>0</v>
      </c>
      <c r="AJ27" s="242">
        <f>($AH27/$E27)*1000</f>
        <v>0</v>
      </c>
      <c r="AK27" s="138">
        <v>1.3645053000000001E-2</v>
      </c>
      <c r="AL27" s="138">
        <f>($AK27/$D27)</f>
        <v>9.8905803080651916E-2</v>
      </c>
      <c r="AM27" s="364">
        <f>($AK27/$E27)*1000</f>
        <v>0.26266212778519671</v>
      </c>
      <c r="AN27" s="138">
        <v>5.2820544749999997E-2</v>
      </c>
      <c r="AO27" s="365">
        <f>($AN27/$D27)</f>
        <v>0.38286831114956177</v>
      </c>
      <c r="AP27" s="361">
        <f>($AN27/$E27)*1000</f>
        <v>1.0167755797510056</v>
      </c>
      <c r="AQ27" s="362">
        <v>118.9063348</v>
      </c>
      <c r="AR27" s="138">
        <f>($AQ27/$D27)</f>
        <v>861.88939938678629</v>
      </c>
      <c r="AS27" s="364">
        <f>($AQ27/$E27)*1000</f>
        <v>2288.9021322018302</v>
      </c>
      <c r="AT27" s="138">
        <v>3.4173680000000001E-3</v>
      </c>
      <c r="AU27" s="138">
        <f>($AT27/$D27)</f>
        <v>2.4770700887869125E-2</v>
      </c>
      <c r="AV27" s="242">
        <f>($AT27/$E27)*1000</f>
        <v>6.5783046083078014E-2</v>
      </c>
      <c r="AW27" s="138">
        <v>5.1156247099999996</v>
      </c>
      <c r="AX27" s="138">
        <f>($AW27/$D27)</f>
        <v>37.080469398087132</v>
      </c>
      <c r="AY27" s="242">
        <f>($AW27/$E27)*1000</f>
        <v>98.473847721890834</v>
      </c>
      <c r="AZ27" s="138">
        <v>3.3004309000000003E-2</v>
      </c>
      <c r="BA27" s="138">
        <f>($AZ27/$D27)</f>
        <v>0.23923085434457364</v>
      </c>
      <c r="BB27" s="242">
        <f>($AZ27/$E27)*1000</f>
        <v>0.63532050978622923</v>
      </c>
      <c r="BC27" s="138">
        <v>140.2640476</v>
      </c>
      <c r="BD27" s="138">
        <f>($BC27/$D27)</f>
        <v>1016.7002115140766</v>
      </c>
      <c r="BE27" s="242">
        <f>($BC27/$E27)*1000</f>
        <v>2700.0300544365869</v>
      </c>
      <c r="BF27" s="138">
        <v>51.959146369999999</v>
      </c>
      <c r="BG27" s="138">
        <f>($BF27/$D27)</f>
        <v>376.62448794519077</v>
      </c>
      <c r="BH27" s="242">
        <f>($BF27/$E27)*1000</f>
        <v>1000.1939855746018</v>
      </c>
      <c r="BI27" s="138">
        <v>3.7178596000000001E-2</v>
      </c>
      <c r="BJ27" s="138">
        <f>($BI27/$D27)</f>
        <v>0.26948806243487017</v>
      </c>
      <c r="BK27" s="242">
        <f>($BI27/$E27)*1000</f>
        <v>0.71567396135626604</v>
      </c>
      <c r="BL27" s="138">
        <v>0.49752933999999999</v>
      </c>
      <c r="BM27" s="138">
        <f>($BL27/$D27)</f>
        <v>3.6063281636858946</v>
      </c>
      <c r="BN27" s="242">
        <f>($BL27/$E27)*1000</f>
        <v>9.5772522891603682</v>
      </c>
      <c r="BO27" s="138">
        <v>0.104615605</v>
      </c>
      <c r="BP27" s="138">
        <f>($BO27/$D27)</f>
        <v>0.75830342522621663</v>
      </c>
      <c r="BQ27" s="242">
        <f>($BO27/$E27)*1000</f>
        <v>2.0138109693553892</v>
      </c>
      <c r="BR27" s="138">
        <v>45.255177510000003</v>
      </c>
      <c r="BS27" s="138">
        <f>($BR27/$D27)</f>
        <v>328.03094829928528</v>
      </c>
      <c r="BT27" s="363">
        <f>($BR27/$E27)*1000</f>
        <v>871.14511157071934</v>
      </c>
    </row>
    <row r="28" spans="2:72" x14ac:dyDescent="0.35">
      <c r="B28" s="237">
        <v>20</v>
      </c>
      <c r="C28" s="239" t="s">
        <v>86</v>
      </c>
      <c r="D28" s="360">
        <v>0.46322319499999998</v>
      </c>
      <c r="E28" s="138">
        <v>174.98075349999999</v>
      </c>
      <c r="F28" s="361">
        <f>$E28/$D28</f>
        <v>377.74609602612838</v>
      </c>
      <c r="G28" s="362">
        <v>12.937886299999999</v>
      </c>
      <c r="H28" s="138">
        <f>$G28/$D28</f>
        <v>27.930134845687075</v>
      </c>
      <c r="I28" s="242">
        <f>($G28/$E28)*1000</f>
        <v>73.938910658537083</v>
      </c>
      <c r="J28" s="138">
        <v>4.0485086355555557</v>
      </c>
      <c r="K28" s="138">
        <f>($J28/$D28)</f>
        <v>8.7398659636539922</v>
      </c>
      <c r="L28" s="242">
        <f>($J28/$E28)*1000</f>
        <v>23.136879654341847</v>
      </c>
      <c r="M28" s="138">
        <v>1.2505040995000001</v>
      </c>
      <c r="N28" s="138">
        <f>($M28/$D28)</f>
        <v>2.6995714225838801</v>
      </c>
      <c r="O28" s="242">
        <f>($M28/$E28)*1000</f>
        <v>7.1465236861035697</v>
      </c>
      <c r="P28" s="138">
        <v>12.482852617500001</v>
      </c>
      <c r="Q28" s="138">
        <f>($P28/$D28)</f>
        <v>26.947814255069851</v>
      </c>
      <c r="R28" s="363">
        <f>($P28/$E28)*1000</f>
        <v>71.338432186486173</v>
      </c>
      <c r="S28" s="362">
        <v>0</v>
      </c>
      <c r="T28" s="138">
        <f>($S28/$D28)</f>
        <v>0</v>
      </c>
      <c r="U28" s="242">
        <f>($S28/$E28)*1000</f>
        <v>0</v>
      </c>
      <c r="V28" s="138">
        <v>0</v>
      </c>
      <c r="W28" s="138">
        <f>($V28/$D28)</f>
        <v>0</v>
      </c>
      <c r="X28" s="242">
        <f>($V28/$E28)*1000</f>
        <v>0</v>
      </c>
      <c r="Y28" s="138">
        <v>0</v>
      </c>
      <c r="Z28" s="138">
        <f>($Y28/$D28)</f>
        <v>0</v>
      </c>
      <c r="AA28" s="242">
        <f>($Y28/$E28)*1000</f>
        <v>0</v>
      </c>
      <c r="AB28" s="138">
        <v>0</v>
      </c>
      <c r="AC28" s="138">
        <f>($AB28/$D28)</f>
        <v>0</v>
      </c>
      <c r="AD28" s="242">
        <f>($AB28/$E28)*1000</f>
        <v>0</v>
      </c>
      <c r="AE28" s="138">
        <v>4.3193482999999998E-2</v>
      </c>
      <c r="AF28" s="138">
        <f>($AE28/$D28)</f>
        <v>9.3245509867009135E-2</v>
      </c>
      <c r="AG28" s="242">
        <f>($AE28/$E28)*1000</f>
        <v>0.24684705109582236</v>
      </c>
      <c r="AH28" s="138">
        <v>1.8310033349999999</v>
      </c>
      <c r="AI28" s="138">
        <f>($AH28/$D28)</f>
        <v>3.952745360689462</v>
      </c>
      <c r="AJ28" s="242">
        <f>($AH28/$E28)*1000</f>
        <v>10.464027033693165</v>
      </c>
      <c r="AK28" s="138">
        <v>2.5194615929999999</v>
      </c>
      <c r="AL28" s="138">
        <f>($AK28/$D28)</f>
        <v>5.4389797838167411</v>
      </c>
      <c r="AM28" s="364">
        <f>($AK28/$E28)*1000</f>
        <v>14.39850693636429</v>
      </c>
      <c r="AN28" s="138">
        <v>0</v>
      </c>
      <c r="AO28" s="365">
        <f>($AN28/$D28)</f>
        <v>0</v>
      </c>
      <c r="AP28" s="361">
        <f>($AN28/$E28)*1000</f>
        <v>0</v>
      </c>
      <c r="AQ28" s="362">
        <v>66.315670780000005</v>
      </c>
      <c r="AR28" s="138">
        <f>($AQ28/$D28)</f>
        <v>143.16137770259974</v>
      </c>
      <c r="AS28" s="364">
        <f>($AQ28/$E28)*1000</f>
        <v>378.98837131250559</v>
      </c>
      <c r="AT28" s="138">
        <v>0</v>
      </c>
      <c r="AU28" s="138">
        <f>($AT28/$D28)</f>
        <v>0</v>
      </c>
      <c r="AV28" s="242">
        <f>($AT28/$E28)*1000</f>
        <v>0</v>
      </c>
      <c r="AW28" s="138">
        <v>34.094028680000001</v>
      </c>
      <c r="AX28" s="138">
        <f>($AW28/$D28)</f>
        <v>73.601730327860636</v>
      </c>
      <c r="AY28" s="242">
        <f>($AW28/$E28)*1000</f>
        <v>194.84445002118477</v>
      </c>
      <c r="AZ28" s="138">
        <v>1.6641498880000001</v>
      </c>
      <c r="BA28" s="138">
        <f>($AZ28/$D28)</f>
        <v>3.5925443845703802</v>
      </c>
      <c r="BB28" s="242">
        <f>($AZ28/$E28)*1000</f>
        <v>9.5104738933473634</v>
      </c>
      <c r="BC28" s="138">
        <v>149.41297560000001</v>
      </c>
      <c r="BD28" s="138">
        <f>($BC28/$D28)</f>
        <v>322.55072114858154</v>
      </c>
      <c r="BE28" s="242">
        <f>($BC28/$E28)*1000</f>
        <v>853.88234197997099</v>
      </c>
      <c r="BF28" s="138">
        <v>167.614969</v>
      </c>
      <c r="BG28" s="138">
        <f>($BF28/$D28)</f>
        <v>361.84493956525648</v>
      </c>
      <c r="BH28" s="242">
        <f>($BF28/$E28)*1000</f>
        <v>957.90517326809902</v>
      </c>
      <c r="BI28" s="138">
        <v>0.16007956400000001</v>
      </c>
      <c r="BJ28" s="138">
        <f>($BI28/$D28)</f>
        <v>0.3455776086514839</v>
      </c>
      <c r="BK28" s="242">
        <f>($BI28/$E28)*1000</f>
        <v>0.91484097992525804</v>
      </c>
      <c r="BL28" s="138">
        <v>0.76232781299999997</v>
      </c>
      <c r="BM28" s="138">
        <f>($BL28/$D28)</f>
        <v>1.6457030244351214</v>
      </c>
      <c r="BN28" s="242">
        <f>($BL28/$E28)*1000</f>
        <v>4.3566380744840032</v>
      </c>
      <c r="BO28" s="138">
        <v>0</v>
      </c>
      <c r="BP28" s="138">
        <f>($BO28/$D28)</f>
        <v>0</v>
      </c>
      <c r="BQ28" s="242">
        <f>($BO28/$E28)*1000</f>
        <v>0</v>
      </c>
      <c r="BR28" s="138">
        <v>151.4638333</v>
      </c>
      <c r="BS28" s="138">
        <f>($BR28/$D28)</f>
        <v>326.97808515396127</v>
      </c>
      <c r="BT28" s="363">
        <f>($BR28/$E28)*1000</f>
        <v>865.60281785505072</v>
      </c>
    </row>
    <row r="29" spans="2:72" x14ac:dyDescent="0.35">
      <c r="B29" s="237">
        <v>21</v>
      </c>
      <c r="C29" s="239" t="s">
        <v>88</v>
      </c>
      <c r="D29" s="360">
        <v>1.233554998</v>
      </c>
      <c r="E29" s="138">
        <v>717.21969290000004</v>
      </c>
      <c r="F29" s="361">
        <f>$E29/$D29</f>
        <v>581.42498231765103</v>
      </c>
      <c r="G29" s="362">
        <v>80.492662844444439</v>
      </c>
      <c r="H29" s="138">
        <f>$G29/$D29</f>
        <v>65.252593500046302</v>
      </c>
      <c r="I29" s="242">
        <f>($G29/$E29)*1000</f>
        <v>112.22874056759524</v>
      </c>
      <c r="J29" s="138">
        <v>50.05467562222222</v>
      </c>
      <c r="K29" s="138">
        <f>($J29/$D29)</f>
        <v>40.577579194585873</v>
      </c>
      <c r="L29" s="242">
        <f>($J29/$E29)*1000</f>
        <v>69.78987905342025</v>
      </c>
      <c r="M29" s="138">
        <v>0.67733715250000004</v>
      </c>
      <c r="N29" s="138">
        <f>($M29/$D29)</f>
        <v>0.54909359825722182</v>
      </c>
      <c r="O29" s="242">
        <f>($M29/$E29)*1000</f>
        <v>0.94439285368930792</v>
      </c>
      <c r="P29" s="138">
        <v>0.77091054275000004</v>
      </c>
      <c r="Q29" s="138">
        <f>($P29/$D29)</f>
        <v>0.6249502810980464</v>
      </c>
      <c r="R29" s="363">
        <f>($P29/$E29)*1000</f>
        <v>1.074859698334421</v>
      </c>
      <c r="S29" s="362">
        <v>0</v>
      </c>
      <c r="T29" s="138">
        <f>($S29/$D29)</f>
        <v>0</v>
      </c>
      <c r="U29" s="242">
        <f>($S29/$E29)*1000</f>
        <v>0</v>
      </c>
      <c r="V29" s="138">
        <v>0</v>
      </c>
      <c r="W29" s="138">
        <f>($V29/$D29)</f>
        <v>0</v>
      </c>
      <c r="X29" s="242">
        <f>($V29/$E29)*1000</f>
        <v>0</v>
      </c>
      <c r="Y29" s="138">
        <v>0</v>
      </c>
      <c r="Z29" s="138">
        <f>($Y29/$D29)</f>
        <v>0</v>
      </c>
      <c r="AA29" s="242">
        <f>($Y29/$E29)*1000</f>
        <v>0</v>
      </c>
      <c r="AB29" s="138">
        <v>0</v>
      </c>
      <c r="AC29" s="138">
        <f>($AB29/$D29)</f>
        <v>0</v>
      </c>
      <c r="AD29" s="242">
        <f>($AB29/$E29)*1000</f>
        <v>0</v>
      </c>
      <c r="AE29" s="138">
        <v>0</v>
      </c>
      <c r="AF29" s="138">
        <f>($AE29/$D29)</f>
        <v>0</v>
      </c>
      <c r="AG29" s="242">
        <f>($AE29/$E29)*1000</f>
        <v>0</v>
      </c>
      <c r="AH29" s="138">
        <v>0</v>
      </c>
      <c r="AI29" s="138">
        <f>($AH29/$D29)</f>
        <v>0</v>
      </c>
      <c r="AJ29" s="242">
        <f>($AH29/$E29)*1000</f>
        <v>0</v>
      </c>
      <c r="AK29" s="138">
        <v>0</v>
      </c>
      <c r="AL29" s="138">
        <f>($AK29/$D29)</f>
        <v>0</v>
      </c>
      <c r="AM29" s="364">
        <f>($AK29/$E29)*1000</f>
        <v>0</v>
      </c>
      <c r="AN29" s="138">
        <v>0</v>
      </c>
      <c r="AO29" s="365">
        <f>($AN29/$D29)</f>
        <v>0</v>
      </c>
      <c r="AP29" s="361">
        <f>($AN29/$E29)*1000</f>
        <v>0</v>
      </c>
      <c r="AQ29" s="362">
        <v>23.780307059999998</v>
      </c>
      <c r="AR29" s="138">
        <f>($AQ29/$D29)</f>
        <v>19.277865274394518</v>
      </c>
      <c r="AS29" s="364">
        <f>($AQ29/$E29)*1000</f>
        <v>33.156238312206547</v>
      </c>
      <c r="AT29" s="138">
        <v>0</v>
      </c>
      <c r="AU29" s="138">
        <f>($AT29/$D29)</f>
        <v>0</v>
      </c>
      <c r="AV29" s="242">
        <f>($AT29/$E29)*1000</f>
        <v>0</v>
      </c>
      <c r="AW29" s="138">
        <v>3.219692937</v>
      </c>
      <c r="AX29" s="138">
        <f>($AW29/$D29)</f>
        <v>2.6100927337817814</v>
      </c>
      <c r="AY29" s="242">
        <f>($AW29/$E29)*1000</f>
        <v>4.4891306929701287</v>
      </c>
      <c r="AZ29" s="138">
        <v>2.6590788000000001E-2</v>
      </c>
      <c r="BA29" s="138">
        <f>($AZ29/$D29)</f>
        <v>2.1556224118999517E-2</v>
      </c>
      <c r="BB29" s="242">
        <f>($AZ29/$E29)*1000</f>
        <v>3.707481579665365E-2</v>
      </c>
      <c r="BC29" s="138">
        <v>27.734779929999998</v>
      </c>
      <c r="BD29" s="138">
        <f>($BC29/$D29)</f>
        <v>22.483618464492654</v>
      </c>
      <c r="BE29" s="242">
        <f>($BC29/$E29)*1000</f>
        <v>38.669852772526959</v>
      </c>
      <c r="BF29" s="138">
        <v>683.78030709999996</v>
      </c>
      <c r="BG29" s="138">
        <f>($BF29/$D29)</f>
        <v>554.31683889946828</v>
      </c>
      <c r="BH29" s="242">
        <f>($BF29/$E29)*1000</f>
        <v>953.37636970787628</v>
      </c>
      <c r="BI29" s="138">
        <v>4.0984649999999999E-3</v>
      </c>
      <c r="BJ29" s="138">
        <f>($BI29/$D29)</f>
        <v>3.3224825862202862E-3</v>
      </c>
      <c r="BK29" s="242">
        <f>($BI29/$E29)*1000</f>
        <v>5.7143787887757253E-3</v>
      </c>
      <c r="BL29" s="138">
        <v>0.14803070600000001</v>
      </c>
      <c r="BM29" s="138">
        <f>($BL29/$D29)</f>
        <v>0.12000332878550747</v>
      </c>
      <c r="BN29" s="242">
        <f>($BL29/$E29)*1000</f>
        <v>0.2063952056328151</v>
      </c>
      <c r="BO29" s="138">
        <v>0</v>
      </c>
      <c r="BP29" s="138">
        <f>($BO29/$D29)</f>
        <v>0</v>
      </c>
      <c r="BQ29" s="242">
        <f>($BO29/$E29)*1000</f>
        <v>0</v>
      </c>
      <c r="BR29" s="138">
        <v>629.81842380000001</v>
      </c>
      <c r="BS29" s="138">
        <f>($BR29/$D29)</f>
        <v>510.57182275710744</v>
      </c>
      <c r="BT29" s="363">
        <f>($BR29/$E29)*1000</f>
        <v>878.13877677200628</v>
      </c>
    </row>
    <row r="30" spans="2:72" x14ac:dyDescent="0.35">
      <c r="B30" s="237">
        <v>22</v>
      </c>
      <c r="C30" s="239" t="s">
        <v>90</v>
      </c>
      <c r="D30" s="360">
        <v>0.70164592000000003</v>
      </c>
      <c r="E30" s="138">
        <v>322.02716620000001</v>
      </c>
      <c r="F30" s="361">
        <f>$E30/$D30</f>
        <v>458.95965047441592</v>
      </c>
      <c r="G30" s="362">
        <v>29.752850300000002</v>
      </c>
      <c r="H30" s="138">
        <f>$G30/$D30</f>
        <v>42.404365865905696</v>
      </c>
      <c r="I30" s="242">
        <f>($G30/$E30)*1000</f>
        <v>92.392361337370929</v>
      </c>
      <c r="J30" s="138">
        <v>7.3456130000000002</v>
      </c>
      <c r="K30" s="138">
        <f>($J30/$D30)</f>
        <v>10.46911667354953</v>
      </c>
      <c r="L30" s="242">
        <f>($J30/$E30)*1000</f>
        <v>22.810538274394816</v>
      </c>
      <c r="M30" s="138">
        <v>13.146452972500001</v>
      </c>
      <c r="N30" s="138">
        <f>($M30/$D30)</f>
        <v>18.736591488339304</v>
      </c>
      <c r="O30" s="242">
        <f>($M30/$E30)*1000</f>
        <v>40.824049497535839</v>
      </c>
      <c r="P30" s="138">
        <v>1.51228403525</v>
      </c>
      <c r="Q30" s="138">
        <f>($P30/$D30)</f>
        <v>2.1553378878765517</v>
      </c>
      <c r="R30" s="363">
        <f>($P30/$E30)*1000</f>
        <v>4.6961380715028636</v>
      </c>
      <c r="S30" s="362">
        <v>3.362828E-3</v>
      </c>
      <c r="T30" s="138">
        <f>($S30/$D30)</f>
        <v>4.7927706898088993E-3</v>
      </c>
      <c r="U30" s="242">
        <f>($S30/$E30)*1000</f>
        <v>1.0442684198610322E-2</v>
      </c>
      <c r="V30" s="138">
        <v>0</v>
      </c>
      <c r="W30" s="138">
        <f>($V30/$D30)</f>
        <v>0</v>
      </c>
      <c r="X30" s="242">
        <f>($V30/$E30)*1000</f>
        <v>0</v>
      </c>
      <c r="Y30" s="138">
        <v>0</v>
      </c>
      <c r="Z30" s="138">
        <f>($Y30/$D30)</f>
        <v>0</v>
      </c>
      <c r="AA30" s="242">
        <f>($Y30/$E30)*1000</f>
        <v>0</v>
      </c>
      <c r="AB30" s="138">
        <v>0</v>
      </c>
      <c r="AC30" s="138">
        <f>($AB30/$D30)</f>
        <v>0</v>
      </c>
      <c r="AD30" s="242">
        <f>($AB30/$E30)*1000</f>
        <v>0</v>
      </c>
      <c r="AE30" s="138">
        <v>3.6629960000000003E-2</v>
      </c>
      <c r="AF30" s="138">
        <f>($AE30/$D30)</f>
        <v>5.2205762131418081E-2</v>
      </c>
      <c r="AG30" s="242">
        <f>($AE30/$E30)*1000</f>
        <v>0.11374804316121079</v>
      </c>
      <c r="AH30" s="138">
        <v>2.211801E-2</v>
      </c>
      <c r="AI30" s="138">
        <f>($AH30/$D30)</f>
        <v>3.1523036576625425E-2</v>
      </c>
      <c r="AJ30" s="242">
        <f>($AH30/$E30)*1000</f>
        <v>6.8683677408331645E-2</v>
      </c>
      <c r="AK30" s="138">
        <v>18.997708859999999</v>
      </c>
      <c r="AL30" s="138">
        <f>($AK30/$D30)</f>
        <v>27.075920088012481</v>
      </c>
      <c r="AM30" s="364">
        <f>($AK30/$E30)*1000</f>
        <v>58.994118676935393</v>
      </c>
      <c r="AN30" s="138">
        <v>9.0956827924999999</v>
      </c>
      <c r="AO30" s="365">
        <f>($AN30/$D30)</f>
        <v>12.963351646796434</v>
      </c>
      <c r="AP30" s="361">
        <f>($AN30/$E30)*1000</f>
        <v>28.24507913363739</v>
      </c>
      <c r="AQ30" s="362">
        <v>33.086624129999997</v>
      </c>
      <c r="AR30" s="138">
        <f>($AQ30/$D30)</f>
        <v>47.155727963186898</v>
      </c>
      <c r="AS30" s="364">
        <f>($AQ30/$E30)*1000</f>
        <v>102.74482280619465</v>
      </c>
      <c r="AT30" s="138">
        <v>0.20053968699999999</v>
      </c>
      <c r="AU30" s="138">
        <f>($AT30/$D30)</f>
        <v>0.28581323041114526</v>
      </c>
      <c r="AV30" s="242">
        <f>($AT30/$E30)*1000</f>
        <v>0.62274152012209949</v>
      </c>
      <c r="AW30" s="138">
        <v>2.9444772549999998</v>
      </c>
      <c r="AX30" s="138">
        <f>($AW30/$D30)</f>
        <v>4.1965287206401767</v>
      </c>
      <c r="AY30" s="242">
        <f>($AW30/$E30)*1000</f>
        <v>9.1435678851121711</v>
      </c>
      <c r="AZ30" s="138">
        <v>0.26876545800000001</v>
      </c>
      <c r="BA30" s="138">
        <f>($AZ30/$D30)</f>
        <v>0.3830499833876323</v>
      </c>
      <c r="BB30" s="242">
        <f>($AZ30/$E30)*1000</f>
        <v>0.83460492222286309</v>
      </c>
      <c r="BC30" s="138">
        <v>109.3808016</v>
      </c>
      <c r="BD30" s="138">
        <f>($BC30/$D30)</f>
        <v>155.89173753051966</v>
      </c>
      <c r="BE30" s="242">
        <f>($BC30/$E30)*1000</f>
        <v>339.66327403591578</v>
      </c>
      <c r="BF30" s="138">
        <v>84.598319020000005</v>
      </c>
      <c r="BG30" s="138">
        <f>($BF30/$D30)</f>
        <v>120.5712405767285</v>
      </c>
      <c r="BH30" s="242">
        <f>($BF30/$E30)*1000</f>
        <v>262.70553512078197</v>
      </c>
      <c r="BI30" s="138">
        <v>0.116992369</v>
      </c>
      <c r="BJ30" s="138">
        <f>($BI30/$D30)</f>
        <v>0.1667398978105652</v>
      </c>
      <c r="BK30" s="242">
        <f>($BI30/$E30)*1000</f>
        <v>0.36329968797520656</v>
      </c>
      <c r="BL30" s="138">
        <v>0.10162753400000001</v>
      </c>
      <c r="BM30" s="138">
        <f>($BL30/$D30)</f>
        <v>0.14484162325065611</v>
      </c>
      <c r="BN30" s="242">
        <f>($BL30/$E30)*1000</f>
        <v>0.31558683448738184</v>
      </c>
      <c r="BO30" s="138">
        <v>0.31933567299999999</v>
      </c>
      <c r="BP30" s="138">
        <f>($BO30/$D30)</f>
        <v>0.45512367976143858</v>
      </c>
      <c r="BQ30" s="242">
        <f>($BO30/$E30)*1000</f>
        <v>0.99164203060331746</v>
      </c>
      <c r="BR30" s="138">
        <v>429.60022759999998</v>
      </c>
      <c r="BS30" s="138">
        <f>($BR30/$D30)</f>
        <v>612.27495999691689</v>
      </c>
      <c r="BT30" s="363">
        <f>($BR30/$E30)*1000</f>
        <v>1334.049647641187</v>
      </c>
    </row>
    <row r="31" spans="2:72" x14ac:dyDescent="0.35">
      <c r="B31" s="237">
        <v>23</v>
      </c>
      <c r="C31" s="239" t="s">
        <v>92</v>
      </c>
      <c r="D31" s="360">
        <v>0.87686034099999999</v>
      </c>
      <c r="E31" s="138">
        <v>61.866232969999999</v>
      </c>
      <c r="F31" s="361">
        <f>$E31/$D31</f>
        <v>70.554260555843754</v>
      </c>
      <c r="G31" s="362">
        <v>0.27313969822222223</v>
      </c>
      <c r="H31" s="138">
        <f>$G31/$D31</f>
        <v>0.31149737928701948</v>
      </c>
      <c r="I31" s="242">
        <f>($G31/$E31)*1000</f>
        <v>4.4150045203927695</v>
      </c>
      <c r="J31" s="138">
        <v>4.2341734888888892E-2</v>
      </c>
      <c r="K31" s="138">
        <f>($J31/$D31)</f>
        <v>4.8287889084595845E-2</v>
      </c>
      <c r="L31" s="242">
        <f>($J31/$E31)*1000</f>
        <v>0.68440784020939383</v>
      </c>
      <c r="M31" s="138">
        <v>15.800976070000001</v>
      </c>
      <c r="N31" s="138">
        <f>($M31/$D31)</f>
        <v>18.019946086260504</v>
      </c>
      <c r="O31" s="242">
        <f>($M31/$E31)*1000</f>
        <v>255.40549846734916</v>
      </c>
      <c r="P31" s="138">
        <v>0.82323130649999998</v>
      </c>
      <c r="Q31" s="138">
        <f>($P31/$D31)</f>
        <v>0.93883970799860816</v>
      </c>
      <c r="R31" s="363">
        <f>($P31/$E31)*1000</f>
        <v>13.306633796487963</v>
      </c>
      <c r="S31" s="362">
        <v>0</v>
      </c>
      <c r="T31" s="138">
        <f>($S31/$D31)</f>
        <v>0</v>
      </c>
      <c r="U31" s="242">
        <f>($S31/$E31)*1000</f>
        <v>0</v>
      </c>
      <c r="V31" s="138">
        <v>0.68230275399999996</v>
      </c>
      <c r="W31" s="138">
        <f>($V31/$D31)</f>
        <v>0.77812021150583655</v>
      </c>
      <c r="X31" s="242">
        <f>($V31/$E31)*1000</f>
        <v>11.028677862621121</v>
      </c>
      <c r="Y31" s="138">
        <v>0</v>
      </c>
      <c r="Z31" s="138">
        <f>($Y31/$D31)</f>
        <v>0</v>
      </c>
      <c r="AA31" s="242">
        <f>($Y31/$E31)*1000</f>
        <v>0</v>
      </c>
      <c r="AB31" s="138">
        <v>0</v>
      </c>
      <c r="AC31" s="138">
        <f>($AB31/$D31)</f>
        <v>0</v>
      </c>
      <c r="AD31" s="242">
        <f>($AB31/$E31)*1000</f>
        <v>0</v>
      </c>
      <c r="AE31" s="138">
        <v>0</v>
      </c>
      <c r="AF31" s="138">
        <f>($AE31/$D31)</f>
        <v>0</v>
      </c>
      <c r="AG31" s="242">
        <f>($AE31/$E31)*1000</f>
        <v>0</v>
      </c>
      <c r="AH31" s="138">
        <v>0</v>
      </c>
      <c r="AI31" s="138">
        <f>($AH31/$D31)</f>
        <v>0</v>
      </c>
      <c r="AJ31" s="242">
        <f>($AH31/$E31)*1000</f>
        <v>0</v>
      </c>
      <c r="AK31" s="138">
        <v>0</v>
      </c>
      <c r="AL31" s="138">
        <f>($AK31/$D31)</f>
        <v>0</v>
      </c>
      <c r="AM31" s="364">
        <f>($AK31/$E31)*1000</f>
        <v>0</v>
      </c>
      <c r="AN31" s="138">
        <v>0</v>
      </c>
      <c r="AO31" s="365">
        <f>($AN31/$D31)</f>
        <v>0</v>
      </c>
      <c r="AP31" s="361">
        <f>($AN31/$E31)*1000</f>
        <v>0</v>
      </c>
      <c r="AQ31" s="362">
        <v>14.01955244</v>
      </c>
      <c r="AR31" s="138">
        <f>($AQ31/$D31)</f>
        <v>15.988352744989752</v>
      </c>
      <c r="AS31" s="364">
        <f>($AQ31/$E31)*1000</f>
        <v>226.6107336258589</v>
      </c>
      <c r="AT31" s="138">
        <v>1.830492236</v>
      </c>
      <c r="AU31" s="138">
        <f>($AT31/$D31)</f>
        <v>2.0875527725571978</v>
      </c>
      <c r="AV31" s="242">
        <f>($AT31/$E31)*1000</f>
        <v>29.587905196808045</v>
      </c>
      <c r="AW31" s="138">
        <v>14.83125085</v>
      </c>
      <c r="AX31" s="138">
        <f>($AW31/$D31)</f>
        <v>16.914039963406214</v>
      </c>
      <c r="AY31" s="242">
        <f>($AW31/$E31)*1000</f>
        <v>239.73095076262246</v>
      </c>
      <c r="AZ31" s="138">
        <v>0.39002451799999999</v>
      </c>
      <c r="BA31" s="138">
        <f>($AZ31/$D31)</f>
        <v>0.44479662240762691</v>
      </c>
      <c r="BB31" s="242">
        <f>($AZ31/$E31)*1000</f>
        <v>6.3043198086608827</v>
      </c>
      <c r="BC31" s="138">
        <v>184.71006539999999</v>
      </c>
      <c r="BD31" s="138">
        <f>($BC31/$D31)</f>
        <v>210.64935516338969</v>
      </c>
      <c r="BE31" s="242">
        <f>($BC31/$E31)*1000</f>
        <v>2985.6362111067774</v>
      </c>
      <c r="BF31" s="138">
        <v>10.259595879999999</v>
      </c>
      <c r="BG31" s="138">
        <f>($BF31/$D31)</f>
        <v>11.700376217607952</v>
      </c>
      <c r="BH31" s="242">
        <f>($BF31/$E31)*1000</f>
        <v>165.83514766407475</v>
      </c>
      <c r="BI31" s="138">
        <v>7.5477897000000002E-2</v>
      </c>
      <c r="BJ31" s="138">
        <f>($BI31/$D31)</f>
        <v>8.6077444116040833E-2</v>
      </c>
      <c r="BK31" s="242">
        <f>($BI31/$E31)*1000</f>
        <v>1.2200176635386955</v>
      </c>
      <c r="BL31" s="138">
        <v>0</v>
      </c>
      <c r="BM31" s="138">
        <f>($BL31/$D31)</f>
        <v>0</v>
      </c>
      <c r="BN31" s="242">
        <f>($BL31/$E31)*1000</f>
        <v>0</v>
      </c>
      <c r="BO31" s="138">
        <v>25.8783894</v>
      </c>
      <c r="BP31" s="138">
        <f>($BO31/$D31)</f>
        <v>29.512555409322591</v>
      </c>
      <c r="BQ31" s="242">
        <f>($BO31/$E31)*1000</f>
        <v>418.29586444270615</v>
      </c>
      <c r="BR31" s="138">
        <v>1.8048731790000001</v>
      </c>
      <c r="BS31" s="138">
        <f>($BR31/$D31)</f>
        <v>2.0583359682360181</v>
      </c>
      <c r="BT31" s="363">
        <f>($BR31/$E31)*1000</f>
        <v>29.173801157009418</v>
      </c>
    </row>
    <row r="32" spans="2:72" x14ac:dyDescent="0.35">
      <c r="B32" s="237">
        <v>24</v>
      </c>
      <c r="C32" s="239" t="s">
        <v>94</v>
      </c>
      <c r="D32" s="360">
        <v>0.88180850300000002</v>
      </c>
      <c r="E32" s="138">
        <v>107.2653497</v>
      </c>
      <c r="F32" s="361">
        <f>$E32/$D32</f>
        <v>121.64245336155484</v>
      </c>
      <c r="G32" s="362">
        <v>1.9970640077777777</v>
      </c>
      <c r="H32" s="138">
        <f>$G32/$D32</f>
        <v>2.2647366190999154</v>
      </c>
      <c r="I32" s="242">
        <f>($G32/$E32)*1000</f>
        <v>18.617978810148585</v>
      </c>
      <c r="J32" s="138">
        <v>1.0063791175555556</v>
      </c>
      <c r="K32" s="138">
        <f>($J32/$D32)</f>
        <v>1.1412671959181093</v>
      </c>
      <c r="L32" s="242">
        <f>($J32/$E32)*1000</f>
        <v>9.382145495914564</v>
      </c>
      <c r="M32" s="138">
        <v>23.9626779725</v>
      </c>
      <c r="N32" s="138">
        <f>($M32/$D32)</f>
        <v>27.174469163062721</v>
      </c>
      <c r="O32" s="242">
        <f>($M32/$E32)*1000</f>
        <v>223.39626020442648</v>
      </c>
      <c r="P32" s="138">
        <v>0.63510603575000002</v>
      </c>
      <c r="Q32" s="138">
        <f>($P32/$D32)</f>
        <v>0.72023124475360156</v>
      </c>
      <c r="R32" s="363">
        <f>($P32/$E32)*1000</f>
        <v>5.9208871972754125</v>
      </c>
      <c r="S32" s="362">
        <v>0</v>
      </c>
      <c r="T32" s="138">
        <f>($S32/$D32)</f>
        <v>0</v>
      </c>
      <c r="U32" s="242">
        <f>($S32/$E32)*1000</f>
        <v>0</v>
      </c>
      <c r="V32" s="138">
        <v>0.59401469600000001</v>
      </c>
      <c r="W32" s="138">
        <f>($V32/$D32)</f>
        <v>0.67363230676400043</v>
      </c>
      <c r="X32" s="242">
        <f>($V32/$E32)*1000</f>
        <v>5.5378059891786284</v>
      </c>
      <c r="Y32" s="138">
        <v>0</v>
      </c>
      <c r="Z32" s="138">
        <f>($Y32/$D32)</f>
        <v>0</v>
      </c>
      <c r="AA32" s="242">
        <f>($Y32/$E32)*1000</f>
        <v>0</v>
      </c>
      <c r="AB32" s="138">
        <v>0</v>
      </c>
      <c r="AC32" s="138">
        <f>($AB32/$D32)</f>
        <v>0</v>
      </c>
      <c r="AD32" s="242">
        <f>($AB32/$E32)*1000</f>
        <v>0</v>
      </c>
      <c r="AE32" s="138">
        <v>0</v>
      </c>
      <c r="AF32" s="138">
        <f>($AE32/$D32)</f>
        <v>0</v>
      </c>
      <c r="AG32" s="242">
        <f>($AE32/$E32)*1000</f>
        <v>0</v>
      </c>
      <c r="AH32" s="138">
        <v>5.9505198000000002E-2</v>
      </c>
      <c r="AI32" s="138">
        <f>($AH32/$D32)</f>
        <v>6.7480862111850157E-2</v>
      </c>
      <c r="AJ32" s="242">
        <f>($AH32/$E32)*1000</f>
        <v>0.55474762508512099</v>
      </c>
      <c r="AK32" s="138">
        <v>0.42129525000000001</v>
      </c>
      <c r="AL32" s="138">
        <f>($AK32/$D32)</f>
        <v>0.4777627439140264</v>
      </c>
      <c r="AM32" s="364">
        <f>($AK32/$E32)*1000</f>
        <v>3.927598718302598</v>
      </c>
      <c r="AN32" s="138">
        <v>9.9115297775000002</v>
      </c>
      <c r="AO32" s="365">
        <f>($AN32/$D32)</f>
        <v>11.24000249915939</v>
      </c>
      <c r="AP32" s="361">
        <f>($AN32/$E32)*1000</f>
        <v>92.40197142153167</v>
      </c>
      <c r="AQ32" s="362">
        <v>8.1901439109999998</v>
      </c>
      <c r="AR32" s="138">
        <f>($AQ32/$D32)</f>
        <v>9.287894007753744</v>
      </c>
      <c r="AS32" s="364">
        <f>($AQ32/$E32)*1000</f>
        <v>76.354050342503101</v>
      </c>
      <c r="AT32" s="138">
        <v>2.1331635690000001</v>
      </c>
      <c r="AU32" s="138">
        <f>($AT32/$D32)</f>
        <v>2.4190780217504888</v>
      </c>
      <c r="AV32" s="242">
        <f>($AT32/$E32)*1000</f>
        <v>19.886790794660506</v>
      </c>
      <c r="AW32" s="138">
        <v>5.9245795120000002</v>
      </c>
      <c r="AX32" s="138">
        <f>($AW32/$D32)</f>
        <v>6.7186690668597464</v>
      </c>
      <c r="AY32" s="242">
        <f>($AW32/$E32)*1000</f>
        <v>55.232929632634203</v>
      </c>
      <c r="AZ32" s="138">
        <v>0.33355625100000003</v>
      </c>
      <c r="BA32" s="138">
        <f>($AZ32/$D32)</f>
        <v>0.37826381789834024</v>
      </c>
      <c r="BB32" s="242">
        <f>($AZ32/$E32)*1000</f>
        <v>3.1096365409043183</v>
      </c>
      <c r="BC32" s="138">
        <v>106.08899479999999</v>
      </c>
      <c r="BD32" s="138">
        <f>($BC32/$D32)</f>
        <v>120.30842800797986</v>
      </c>
      <c r="BE32" s="242">
        <f>($BC32/$E32)*1000</f>
        <v>989.03322551700023</v>
      </c>
      <c r="BF32" s="138">
        <v>17.150538650000001</v>
      </c>
      <c r="BG32" s="138">
        <f>($BF32/$D32)</f>
        <v>19.449277923327081</v>
      </c>
      <c r="BH32" s="242">
        <f>($BF32/$E32)*1000</f>
        <v>159.88889886591215</v>
      </c>
      <c r="BI32" s="138">
        <v>5.3377240999999999E-2</v>
      </c>
      <c r="BJ32" s="138">
        <f>($BI32/$D32)</f>
        <v>6.0531556248783411E-2</v>
      </c>
      <c r="BK32" s="242">
        <f>($BI32/$E32)*1000</f>
        <v>0.49761867321819769</v>
      </c>
      <c r="BL32" s="138">
        <v>1.708989E-3</v>
      </c>
      <c r="BM32" s="138">
        <f>($BL32/$D32)</f>
        <v>1.9380500348838208E-3</v>
      </c>
      <c r="BN32" s="242">
        <f>($BL32/$E32)*1000</f>
        <v>1.593234912093891E-2</v>
      </c>
      <c r="BO32" s="138">
        <v>4.0681763630000001</v>
      </c>
      <c r="BP32" s="138">
        <f>($BO32/$D32)</f>
        <v>4.6134465126608104</v>
      </c>
      <c r="BQ32" s="242">
        <f>($BO32/$E32)*1000</f>
        <v>37.926286301940799</v>
      </c>
      <c r="BR32" s="138">
        <v>5.1960109860000001</v>
      </c>
      <c r="BS32" s="138">
        <f>($BR32/$D32)</f>
        <v>5.8924482677618268</v>
      </c>
      <c r="BT32" s="363">
        <f>($BR32/$E32)*1000</f>
        <v>48.440722008852035</v>
      </c>
    </row>
    <row r="33" spans="2:72" x14ac:dyDescent="0.35">
      <c r="B33" s="237">
        <v>25</v>
      </c>
      <c r="C33" s="239" t="s">
        <v>96</v>
      </c>
      <c r="D33" s="360">
        <v>0.45716896299999998</v>
      </c>
      <c r="E33" s="138">
        <v>71.458800800000006</v>
      </c>
      <c r="F33" s="361">
        <f>$E33/$D33</f>
        <v>156.30720058308071</v>
      </c>
      <c r="G33" s="362">
        <v>0.12094849511111111</v>
      </c>
      <c r="H33" s="138">
        <f>$G33/$D33</f>
        <v>0.26455972495908719</v>
      </c>
      <c r="I33" s="242">
        <f>($G33/$E33)*1000</f>
        <v>1.6925626200980286</v>
      </c>
      <c r="J33" s="138">
        <v>1.8791948444444442E-2</v>
      </c>
      <c r="K33" s="138">
        <f>($J33/$D33)</f>
        <v>4.1105039854694693E-2</v>
      </c>
      <c r="L33" s="242">
        <f>($J33/$E33)*1000</f>
        <v>0.26297598384052984</v>
      </c>
      <c r="M33" s="138">
        <v>18.5375907725</v>
      </c>
      <c r="N33" s="138">
        <f>($M33/$D33)</f>
        <v>40.548664220016178</v>
      </c>
      <c r="O33" s="242">
        <f>($M33/$E33)*1000</f>
        <v>259.41648285399157</v>
      </c>
      <c r="P33" s="138">
        <v>0.31967204249999998</v>
      </c>
      <c r="Q33" s="138">
        <f>($P33/$D33)</f>
        <v>0.69924266162399129</v>
      </c>
      <c r="R33" s="363">
        <f>($P33/$E33)*1000</f>
        <v>4.4735153531991534</v>
      </c>
      <c r="S33" s="362">
        <v>0</v>
      </c>
      <c r="T33" s="138">
        <f>($S33/$D33)</f>
        <v>0</v>
      </c>
      <c r="U33" s="242">
        <f>($S33/$E33)*1000</f>
        <v>0</v>
      </c>
      <c r="V33" s="138">
        <v>0.35927682900000002</v>
      </c>
      <c r="W33" s="138">
        <f>($V33/$D33)</f>
        <v>0.78587318492134828</v>
      </c>
      <c r="X33" s="242">
        <f>($V33/$E33)*1000</f>
        <v>5.0277478068173798</v>
      </c>
      <c r="Y33" s="138">
        <v>0</v>
      </c>
      <c r="Z33" s="138">
        <f>($Y33/$D33)</f>
        <v>0</v>
      </c>
      <c r="AA33" s="242">
        <f>($Y33/$E33)*1000</f>
        <v>0</v>
      </c>
      <c r="AB33" s="138">
        <v>0</v>
      </c>
      <c r="AC33" s="138">
        <f>($AB33/$D33)</f>
        <v>0</v>
      </c>
      <c r="AD33" s="242">
        <f>($AB33/$E33)*1000</f>
        <v>0</v>
      </c>
      <c r="AE33" s="138">
        <v>0</v>
      </c>
      <c r="AF33" s="138">
        <f>($AE33/$D33)</f>
        <v>0</v>
      </c>
      <c r="AG33" s="242">
        <f>($AE33/$E33)*1000</f>
        <v>0</v>
      </c>
      <c r="AH33" s="138">
        <v>0</v>
      </c>
      <c r="AI33" s="138">
        <f>($AH33/$D33)</f>
        <v>0</v>
      </c>
      <c r="AJ33" s="242">
        <f>($AH33/$E33)*1000</f>
        <v>0</v>
      </c>
      <c r="AK33" s="138">
        <v>0</v>
      </c>
      <c r="AL33" s="138">
        <f>($AK33/$D33)</f>
        <v>0</v>
      </c>
      <c r="AM33" s="364">
        <f>($AK33/$E33)*1000</f>
        <v>0</v>
      </c>
      <c r="AN33" s="138">
        <v>8.1288683800000001</v>
      </c>
      <c r="AO33" s="365">
        <f>($AN33/$D33)</f>
        <v>17.780884176076494</v>
      </c>
      <c r="AP33" s="361">
        <f>($AN33/$E33)*1000</f>
        <v>113.75601450059598</v>
      </c>
      <c r="AQ33" s="362">
        <v>3.2878484559999999</v>
      </c>
      <c r="AR33" s="138">
        <f>($AQ33/$D33)</f>
        <v>7.1917578009336562</v>
      </c>
      <c r="AS33" s="364">
        <f>($AQ33/$E33)*1000</f>
        <v>46.010406264752206</v>
      </c>
      <c r="AT33" s="138">
        <v>1.2089466950000001</v>
      </c>
      <c r="AU33" s="138">
        <f>($AT33/$D33)</f>
        <v>2.6444198815832562</v>
      </c>
      <c r="AV33" s="242">
        <f>($AT33/$E33)*1000</f>
        <v>16.918093803219826</v>
      </c>
      <c r="AW33" s="138">
        <v>1.681566637</v>
      </c>
      <c r="AX33" s="138">
        <f>($AW33/$D33)</f>
        <v>3.6782169681103221</v>
      </c>
      <c r="AY33" s="242">
        <f>($AW33/$E33)*1000</f>
        <v>23.531973923077643</v>
      </c>
      <c r="AZ33" s="138">
        <v>0.224613384</v>
      </c>
      <c r="BA33" s="138">
        <f>($AZ33/$D33)</f>
        <v>0.49131372026232673</v>
      </c>
      <c r="BB33" s="242">
        <f>($AZ33/$E33)*1000</f>
        <v>3.1432571143847126</v>
      </c>
      <c r="BC33" s="138">
        <v>77.539488879999993</v>
      </c>
      <c r="BD33" s="138">
        <f>($BC33/$D33)</f>
        <v>169.60794619821993</v>
      </c>
      <c r="BE33" s="242">
        <f>($BC33/$E33)*1000</f>
        <v>1085.0936205467358</v>
      </c>
      <c r="BF33" s="138">
        <v>5.6508164169999997</v>
      </c>
      <c r="BG33" s="138">
        <f>($BF33/$D33)</f>
        <v>12.36045504908871</v>
      </c>
      <c r="BH33" s="242">
        <f>($BF33/$E33)*1000</f>
        <v>79.077963158318212</v>
      </c>
      <c r="BI33" s="138">
        <v>2.5485645000000001E-2</v>
      </c>
      <c r="BJ33" s="138">
        <f>($BI33/$D33)</f>
        <v>5.5746664937094605E-2</v>
      </c>
      <c r="BK33" s="242">
        <f>($BI33/$E33)*1000</f>
        <v>0.35664809253278151</v>
      </c>
      <c r="BL33" s="138">
        <v>0</v>
      </c>
      <c r="BM33" s="138">
        <f>($BL33/$D33)</f>
        <v>0</v>
      </c>
      <c r="BN33" s="242">
        <f>($BL33/$E33)*1000</f>
        <v>0</v>
      </c>
      <c r="BO33" s="138">
        <v>1.8158056490000001</v>
      </c>
      <c r="BP33" s="138">
        <f>($BO33/$D33)</f>
        <v>3.9718480385992434</v>
      </c>
      <c r="BQ33" s="242">
        <f>($BO33/$E33)*1000</f>
        <v>25.410525067193682</v>
      </c>
      <c r="BR33" s="138">
        <v>3.4279335870000001</v>
      </c>
      <c r="BS33" s="138">
        <f>($BR33/$D33)</f>
        <v>7.4981765264760556</v>
      </c>
      <c r="BT33" s="363">
        <f>($BR33/$E33)*1000</f>
        <v>47.970768451518708</v>
      </c>
    </row>
    <row r="34" spans="2:72" x14ac:dyDescent="0.35">
      <c r="B34" s="237">
        <v>26</v>
      </c>
      <c r="C34" s="239" t="s">
        <v>97</v>
      </c>
      <c r="D34" s="360">
        <v>0.37930762000000001</v>
      </c>
      <c r="E34" s="138">
        <v>59.183070870000002</v>
      </c>
      <c r="F34" s="361">
        <f>$E34/$D34</f>
        <v>156.02921678715549</v>
      </c>
      <c r="G34" s="362">
        <v>0.2149257381111111</v>
      </c>
      <c r="H34" s="138">
        <f>$G34/$D34</f>
        <v>0.56662647091326845</v>
      </c>
      <c r="I34" s="242">
        <f>($G34/$E34)*1000</f>
        <v>3.6315408266531386</v>
      </c>
      <c r="J34" s="138">
        <v>5.0356196888888892E-2</v>
      </c>
      <c r="K34" s="138">
        <f>($J34/$D34)</f>
        <v>0.13275820003006766</v>
      </c>
      <c r="L34" s="242">
        <f>($J34/$E34)*1000</f>
        <v>0.85085474864087418</v>
      </c>
      <c r="M34" s="138">
        <v>15.284187915</v>
      </c>
      <c r="N34" s="138">
        <f>($M34/$D34)</f>
        <v>40.294966694842564</v>
      </c>
      <c r="O34" s="242">
        <f>($M34/$E34)*1000</f>
        <v>258.25270115795189</v>
      </c>
      <c r="P34" s="138">
        <v>0.67722674525000004</v>
      </c>
      <c r="Q34" s="138">
        <f>($P34/$D34)</f>
        <v>1.785428790621185</v>
      </c>
      <c r="R34" s="363">
        <f>($P34/$E34)*1000</f>
        <v>11.442913240132111</v>
      </c>
      <c r="S34" s="362">
        <v>0</v>
      </c>
      <c r="T34" s="138">
        <f>($S34/$D34)</f>
        <v>0</v>
      </c>
      <c r="U34" s="242">
        <f>($S34/$E34)*1000</f>
        <v>0</v>
      </c>
      <c r="V34" s="138">
        <v>0.71494369400000002</v>
      </c>
      <c r="W34" s="138">
        <f>($V34/$D34)</f>
        <v>1.8848650970945429</v>
      </c>
      <c r="X34" s="242">
        <f>($V34/$E34)*1000</f>
        <v>12.080206104384592</v>
      </c>
      <c r="Y34" s="138">
        <v>0</v>
      </c>
      <c r="Z34" s="138">
        <f>($Y34/$D34)</f>
        <v>0</v>
      </c>
      <c r="AA34" s="242">
        <f>($Y34/$E34)*1000</f>
        <v>0</v>
      </c>
      <c r="AB34" s="138">
        <v>0</v>
      </c>
      <c r="AC34" s="138">
        <f>($AB34/$D34)</f>
        <v>0</v>
      </c>
      <c r="AD34" s="242">
        <f>($AB34/$E34)*1000</f>
        <v>0</v>
      </c>
      <c r="AE34" s="138">
        <v>0</v>
      </c>
      <c r="AF34" s="138">
        <f>($AE34/$D34)</f>
        <v>0</v>
      </c>
      <c r="AG34" s="242">
        <f>($AE34/$E34)*1000</f>
        <v>0</v>
      </c>
      <c r="AH34" s="138">
        <v>0</v>
      </c>
      <c r="AI34" s="138">
        <f>($AH34/$D34)</f>
        <v>0</v>
      </c>
      <c r="AJ34" s="242">
        <f>($AH34/$E34)*1000</f>
        <v>0</v>
      </c>
      <c r="AK34" s="138">
        <v>0</v>
      </c>
      <c r="AL34" s="138">
        <f>($AK34/$D34)</f>
        <v>0</v>
      </c>
      <c r="AM34" s="364">
        <f>($AK34/$E34)*1000</f>
        <v>0</v>
      </c>
      <c r="AN34" s="138">
        <v>0</v>
      </c>
      <c r="AO34" s="365">
        <f>($AN34/$D34)</f>
        <v>0</v>
      </c>
      <c r="AP34" s="361">
        <f>($AN34/$E34)*1000</f>
        <v>0</v>
      </c>
      <c r="AQ34" s="362">
        <v>10.3873596</v>
      </c>
      <c r="AR34" s="138">
        <f>($AQ34/$D34)</f>
        <v>27.385053851541393</v>
      </c>
      <c r="AS34" s="364">
        <f>($AQ34/$E34)*1000</f>
        <v>175.51234579930136</v>
      </c>
      <c r="AT34" s="138">
        <v>2.1177121759999999</v>
      </c>
      <c r="AU34" s="138">
        <f>($AT34/$D34)</f>
        <v>5.5830994800473555</v>
      </c>
      <c r="AV34" s="242">
        <f>($AT34/$E34)*1000</f>
        <v>35.782397649687894</v>
      </c>
      <c r="AW34" s="138">
        <v>11.9473336</v>
      </c>
      <c r="AX34" s="138">
        <f>($AW34/$D34)</f>
        <v>31.497742122871141</v>
      </c>
      <c r="AY34" s="242">
        <f>($AW34/$E34)*1000</f>
        <v>201.87079555643882</v>
      </c>
      <c r="AZ34" s="138">
        <v>0.18739162300000001</v>
      </c>
      <c r="BA34" s="138">
        <f>($AZ34/$D34)</f>
        <v>0.49403600961140726</v>
      </c>
      <c r="BB34" s="242">
        <f>($AZ34/$E34)*1000</f>
        <v>3.166304489532481</v>
      </c>
      <c r="BC34" s="138">
        <v>199.5940703</v>
      </c>
      <c r="BD34" s="138">
        <f>($BC34/$D34)</f>
        <v>526.20632904764739</v>
      </c>
      <c r="BE34" s="242">
        <f>($BC34/$E34)*1000</f>
        <v>3372.4858708062502</v>
      </c>
      <c r="BF34" s="138">
        <v>11.79600172</v>
      </c>
      <c r="BG34" s="138">
        <f>($BF34/$D34)</f>
        <v>31.098773391370305</v>
      </c>
      <c r="BH34" s="242">
        <f>($BF34/$E34)*1000</f>
        <v>199.31378258338083</v>
      </c>
      <c r="BI34" s="138">
        <v>0.142787736</v>
      </c>
      <c r="BJ34" s="138">
        <f>($BI34/$D34)</f>
        <v>0.3764430991394267</v>
      </c>
      <c r="BK34" s="242">
        <f>($BI34/$E34)*1000</f>
        <v>2.4126449320895129</v>
      </c>
      <c r="BL34" s="138">
        <v>0</v>
      </c>
      <c r="BM34" s="138">
        <f>($BL34/$D34)</f>
        <v>0</v>
      </c>
      <c r="BN34" s="242">
        <f>($BL34/$E34)*1000</f>
        <v>0</v>
      </c>
      <c r="BO34" s="138">
        <v>12.71678457</v>
      </c>
      <c r="BP34" s="138">
        <f>($BO34/$D34)</f>
        <v>33.526309252632466</v>
      </c>
      <c r="BQ34" s="242">
        <f>($BO34/$E34)*1000</f>
        <v>214.87199604652753</v>
      </c>
      <c r="BR34" s="138">
        <v>1.399795836</v>
      </c>
      <c r="BS34" s="138">
        <f>($BR34/$D34)</f>
        <v>3.6903973508362422</v>
      </c>
      <c r="BT34" s="363">
        <f>($BR34/$E34)*1000</f>
        <v>23.651963566992919</v>
      </c>
    </row>
    <row r="35" spans="2:72" x14ac:dyDescent="0.35">
      <c r="B35" s="237">
        <v>27</v>
      </c>
      <c r="C35" s="239" t="s">
        <v>98</v>
      </c>
      <c r="D35" s="360">
        <v>0.26141761899999999</v>
      </c>
      <c r="E35" s="138">
        <v>45.432929540000003</v>
      </c>
      <c r="F35" s="361">
        <f>$E35/$D35</f>
        <v>173.7944432123376</v>
      </c>
      <c r="G35" s="362">
        <v>0.1574177201111111</v>
      </c>
      <c r="H35" s="138">
        <f>$G35/$D35</f>
        <v>0.60216951219003767</v>
      </c>
      <c r="I35" s="242">
        <f>($G35/$E35)*1000</f>
        <v>3.464837546355394</v>
      </c>
      <c r="J35" s="138">
        <v>2.705437977777778E-2</v>
      </c>
      <c r="K35" s="138">
        <f>($J35/$D35)</f>
        <v>0.10349103431233447</v>
      </c>
      <c r="L35" s="242">
        <f>($J35/$E35)*1000</f>
        <v>0.59547953547566412</v>
      </c>
      <c r="M35" s="138">
        <v>10.899871902499999</v>
      </c>
      <c r="N35" s="138">
        <f>($M35/$D35)</f>
        <v>41.695245883560737</v>
      </c>
      <c r="O35" s="242">
        <f>($M35/$E35)*1000</f>
        <v>239.91127168904103</v>
      </c>
      <c r="P35" s="138">
        <v>0.39933931150000002</v>
      </c>
      <c r="Q35" s="138">
        <f>($P35/$D35)</f>
        <v>1.5275914187712039</v>
      </c>
      <c r="R35" s="363">
        <f>($P35/$E35)*1000</f>
        <v>8.7896447696249513</v>
      </c>
      <c r="S35" s="362">
        <v>8.7410827999999996E-2</v>
      </c>
      <c r="T35" s="138">
        <f>($S35/$D35)</f>
        <v>0.33437236684494476</v>
      </c>
      <c r="U35" s="242">
        <f>($S35/$E35)*1000</f>
        <v>1.9239531521523803</v>
      </c>
      <c r="V35" s="138">
        <v>0.31481642599999998</v>
      </c>
      <c r="W35" s="138">
        <f>($V35/$D35)</f>
        <v>1.2042662893353029</v>
      </c>
      <c r="X35" s="242">
        <f>($V35/$E35)*1000</f>
        <v>6.9292565807985085</v>
      </c>
      <c r="Y35" s="138">
        <v>0</v>
      </c>
      <c r="Z35" s="138">
        <f>($Y35/$D35)</f>
        <v>0</v>
      </c>
      <c r="AA35" s="242">
        <f>($Y35/$E35)*1000</f>
        <v>0</v>
      </c>
      <c r="AB35" s="138">
        <v>0</v>
      </c>
      <c r="AC35" s="138">
        <f>($AB35/$D35)</f>
        <v>0</v>
      </c>
      <c r="AD35" s="242">
        <f>($AB35/$E35)*1000</f>
        <v>0</v>
      </c>
      <c r="AE35" s="138">
        <v>0</v>
      </c>
      <c r="AF35" s="138">
        <f>($AE35/$D35)</f>
        <v>0</v>
      </c>
      <c r="AG35" s="242">
        <f>($AE35/$E35)*1000</f>
        <v>0</v>
      </c>
      <c r="AH35" s="138">
        <v>0</v>
      </c>
      <c r="AI35" s="138">
        <f>($AH35/$D35)</f>
        <v>0</v>
      </c>
      <c r="AJ35" s="242">
        <f>($AH35/$E35)*1000</f>
        <v>0</v>
      </c>
      <c r="AK35" s="138">
        <v>0</v>
      </c>
      <c r="AL35" s="138">
        <f>($AK35/$D35)</f>
        <v>0</v>
      </c>
      <c r="AM35" s="364">
        <f>($AK35/$E35)*1000</f>
        <v>0</v>
      </c>
      <c r="AN35" s="138">
        <v>0</v>
      </c>
      <c r="AO35" s="365">
        <f>($AN35/$D35)</f>
        <v>0</v>
      </c>
      <c r="AP35" s="361">
        <f>($AN35/$E35)*1000</f>
        <v>0</v>
      </c>
      <c r="AQ35" s="362">
        <v>14.360568969999999</v>
      </c>
      <c r="AR35" s="138">
        <f>($AQ35/$D35)</f>
        <v>54.933439547546335</v>
      </c>
      <c r="AS35" s="364">
        <f>($AQ35/$E35)*1000</f>
        <v>316.0828305680065</v>
      </c>
      <c r="AT35" s="138">
        <v>0.26891058000000001</v>
      </c>
      <c r="AU35" s="138">
        <f>($AT35/$D35)</f>
        <v>1.0286628002682559</v>
      </c>
      <c r="AV35" s="242">
        <f>($AT35/$E35)*1000</f>
        <v>5.9188474686239658</v>
      </c>
      <c r="AW35" s="138">
        <v>9.2418292750000006</v>
      </c>
      <c r="AX35" s="138">
        <f>($AW35/$D35)</f>
        <v>35.352740608505052</v>
      </c>
      <c r="AY35" s="242">
        <f>($AW35/$E35)*1000</f>
        <v>203.41697901878243</v>
      </c>
      <c r="AZ35" s="138">
        <v>0.25943640000000001</v>
      </c>
      <c r="BA35" s="138">
        <f>($AZ35/$D35)</f>
        <v>0.99242124915842045</v>
      </c>
      <c r="BB35" s="242">
        <f>($AZ35/$E35)*1000</f>
        <v>5.7103163416214962</v>
      </c>
      <c r="BC35" s="138">
        <v>125.384261</v>
      </c>
      <c r="BD35" s="138">
        <f>($BC35/$D35)</f>
        <v>479.63202128315612</v>
      </c>
      <c r="BE35" s="242">
        <f>($BC35/$E35)*1000</f>
        <v>2759.7661491233875</v>
      </c>
      <c r="BF35" s="138">
        <v>15.25787302</v>
      </c>
      <c r="BG35" s="138">
        <f>($BF35/$D35)</f>
        <v>58.365893922398556</v>
      </c>
      <c r="BH35" s="242">
        <f>($BF35/$E35)*1000</f>
        <v>335.83291182151663</v>
      </c>
      <c r="BI35" s="138">
        <v>4.8968098000000002E-2</v>
      </c>
      <c r="BJ35" s="138">
        <f>($BI35/$D35)</f>
        <v>0.18731751206103672</v>
      </c>
      <c r="BK35" s="242">
        <f>($BI35/$E35)*1000</f>
        <v>1.0778107090120079</v>
      </c>
      <c r="BL35" s="138">
        <v>1.1669106E-2</v>
      </c>
      <c r="BM35" s="138">
        <f>($BL35/$D35)</f>
        <v>4.4637794669838228E-2</v>
      </c>
      <c r="BN35" s="242">
        <f>($BL35/$E35)*1000</f>
        <v>0.25684247346907929</v>
      </c>
      <c r="BO35" s="138">
        <v>34.755653809999998</v>
      </c>
      <c r="BP35" s="138">
        <f>($BO35/$D35)</f>
        <v>132.95069377095047</v>
      </c>
      <c r="BQ35" s="242">
        <f>($BO35/$E35)*1000</f>
        <v>764.98817403796227</v>
      </c>
      <c r="BR35" s="138">
        <v>39.497692360000002</v>
      </c>
      <c r="BS35" s="138">
        <f>($BR35/$D35)</f>
        <v>151.0903989986995</v>
      </c>
      <c r="BT35" s="363">
        <f>($BR35/$E35)*1000</f>
        <v>869.36265743606725</v>
      </c>
    </row>
    <row r="36" spans="2:72" x14ac:dyDescent="0.35">
      <c r="B36" s="237">
        <v>28</v>
      </c>
      <c r="C36" s="239" t="s">
        <v>100</v>
      </c>
      <c r="D36" s="360">
        <v>0.219824141</v>
      </c>
      <c r="E36" s="138">
        <v>47.467646639999998</v>
      </c>
      <c r="F36" s="361">
        <f>$E36/$D36</f>
        <v>215.93463949894382</v>
      </c>
      <c r="G36" s="362">
        <v>0.12433964000000002</v>
      </c>
      <c r="H36" s="138">
        <f>$G36/$D36</f>
        <v>0.56563232515941009</v>
      </c>
      <c r="I36" s="242">
        <f>($G36/$E36)*1000</f>
        <v>2.6194608075476316</v>
      </c>
      <c r="J36" s="138">
        <v>1.7665212333333333E-2</v>
      </c>
      <c r="K36" s="138">
        <f>($J36/$D36)</f>
        <v>8.0360656718469023E-2</v>
      </c>
      <c r="L36" s="242">
        <f>($J36/$E36)*1000</f>
        <v>0.37215268891058156</v>
      </c>
      <c r="M36" s="138">
        <v>11.416052392499999</v>
      </c>
      <c r="N36" s="138">
        <f>($M36/$D36)</f>
        <v>51.93266008258847</v>
      </c>
      <c r="O36" s="242">
        <f>($M36/$E36)*1000</f>
        <v>240.50175647174237</v>
      </c>
      <c r="P36" s="138">
        <v>0.46650312825000001</v>
      </c>
      <c r="Q36" s="138">
        <f>($P36/$D36)</f>
        <v>2.1221651367672125</v>
      </c>
      <c r="R36" s="363">
        <f>($P36/$E36)*1000</f>
        <v>9.8278124421885185</v>
      </c>
      <c r="S36" s="362">
        <v>0</v>
      </c>
      <c r="T36" s="138">
        <f>($S36/$D36)</f>
        <v>0</v>
      </c>
      <c r="U36" s="242">
        <f>($S36/$E36)*1000</f>
        <v>0</v>
      </c>
      <c r="V36" s="138">
        <v>0.4</v>
      </c>
      <c r="W36" s="138">
        <f>($V36/$D36)</f>
        <v>1.8196363610491717</v>
      </c>
      <c r="X36" s="242">
        <f>($V36/$E36)*1000</f>
        <v>8.4267923167467149</v>
      </c>
      <c r="Y36" s="138">
        <v>0</v>
      </c>
      <c r="Z36" s="138">
        <f>($Y36/$D36)</f>
        <v>0</v>
      </c>
      <c r="AA36" s="242">
        <f>($Y36/$E36)*1000</f>
        <v>0</v>
      </c>
      <c r="AB36" s="138">
        <v>0</v>
      </c>
      <c r="AC36" s="138">
        <f>($AB36/$D36)</f>
        <v>0</v>
      </c>
      <c r="AD36" s="242">
        <f>($AB36/$E36)*1000</f>
        <v>0</v>
      </c>
      <c r="AE36" s="138">
        <v>0</v>
      </c>
      <c r="AF36" s="138">
        <f>($AE36/$D36)</f>
        <v>0</v>
      </c>
      <c r="AG36" s="242">
        <f>($AE36/$E36)*1000</f>
        <v>0</v>
      </c>
      <c r="AH36" s="138">
        <v>0</v>
      </c>
      <c r="AI36" s="138">
        <f>($AH36/$D36)</f>
        <v>0</v>
      </c>
      <c r="AJ36" s="242">
        <f>($AH36/$E36)*1000</f>
        <v>0</v>
      </c>
      <c r="AK36" s="138">
        <v>0</v>
      </c>
      <c r="AL36" s="138">
        <f>($AK36/$D36)</f>
        <v>0</v>
      </c>
      <c r="AM36" s="364">
        <f>($AK36/$E36)*1000</f>
        <v>0</v>
      </c>
      <c r="AN36" s="138">
        <v>0</v>
      </c>
      <c r="AO36" s="365">
        <f>($AN36/$D36)</f>
        <v>0</v>
      </c>
      <c r="AP36" s="361">
        <f>($AN36/$E36)*1000</f>
        <v>0</v>
      </c>
      <c r="AQ36" s="362">
        <v>49.439938609999999</v>
      </c>
      <c r="AR36" s="138">
        <f>($AQ36/$D36)</f>
        <v>224.90677495698708</v>
      </c>
      <c r="AS36" s="364">
        <f>($AQ36/$E36)*1000</f>
        <v>1041.550237047943</v>
      </c>
      <c r="AT36" s="138">
        <v>0.26591551899999999</v>
      </c>
      <c r="AU36" s="138">
        <f>($AT36/$D36)</f>
        <v>1.2096738683491546</v>
      </c>
      <c r="AV36" s="242">
        <f>($AT36/$E36)*1000</f>
        <v>5.6020371310322874</v>
      </c>
      <c r="AW36" s="138">
        <v>12.02169861</v>
      </c>
      <c r="AX36" s="138">
        <f>($AW36/$D36)</f>
        <v>54.687799780825706</v>
      </c>
      <c r="AY36" s="242">
        <f>($AW36/$E36)*1000</f>
        <v>253.26089370248167</v>
      </c>
      <c r="AZ36" s="138">
        <v>0.125507958</v>
      </c>
      <c r="BA36" s="138">
        <f>($AZ36/$D36)</f>
        <v>0.57094710994458064</v>
      </c>
      <c r="BB36" s="242">
        <f>($AZ36/$E36)*1000</f>
        <v>2.6440737404124235</v>
      </c>
      <c r="BC36" s="138">
        <v>152.94486459999999</v>
      </c>
      <c r="BD36" s="138">
        <f>($BC36/$D36)</f>
        <v>695.76009215475563</v>
      </c>
      <c r="BE36" s="242">
        <f>($BC36/$E36)*1000</f>
        <v>3222.0865247428665</v>
      </c>
      <c r="BF36" s="138">
        <v>1.404293566</v>
      </c>
      <c r="BG36" s="138">
        <f>($BF36/$D36)</f>
        <v>6.3882590857025114</v>
      </c>
      <c r="BH36" s="242">
        <f>($BF36/$E36)*1000</f>
        <v>29.584225581064114</v>
      </c>
      <c r="BI36" s="138">
        <v>5.3811523999999999E-2</v>
      </c>
      <c r="BJ36" s="138">
        <f>($BI36/$D36)</f>
        <v>0.24479351428467541</v>
      </c>
      <c r="BK36" s="242">
        <f>($BI36/$E36)*1000</f>
        <v>1.1336463424890786</v>
      </c>
      <c r="BL36" s="138">
        <v>0</v>
      </c>
      <c r="BM36" s="138">
        <f>($BL36/$D36)</f>
        <v>0</v>
      </c>
      <c r="BN36" s="242">
        <f>($BL36/$E36)*1000</f>
        <v>0</v>
      </c>
      <c r="BO36" s="138">
        <v>27.528333880000002</v>
      </c>
      <c r="BP36" s="138">
        <f>($BO36/$D36)</f>
        <v>125.22889321787456</v>
      </c>
      <c r="BQ36" s="242">
        <f>($BO36/$E36)*1000</f>
        <v>579.93888108205567</v>
      </c>
      <c r="BR36" s="138">
        <v>3.1297267820000001</v>
      </c>
      <c r="BS36" s="138">
        <f>($BR36/$D36)</f>
        <v>14.237411631691534</v>
      </c>
      <c r="BT36" s="363">
        <f>($BR36/$E36)*1000</f>
        <v>65.933894000185049</v>
      </c>
    </row>
    <row r="37" spans="2:72" x14ac:dyDescent="0.35">
      <c r="B37" s="237">
        <v>29</v>
      </c>
      <c r="C37" s="239" t="s">
        <v>101</v>
      </c>
      <c r="D37" s="360">
        <v>0.32777175400000003</v>
      </c>
      <c r="E37" s="138">
        <v>209.60371000000001</v>
      </c>
      <c r="F37" s="361">
        <f>$E37/$D37</f>
        <v>639.48069790052739</v>
      </c>
      <c r="G37" s="362">
        <v>2.7544201755555555</v>
      </c>
      <c r="H37" s="138">
        <f>$G37/$D37</f>
        <v>8.4034702256728178</v>
      </c>
      <c r="I37" s="242">
        <f>($G37/$E37)*1000</f>
        <v>13.141085029246645</v>
      </c>
      <c r="J37" s="138">
        <v>0.61924811611111119</v>
      </c>
      <c r="K37" s="138">
        <f>($J37/$D37)</f>
        <v>1.8892662609088371</v>
      </c>
      <c r="L37" s="242">
        <f>($J37/$E37)*1000</f>
        <v>2.9543757413030103</v>
      </c>
      <c r="M37" s="138">
        <v>39.754767524999998</v>
      </c>
      <c r="N37" s="138">
        <f>($M37/$D37)</f>
        <v>121.28796041711391</v>
      </c>
      <c r="O37" s="242">
        <f>($M37/$E37)*1000</f>
        <v>189.66633522374195</v>
      </c>
      <c r="P37" s="138">
        <v>6.0799691324999996</v>
      </c>
      <c r="Q37" s="138">
        <f>($P37/$D37)</f>
        <v>18.549399264281934</v>
      </c>
      <c r="R37" s="363">
        <f>($P37/$E37)*1000</f>
        <v>29.006972884687965</v>
      </c>
      <c r="S37" s="362">
        <v>1.7256039999999999E-3</v>
      </c>
      <c r="T37" s="138">
        <f>($S37/$D37)</f>
        <v>5.2646513280702025E-3</v>
      </c>
      <c r="U37" s="242">
        <f>($S37/$E37)*1000</f>
        <v>8.2326977895572553E-3</v>
      </c>
      <c r="V37" s="138">
        <v>6.9519299999999998E-4</v>
      </c>
      <c r="W37" s="138">
        <f>($V37/$D37)</f>
        <v>2.1209667749466903E-3</v>
      </c>
      <c r="X37" s="242">
        <f>($V37/$E37)*1000</f>
        <v>3.3167017892956189E-3</v>
      </c>
      <c r="Y37" s="138">
        <v>2.6370988180000001</v>
      </c>
      <c r="Z37" s="138">
        <f>($Y37/$D37)</f>
        <v>8.0455340822321126</v>
      </c>
      <c r="AA37" s="242">
        <f>($Y37/$E37)*1000</f>
        <v>12.581355635355882</v>
      </c>
      <c r="AB37" s="138">
        <v>0.12589350299999999</v>
      </c>
      <c r="AC37" s="138">
        <f>($AB37/$D37)</f>
        <v>0.3840889322024984</v>
      </c>
      <c r="AD37" s="242">
        <f>($AB37/$E37)*1000</f>
        <v>0.60062631047895088</v>
      </c>
      <c r="AE37" s="138">
        <v>2.337675E-3</v>
      </c>
      <c r="AF37" s="138">
        <f>($AE37/$D37)</f>
        <v>7.1320209001291789E-3</v>
      </c>
      <c r="AG37" s="242">
        <f>($AE37/$E37)*1000</f>
        <v>1.1152832170766444E-2</v>
      </c>
      <c r="AH37" s="138">
        <v>1.810192E-3</v>
      </c>
      <c r="AI37" s="138">
        <f>($AH37/$D37)</f>
        <v>5.5227211555270248E-3</v>
      </c>
      <c r="AJ37" s="242">
        <f>($AH37/$E37)*1000</f>
        <v>8.6362593486537052E-3</v>
      </c>
      <c r="AK37" s="138">
        <v>1.3755343520000001</v>
      </c>
      <c r="AL37" s="138">
        <f>($AK37/$D37)</f>
        <v>4.1966226046433519</v>
      </c>
      <c r="AM37" s="364">
        <f>($AK37/$E37)*1000</f>
        <v>6.5625477335300992</v>
      </c>
      <c r="AN37" s="138">
        <v>1.7954425107500001</v>
      </c>
      <c r="AO37" s="365">
        <f>($AN37/$D37)</f>
        <v>5.4777218867675828</v>
      </c>
      <c r="AP37" s="361">
        <f>($AN37/$E37)*1000</f>
        <v>8.5658908935819884</v>
      </c>
      <c r="AQ37" s="362">
        <v>71.512233289999998</v>
      </c>
      <c r="AR37" s="138">
        <f>($AQ37/$D37)</f>
        <v>218.17692469620184</v>
      </c>
      <c r="AS37" s="364">
        <f>($AQ37/$E37)*1000</f>
        <v>341.17828014590009</v>
      </c>
      <c r="AT37" s="138">
        <v>2.3265989939999998</v>
      </c>
      <c r="AU37" s="138">
        <f>($AT37/$D37)</f>
        <v>7.0982290743698426</v>
      </c>
      <c r="AV37" s="242">
        <f>($AT37/$E37)*1000</f>
        <v>11.09998956602438</v>
      </c>
      <c r="AW37" s="138">
        <v>106.6068799</v>
      </c>
      <c r="AX37" s="138">
        <f>($AW37/$D37)</f>
        <v>325.24730578218157</v>
      </c>
      <c r="AY37" s="242">
        <f>($AW37/$E37)*1000</f>
        <v>508.61160759034271</v>
      </c>
      <c r="AZ37" s="138">
        <v>2.2375155389999999</v>
      </c>
      <c r="BA37" s="138">
        <f>($AZ37/$D37)</f>
        <v>6.8264440474025703</v>
      </c>
      <c r="BB37" s="242">
        <f>($AZ37/$E37)*1000</f>
        <v>10.67498060506658</v>
      </c>
      <c r="BC37" s="138">
        <v>98.305395439999998</v>
      </c>
      <c r="BD37" s="138">
        <f>($BC37/$D37)</f>
        <v>299.92027757217903</v>
      </c>
      <c r="BE37" s="242">
        <f>($BC37/$E37)*1000</f>
        <v>469.00598963634752</v>
      </c>
      <c r="BF37" s="138">
        <v>1.40987722</v>
      </c>
      <c r="BG37" s="138">
        <f>($BF37/$D37)</f>
        <v>4.3013993817173155</v>
      </c>
      <c r="BH37" s="242">
        <f>($BF37/$E37)*1000</f>
        <v>6.7263943944503657</v>
      </c>
      <c r="BI37" s="138">
        <v>0.103607246</v>
      </c>
      <c r="BJ37" s="138">
        <f>($BI37/$D37)</f>
        <v>0.31609571213997895</v>
      </c>
      <c r="BK37" s="242">
        <f>($BI37/$E37)*1000</f>
        <v>0.4943006304611689</v>
      </c>
      <c r="BL37" s="138">
        <v>1.0151426999999999E-2</v>
      </c>
      <c r="BM37" s="138">
        <f>($BL37/$D37)</f>
        <v>3.0971024428175706E-2</v>
      </c>
      <c r="BN37" s="242">
        <f>($BL37/$E37)*1000</f>
        <v>4.8431523468740127E-2</v>
      </c>
      <c r="BO37" s="138">
        <v>6.0233633000000002E-2</v>
      </c>
      <c r="BP37" s="138">
        <f>($BO37/$D37)</f>
        <v>0.18376700330315832</v>
      </c>
      <c r="BQ37" s="242">
        <f>($BO37/$E37)*1000</f>
        <v>0.28736911670122633</v>
      </c>
      <c r="BR37" s="138">
        <v>239.12135359999999</v>
      </c>
      <c r="BS37" s="138">
        <f>($BR37/$D37)</f>
        <v>729.53618083881622</v>
      </c>
      <c r="BT37" s="363">
        <f>($BR37/$E37)*1000</f>
        <v>1140.8259596168407</v>
      </c>
    </row>
    <row r="38" spans="2:72" x14ac:dyDescent="0.35">
      <c r="B38" s="237">
        <v>30</v>
      </c>
      <c r="C38" s="239" t="s">
        <v>103</v>
      </c>
      <c r="D38" s="360">
        <v>0.91362379699999996</v>
      </c>
      <c r="E38" s="138">
        <v>202.38551219999999</v>
      </c>
      <c r="F38" s="361">
        <f>$E38/$D38</f>
        <v>221.51952791133351</v>
      </c>
      <c r="G38" s="362">
        <v>2.9152869100000003</v>
      </c>
      <c r="H38" s="138">
        <f>$G38/$D38</f>
        <v>3.1909051839200293</v>
      </c>
      <c r="I38" s="242">
        <f>($G38/$E38)*1000</f>
        <v>14.404622536019653</v>
      </c>
      <c r="J38" s="138">
        <v>0.80694630277777779</v>
      </c>
      <c r="K38" s="138">
        <f>($J38/$D38)</f>
        <v>0.88323695751740339</v>
      </c>
      <c r="L38" s="242">
        <f>($J38/$E38)*1000</f>
        <v>3.9871742498066904</v>
      </c>
      <c r="M38" s="138">
        <v>36.351415275000001</v>
      </c>
      <c r="N38" s="138">
        <f>($M38/$D38)</f>
        <v>39.788165976372881</v>
      </c>
      <c r="O38" s="242">
        <f>($M38/$E38)*1000</f>
        <v>179.61471095360355</v>
      </c>
      <c r="P38" s="138">
        <v>7.8088625274999997</v>
      </c>
      <c r="Q38" s="138">
        <f>($P38/$D38)</f>
        <v>8.5471312734425204</v>
      </c>
      <c r="R38" s="363">
        <f>($P38/$E38)*1000</f>
        <v>38.584098449612249</v>
      </c>
      <c r="S38" s="362">
        <v>0</v>
      </c>
      <c r="T38" s="138">
        <f>($S38/$D38)</f>
        <v>0</v>
      </c>
      <c r="U38" s="242">
        <f>($S38/$E38)*1000</f>
        <v>0</v>
      </c>
      <c r="V38" s="138">
        <v>3.3866300000000001E-4</v>
      </c>
      <c r="W38" s="138">
        <f>($V38/$D38)</f>
        <v>3.70681018940228E-4</v>
      </c>
      <c r="X38" s="242">
        <f>($V38/$E38)*1000</f>
        <v>1.6733559448925811E-3</v>
      </c>
      <c r="Y38" s="138">
        <v>2.5566516749999999</v>
      </c>
      <c r="Z38" s="138">
        <f>($Y38/$D38)</f>
        <v>2.7983637065880851</v>
      </c>
      <c r="AA38" s="242">
        <f>($Y38/$E38)*1000</f>
        <v>12.632582476919017</v>
      </c>
      <c r="AB38" s="138">
        <v>2.297345317</v>
      </c>
      <c r="AC38" s="138">
        <f>($AB38/$D38)</f>
        <v>2.5145418984746519</v>
      </c>
      <c r="AD38" s="242">
        <f>($AB38/$E38)*1000</f>
        <v>11.351332869764578</v>
      </c>
      <c r="AE38" s="138">
        <v>8.1090800000000005E-4</v>
      </c>
      <c r="AF38" s="138">
        <f>($AE38/$D38)</f>
        <v>8.875732031747856E-4</v>
      </c>
      <c r="AG38" s="242">
        <f>($AE38/$E38)*1000</f>
        <v>4.006749253862847E-3</v>
      </c>
      <c r="AH38" s="138">
        <v>1.2954093999999999E-2</v>
      </c>
      <c r="AI38" s="138">
        <f>($AH38/$D38)</f>
        <v>1.4178805371025159E-2</v>
      </c>
      <c r="AJ38" s="242">
        <f>($AH38/$E38)*1000</f>
        <v>6.4007022336651231E-2</v>
      </c>
      <c r="AK38" s="138">
        <v>1.511874084</v>
      </c>
      <c r="AL38" s="138">
        <f>($AK38/$D38)</f>
        <v>1.6548103157606349</v>
      </c>
      <c r="AM38" s="364">
        <f>($AK38/$E38)*1000</f>
        <v>7.4702683387037423</v>
      </c>
      <c r="AN38" s="138">
        <v>2.2170258387500001</v>
      </c>
      <c r="AO38" s="365">
        <f>($AN38/$D38)</f>
        <v>2.4266288225305499</v>
      </c>
      <c r="AP38" s="361">
        <f>($AN38/$E38)*1000</f>
        <v>10.954469095392097</v>
      </c>
      <c r="AQ38" s="362">
        <v>69.211095299999997</v>
      </c>
      <c r="AR38" s="138">
        <f>($AQ38/$D38)</f>
        <v>75.754479608853714</v>
      </c>
      <c r="AS38" s="364">
        <f>($AQ38/$E38)*1000</f>
        <v>341.97653057104549</v>
      </c>
      <c r="AT38" s="138">
        <v>4.4913114930000004</v>
      </c>
      <c r="AU38" s="138">
        <f>($AT38/$D38)</f>
        <v>4.9159309419782993</v>
      </c>
      <c r="AV38" s="242">
        <f>($AT38/$E38)*1000</f>
        <v>22.191862669308208</v>
      </c>
      <c r="AW38" s="138">
        <v>32.851547480000001</v>
      </c>
      <c r="AX38" s="138">
        <f>($AW38/$D38)</f>
        <v>35.957412217011246</v>
      </c>
      <c r="AY38" s="242">
        <f>($AW38/$E38)*1000</f>
        <v>162.32163618280973</v>
      </c>
      <c r="AZ38" s="138">
        <v>1.6189730929999999</v>
      </c>
      <c r="BA38" s="138">
        <f>($AZ38/$D38)</f>
        <v>1.7720347240473642</v>
      </c>
      <c r="BB38" s="242">
        <f>($AZ38/$E38)*1000</f>
        <v>7.9994515190401057</v>
      </c>
      <c r="BC38" s="138">
        <v>167.6452109</v>
      </c>
      <c r="BD38" s="138">
        <f>($BC38/$D38)</f>
        <v>183.49479452098817</v>
      </c>
      <c r="BE38" s="242">
        <f>($BC38/$E38)*1000</f>
        <v>828.34590815142349</v>
      </c>
      <c r="BF38" s="138">
        <v>0.19247811000000001</v>
      </c>
      <c r="BG38" s="138">
        <f>($BF38/$D38)</f>
        <v>0.21067545595027887</v>
      </c>
      <c r="BH38" s="242">
        <f>($BF38/$E38)*1000</f>
        <v>0.9510468803211104</v>
      </c>
      <c r="BI38" s="138">
        <v>0.18529762299999999</v>
      </c>
      <c r="BJ38" s="138">
        <f>($BI38/$D38)</f>
        <v>0.20281610834617961</v>
      </c>
      <c r="BK38" s="242">
        <f>($BI38/$E38)*1000</f>
        <v>0.91556762628782673</v>
      </c>
      <c r="BL38" s="138">
        <v>5.4147199999999998E-4</v>
      </c>
      <c r="BM38" s="138">
        <f>($BL38/$D38)</f>
        <v>5.9266407221220834E-4</v>
      </c>
      <c r="BN38" s="242">
        <f>($BL38/$E38)*1000</f>
        <v>2.675448425700108E-3</v>
      </c>
      <c r="BO38" s="138">
        <v>1.9829795000000001E-2</v>
      </c>
      <c r="BP38" s="138">
        <f>($BO38/$D38)</f>
        <v>2.1704551769682071E-2</v>
      </c>
      <c r="BQ38" s="242">
        <f>($BO38/$E38)*1000</f>
        <v>9.7980308888928461E-2</v>
      </c>
      <c r="BR38" s="138">
        <v>227.49685260000001</v>
      </c>
      <c r="BS38" s="138">
        <f>($BR38/$D38)</f>
        <v>249.00495515442449</v>
      </c>
      <c r="BT38" s="363">
        <f>($BR38/$E38)*1000</f>
        <v>1124.0767687717916</v>
      </c>
    </row>
    <row r="39" spans="2:72" x14ac:dyDescent="0.35">
      <c r="B39" s="237">
        <v>31</v>
      </c>
      <c r="C39" s="239" t="s">
        <v>105</v>
      </c>
      <c r="D39" s="360">
        <v>0.90341375000000002</v>
      </c>
      <c r="E39" s="138">
        <v>249.25872409999999</v>
      </c>
      <c r="F39" s="361">
        <f>$E39/$D39</f>
        <v>275.90760501486722</v>
      </c>
      <c r="G39" s="362">
        <v>4.2747706577777773</v>
      </c>
      <c r="H39" s="138">
        <f>$G39/$D39</f>
        <v>4.7317972056300643</v>
      </c>
      <c r="I39" s="242">
        <f>($G39/$E39)*1000</f>
        <v>17.149933962041722</v>
      </c>
      <c r="J39" s="138">
        <v>1.1347640744444445</v>
      </c>
      <c r="K39" s="138">
        <f>($J39/$D39)</f>
        <v>1.256084573036933</v>
      </c>
      <c r="L39" s="242">
        <f>($J39/$E39)*1000</f>
        <v>4.5525550952799909</v>
      </c>
      <c r="M39" s="138">
        <v>44.128568375</v>
      </c>
      <c r="N39" s="138">
        <f>($M39/$D39)</f>
        <v>48.846465282380308</v>
      </c>
      <c r="O39" s="242">
        <f>($M39/$E39)*1000</f>
        <v>177.03921310812808</v>
      </c>
      <c r="P39" s="138">
        <v>8.3169054899999999</v>
      </c>
      <c r="Q39" s="138">
        <f>($P39/$D39)</f>
        <v>9.20608690093548</v>
      </c>
      <c r="R39" s="363">
        <f>($P39/$E39)*1000</f>
        <v>33.366557259048413</v>
      </c>
      <c r="S39" s="362">
        <v>0</v>
      </c>
      <c r="T39" s="138">
        <f>($S39/$D39)</f>
        <v>0</v>
      </c>
      <c r="U39" s="242">
        <f>($S39/$E39)*1000</f>
        <v>0</v>
      </c>
      <c r="V39" s="138">
        <v>6.5479850000000001E-3</v>
      </c>
      <c r="W39" s="138">
        <f>($V39/$D39)</f>
        <v>7.2480466452940302E-3</v>
      </c>
      <c r="X39" s="242">
        <f>($V39/$E39)*1000</f>
        <v>2.626983277573473E-2</v>
      </c>
      <c r="Y39" s="138">
        <v>3.0260340289999998</v>
      </c>
      <c r="Z39" s="138">
        <f>($Y39/$D39)</f>
        <v>3.3495549840812138</v>
      </c>
      <c r="AA39" s="242">
        <f>($Y39/$E39)*1000</f>
        <v>12.140132867670408</v>
      </c>
      <c r="AB39" s="138">
        <v>0.10086953999999999</v>
      </c>
      <c r="AC39" s="138">
        <f>($AB39/$D39)</f>
        <v>0.11165375776049456</v>
      </c>
      <c r="AD39" s="242">
        <f>($AB39/$E39)*1000</f>
        <v>0.404678072409342</v>
      </c>
      <c r="AE39" s="138">
        <v>1.0179638E-2</v>
      </c>
      <c r="AF39" s="138">
        <f>($AE39/$D39)</f>
        <v>1.1267968857015956E-2</v>
      </c>
      <c r="AG39" s="242">
        <f>($AE39/$E39)*1000</f>
        <v>4.0839645780727157E-2</v>
      </c>
      <c r="AH39" s="138">
        <v>6.6312700000000001E-4</v>
      </c>
      <c r="AI39" s="138">
        <f>($AH39/$D39)</f>
        <v>7.3402358553874129E-4</v>
      </c>
      <c r="AJ39" s="242">
        <f>($AH39/$E39)*1000</f>
        <v>2.6603963507971758E-3</v>
      </c>
      <c r="AK39" s="138">
        <v>2.4926220360000002</v>
      </c>
      <c r="AL39" s="138">
        <f>($AK39/$D39)</f>
        <v>2.7591145651701674</v>
      </c>
      <c r="AM39" s="364">
        <f>($AK39/$E39)*1000</f>
        <v>10.000139593910406</v>
      </c>
      <c r="AN39" s="138">
        <v>2.7144898500000001</v>
      </c>
      <c r="AO39" s="365">
        <f>($AN39/$D39)</f>
        <v>3.0047028285766073</v>
      </c>
      <c r="AP39" s="361">
        <f>($AN39/$E39)*1000</f>
        <v>10.890250119835224</v>
      </c>
      <c r="AQ39" s="362">
        <v>84.682488879999994</v>
      </c>
      <c r="AR39" s="138">
        <f>($AQ39/$D39)</f>
        <v>93.736108045732081</v>
      </c>
      <c r="AS39" s="364">
        <f>($AQ39/$E39)*1000</f>
        <v>339.73731184641008</v>
      </c>
      <c r="AT39" s="138">
        <v>2.2806882380000002</v>
      </c>
      <c r="AU39" s="138">
        <f>($AT39/$D39)</f>
        <v>2.5245223885512038</v>
      </c>
      <c r="AV39" s="242">
        <f>($AT39/$E39)*1000</f>
        <v>9.1498833039240459</v>
      </c>
      <c r="AW39" s="138">
        <v>136.5685848</v>
      </c>
      <c r="AX39" s="138">
        <f>($AW39/$D39)</f>
        <v>151.16947777250456</v>
      </c>
      <c r="AY39" s="242">
        <f>($AW39/$E39)*1000</f>
        <v>547.89891624900599</v>
      </c>
      <c r="AZ39" s="138">
        <v>2.8467727319999998</v>
      </c>
      <c r="BA39" s="138">
        <f>($AZ39/$D39)</f>
        <v>3.151128408218272</v>
      </c>
      <c r="BB39" s="242">
        <f>($AZ39/$E39)*1000</f>
        <v>11.420955243507963</v>
      </c>
      <c r="BC39" s="138">
        <v>113.06442629999999</v>
      </c>
      <c r="BD39" s="138">
        <f>($BC39/$D39)</f>
        <v>125.15243021262405</v>
      </c>
      <c r="BE39" s="242">
        <f>($BC39/$E39)*1000</f>
        <v>453.60268415174801</v>
      </c>
      <c r="BF39" s="138">
        <v>2.8257090310000001</v>
      </c>
      <c r="BG39" s="138">
        <f>($BF39/$D39)</f>
        <v>3.1278127336450217</v>
      </c>
      <c r="BH39" s="242">
        <f>($BF39/$E39)*1000</f>
        <v>11.336449872327661</v>
      </c>
      <c r="BI39" s="138">
        <v>8.5112573999999996E-2</v>
      </c>
      <c r="BJ39" s="138">
        <f>($BI39/$D39)</f>
        <v>9.4212174654193598E-2</v>
      </c>
      <c r="BK39" s="242">
        <f>($BI39/$E39)*1000</f>
        <v>0.34146276848409812</v>
      </c>
      <c r="BL39" s="138">
        <v>5.3210629000000002E-2</v>
      </c>
      <c r="BM39" s="138">
        <f>($BL39/$D39)</f>
        <v>5.8899511989938168E-2</v>
      </c>
      <c r="BN39" s="242">
        <f>($BL39/$E39)*1000</f>
        <v>0.21347549295266574</v>
      </c>
      <c r="BO39" s="138">
        <v>0.34413349599999998</v>
      </c>
      <c r="BP39" s="138">
        <f>($BO39/$D39)</f>
        <v>0.38092567884870027</v>
      </c>
      <c r="BQ39" s="242">
        <f>($BO39/$E39)*1000</f>
        <v>1.380627688128329</v>
      </c>
      <c r="BR39" s="138">
        <v>383.13957850000003</v>
      </c>
      <c r="BS39" s="138">
        <f>($BR39/$D39)</f>
        <v>424.10200032930652</v>
      </c>
      <c r="BT39" s="363">
        <f>($BR39/$E39)*1000</f>
        <v>1537.1160222511949</v>
      </c>
    </row>
    <row r="40" spans="2:72" x14ac:dyDescent="0.35">
      <c r="B40" s="237">
        <v>32</v>
      </c>
      <c r="C40" s="239" t="s">
        <v>106</v>
      </c>
      <c r="D40" s="360">
        <v>0.54754320499999998</v>
      </c>
      <c r="E40" s="138">
        <v>212.03475130000001</v>
      </c>
      <c r="F40" s="361">
        <f>$E40/$D40</f>
        <v>387.2475256085043</v>
      </c>
      <c r="G40" s="362">
        <v>3.277531547777778</v>
      </c>
      <c r="H40" s="138">
        <f>$G40/$D40</f>
        <v>5.9858866256550076</v>
      </c>
      <c r="I40" s="242">
        <f>($G40/$E40)*1000</f>
        <v>15.457520654906807</v>
      </c>
      <c r="J40" s="138">
        <v>0.71848530622222229</v>
      </c>
      <c r="K40" s="138">
        <f>($J40/$D40)</f>
        <v>1.3121983793447356</v>
      </c>
      <c r="L40" s="242">
        <f>($J40/$E40)*1000</f>
        <v>3.3885261817562364</v>
      </c>
      <c r="M40" s="138">
        <v>36.701186575000001</v>
      </c>
      <c r="N40" s="138">
        <f>($M40/$D40)</f>
        <v>67.028841267421086</v>
      </c>
      <c r="O40" s="242">
        <f>($M40/$E40)*1000</f>
        <v>173.09043140326025</v>
      </c>
      <c r="P40" s="138">
        <v>9.2278476999999999</v>
      </c>
      <c r="Q40" s="138">
        <f>($P40/$D40)</f>
        <v>16.853186407454366</v>
      </c>
      <c r="R40" s="363">
        <f>($P40/$E40)*1000</f>
        <v>43.520449565099184</v>
      </c>
      <c r="S40" s="362">
        <v>0</v>
      </c>
      <c r="T40" s="138">
        <f>($S40/$D40)</f>
        <v>0</v>
      </c>
      <c r="U40" s="242">
        <f>($S40/$E40)*1000</f>
        <v>0</v>
      </c>
      <c r="V40" s="138">
        <v>0</v>
      </c>
      <c r="W40" s="138">
        <f>($V40/$D40)</f>
        <v>0</v>
      </c>
      <c r="X40" s="242">
        <f>($V40/$E40)*1000</f>
        <v>0</v>
      </c>
      <c r="Y40" s="138">
        <v>2.798051203</v>
      </c>
      <c r="Z40" s="138">
        <f>($Y40/$D40)</f>
        <v>5.1101925427053745</v>
      </c>
      <c r="AA40" s="242">
        <f>($Y40/$E40)*1000</f>
        <v>13.196191595221778</v>
      </c>
      <c r="AB40" s="138">
        <v>2.7792519699999998</v>
      </c>
      <c r="AC40" s="138">
        <f>($AB40/$D40)</f>
        <v>5.0758587534658561</v>
      </c>
      <c r="AD40" s="242">
        <f>($AB40/$E40)*1000</f>
        <v>13.107530501298537</v>
      </c>
      <c r="AE40" s="138">
        <v>2.9734539999999999E-3</v>
      </c>
      <c r="AF40" s="138">
        <f>($AE40/$D40)</f>
        <v>5.4305376687123711E-3</v>
      </c>
      <c r="AG40" s="242">
        <f>($AE40/$E40)*1000</f>
        <v>1.4023427677630878E-2</v>
      </c>
      <c r="AH40" s="138">
        <v>0</v>
      </c>
      <c r="AI40" s="138">
        <f>($AH40/$D40)</f>
        <v>0</v>
      </c>
      <c r="AJ40" s="242">
        <f>($AH40/$E40)*1000</f>
        <v>0</v>
      </c>
      <c r="AK40" s="138">
        <v>1.679349698</v>
      </c>
      <c r="AL40" s="138">
        <f>($AK40/$D40)</f>
        <v>3.0670633525622879</v>
      </c>
      <c r="AM40" s="364">
        <f>($AK40/$E40)*1000</f>
        <v>7.9201625568629135</v>
      </c>
      <c r="AN40" s="138">
        <v>2.7237620625000001</v>
      </c>
      <c r="AO40" s="365">
        <f>($AN40/$D40)</f>
        <v>4.9745153215808795</v>
      </c>
      <c r="AP40" s="361">
        <f>($AN40/$E40)*1000</f>
        <v>12.845828553104729</v>
      </c>
      <c r="AQ40" s="362">
        <v>136.8585167</v>
      </c>
      <c r="AR40" s="138">
        <f>($AQ40/$D40)</f>
        <v>249.95016913779435</v>
      </c>
      <c r="AS40" s="364">
        <f>($AQ40/$E40)*1000</f>
        <v>645.45323755144284</v>
      </c>
      <c r="AT40" s="138">
        <v>4.9956343460000001</v>
      </c>
      <c r="AU40" s="138">
        <f>($AT40/$D40)</f>
        <v>9.1237263112415032</v>
      </c>
      <c r="AV40" s="242">
        <f>($AT40/$E40)*1000</f>
        <v>23.560450894824616</v>
      </c>
      <c r="AW40" s="138">
        <v>43.118305820000003</v>
      </c>
      <c r="AX40" s="138">
        <f>($AW40/$D40)</f>
        <v>78.74868216107258</v>
      </c>
      <c r="AY40" s="242">
        <f>($AW40/$E40)*1000</f>
        <v>203.35490081526083</v>
      </c>
      <c r="AZ40" s="138">
        <v>2.1293402320000001</v>
      </c>
      <c r="BA40" s="138">
        <f>($AZ40/$D40)</f>
        <v>3.8888990175670251</v>
      </c>
      <c r="BB40" s="242">
        <f>($AZ40/$E40)*1000</f>
        <v>10.04241153369844</v>
      </c>
      <c r="BC40" s="138">
        <v>199.42261740000001</v>
      </c>
      <c r="BD40" s="138">
        <f>($BC40/$D40)</f>
        <v>364.21348229497255</v>
      </c>
      <c r="BE40" s="242">
        <f>($BC40/$E40)*1000</f>
        <v>940.51855263029233</v>
      </c>
      <c r="BF40" s="138">
        <v>5.781449619</v>
      </c>
      <c r="BG40" s="138">
        <f>($BF40/$D40)</f>
        <v>10.558892095099601</v>
      </c>
      <c r="BH40" s="242">
        <f>($BF40/$E40)*1000</f>
        <v>27.266519207599345</v>
      </c>
      <c r="BI40" s="138">
        <v>0.19373815</v>
      </c>
      <c r="BJ40" s="138">
        <f>($BI40/$D40)</f>
        <v>0.35383171269562191</v>
      </c>
      <c r="BK40" s="242">
        <f>($BI40/$E40)*1000</f>
        <v>0.91370942174420822</v>
      </c>
      <c r="BL40" s="138">
        <v>2.4506490000000001E-3</v>
      </c>
      <c r="BM40" s="138">
        <f>($BL40/$D40)</f>
        <v>4.4757180394559004E-3</v>
      </c>
      <c r="BN40" s="242">
        <f>($BL40/$E40)*1000</f>
        <v>1.1557770530419653E-2</v>
      </c>
      <c r="BO40" s="138">
        <v>0</v>
      </c>
      <c r="BP40" s="138">
        <f>($BO40/$D40)</f>
        <v>0</v>
      </c>
      <c r="BQ40" s="242">
        <f>($BO40/$E40)*1000</f>
        <v>0</v>
      </c>
      <c r="BR40" s="138">
        <v>283.54026649999997</v>
      </c>
      <c r="BS40" s="138">
        <f>($BR40/$D40)</f>
        <v>517.84090079247721</v>
      </c>
      <c r="BT40" s="363">
        <f>($BR40/$E40)*1000</f>
        <v>1337.2348860816192</v>
      </c>
    </row>
    <row r="41" spans="2:72" x14ac:dyDescent="0.35">
      <c r="B41" s="237">
        <v>33</v>
      </c>
      <c r="C41" s="239" t="s">
        <v>107</v>
      </c>
      <c r="D41" s="360">
        <v>1.1123451660000001</v>
      </c>
      <c r="E41" s="138">
        <v>270.17778490000001</v>
      </c>
      <c r="F41" s="361">
        <f>$E41/$D41</f>
        <v>242.89024051011157</v>
      </c>
      <c r="G41" s="362">
        <v>13.628128722222222</v>
      </c>
      <c r="H41" s="138">
        <f>$G41/$D41</f>
        <v>12.251708497308488</v>
      </c>
      <c r="I41" s="242">
        <f>($G41/$E41)*1000</f>
        <v>50.441337089451501</v>
      </c>
      <c r="J41" s="138">
        <v>4.0570042033333333</v>
      </c>
      <c r="K41" s="138">
        <f>($J41/$D41)</f>
        <v>3.6472529636842355</v>
      </c>
      <c r="L41" s="242">
        <f>($J41/$E41)*1000</f>
        <v>15.01605398399035</v>
      </c>
      <c r="M41" s="138">
        <v>10.2835162975</v>
      </c>
      <c r="N41" s="138">
        <f>($M41/$D41)</f>
        <v>9.2448968286342144</v>
      </c>
      <c r="O41" s="242">
        <f>($M41/$E41)*1000</f>
        <v>38.062034971921186</v>
      </c>
      <c r="P41" s="138">
        <v>25.185068924999999</v>
      </c>
      <c r="Q41" s="138">
        <f>($P41/$D41)</f>
        <v>22.641415358117353</v>
      </c>
      <c r="R41" s="363">
        <f>($P41/$E41)*1000</f>
        <v>93.216653376300584</v>
      </c>
      <c r="S41" s="362">
        <v>2.944721E-3</v>
      </c>
      <c r="T41" s="138">
        <f>($S41/$D41)</f>
        <v>2.6473086682160308E-3</v>
      </c>
      <c r="U41" s="242">
        <f>($S41/$E41)*1000</f>
        <v>1.0899197360323017E-2</v>
      </c>
      <c r="V41" s="138">
        <v>0</v>
      </c>
      <c r="W41" s="138">
        <f>($V41/$D41)</f>
        <v>0</v>
      </c>
      <c r="X41" s="242">
        <f>($V41/$E41)*1000</f>
        <v>0</v>
      </c>
      <c r="Y41" s="138">
        <v>0.65052791399999998</v>
      </c>
      <c r="Z41" s="138">
        <f>($Y41/$D41)</f>
        <v>0.58482558641334526</v>
      </c>
      <c r="AA41" s="242">
        <f>($Y41/$E41)*1000</f>
        <v>2.4077772132182433</v>
      </c>
      <c r="AB41" s="138">
        <v>0</v>
      </c>
      <c r="AC41" s="138">
        <f>($AB41/$D41)</f>
        <v>0</v>
      </c>
      <c r="AD41" s="242">
        <f>($AB41/$E41)*1000</f>
        <v>0</v>
      </c>
      <c r="AE41" s="138">
        <v>1.3407779999999999E-3</v>
      </c>
      <c r="AF41" s="138">
        <f>($AE41/$D41)</f>
        <v>1.2053614660109916E-3</v>
      </c>
      <c r="AG41" s="242">
        <f>($AE41/$E41)*1000</f>
        <v>4.9625767732763724E-3</v>
      </c>
      <c r="AH41" s="138">
        <v>2.7314566349999998</v>
      </c>
      <c r="AI41" s="138">
        <f>($AH41/$D41)</f>
        <v>2.4555836789603127</v>
      </c>
      <c r="AJ41" s="242">
        <f>($AH41/$E41)*1000</f>
        <v>10.109849098107695</v>
      </c>
      <c r="AK41" s="138">
        <v>2.9268689380000001</v>
      </c>
      <c r="AL41" s="138">
        <f>($AK41/$D41)</f>
        <v>2.6312596372626298</v>
      </c>
      <c r="AM41" s="364">
        <f>($AK41/$E41)*1000</f>
        <v>10.833122120248754</v>
      </c>
      <c r="AN41" s="138">
        <v>1.4625279707500001</v>
      </c>
      <c r="AO41" s="365">
        <f>($AN41/$D41)</f>
        <v>1.3148148753226119</v>
      </c>
      <c r="AP41" s="361">
        <f>($AN41/$E41)*1000</f>
        <v>5.4132058684666493</v>
      </c>
      <c r="AQ41" s="362">
        <v>39.00513041</v>
      </c>
      <c r="AR41" s="138">
        <f>($AQ41/$D41)</f>
        <v>35.065671701763833</v>
      </c>
      <c r="AS41" s="364">
        <f>($AQ41/$E41)*1000</f>
        <v>144.36838478203097</v>
      </c>
      <c r="AT41" s="138">
        <v>0.60350346499999996</v>
      </c>
      <c r="AU41" s="138">
        <f>($AT41/$D41)</f>
        <v>0.54255053507375062</v>
      </c>
      <c r="AV41" s="242">
        <f>($AT41/$E41)*1000</f>
        <v>2.233727192720055</v>
      </c>
      <c r="AW41" s="138">
        <v>18.825473639999998</v>
      </c>
      <c r="AX41" s="138">
        <f>($AW41/$D41)</f>
        <v>16.924129501723385</v>
      </c>
      <c r="AY41" s="242">
        <f>($AW41/$E41)*1000</f>
        <v>69.678096024689111</v>
      </c>
      <c r="AZ41" s="138">
        <v>1.480384455</v>
      </c>
      <c r="BA41" s="138">
        <f>($AZ41/$D41)</f>
        <v>1.3308678818855044</v>
      </c>
      <c r="BB41" s="242">
        <f>($AZ41/$E41)*1000</f>
        <v>5.4792974764669484</v>
      </c>
      <c r="BC41" s="138">
        <v>387.47146479999998</v>
      </c>
      <c r="BD41" s="138">
        <f>($BC41/$D41)</f>
        <v>348.33743755398308</v>
      </c>
      <c r="BE41" s="242">
        <f>($BC41/$E41)*1000</f>
        <v>1434.1351748938703</v>
      </c>
      <c r="BF41" s="138">
        <v>9.4657929999999997</v>
      </c>
      <c r="BG41" s="138">
        <f>($BF41/$D41)</f>
        <v>8.5097623375656397</v>
      </c>
      <c r="BH41" s="242">
        <f>($BF41/$E41)*1000</f>
        <v>35.035423077080679</v>
      </c>
      <c r="BI41" s="138">
        <v>0.45095192699999997</v>
      </c>
      <c r="BJ41" s="138">
        <f>($BI41/$D41)</f>
        <v>0.40540646984750767</v>
      </c>
      <c r="BK41" s="242">
        <f>($BI41/$E41)*1000</f>
        <v>1.6690932867293633</v>
      </c>
      <c r="BL41" s="138">
        <v>0.72162901099999999</v>
      </c>
      <c r="BM41" s="138">
        <f>($BL41/$D41)</f>
        <v>0.64874558100969881</v>
      </c>
      <c r="BN41" s="242">
        <f>($BL41/$E41)*1000</f>
        <v>2.670941325790698</v>
      </c>
      <c r="BO41" s="138">
        <v>0.192055432</v>
      </c>
      <c r="BP41" s="138">
        <f>($BO41/$D41)</f>
        <v>0.17265812615577994</v>
      </c>
      <c r="BQ41" s="242">
        <f>($BO41/$E41)*1000</f>
        <v>0.71084834776880279</v>
      </c>
      <c r="BR41" s="138">
        <v>405.72265929999998</v>
      </c>
      <c r="BS41" s="138">
        <f>($BR41/$D41)</f>
        <v>364.7452892333601</v>
      </c>
      <c r="BT41" s="363">
        <f>($BR41/$E41)*1000</f>
        <v>1501.6877107426458</v>
      </c>
    </row>
    <row r="42" spans="2:72" x14ac:dyDescent="0.35">
      <c r="B42" s="237">
        <v>34</v>
      </c>
      <c r="C42" s="239" t="s">
        <v>109</v>
      </c>
      <c r="D42" s="360">
        <v>2.3068417060000002</v>
      </c>
      <c r="E42" s="138">
        <v>290.8755941</v>
      </c>
      <c r="F42" s="361">
        <f>$E42/$D42</f>
        <v>126.09256774898969</v>
      </c>
      <c r="G42" s="362">
        <v>18.728732233333332</v>
      </c>
      <c r="H42" s="138">
        <f>$G42/$D42</f>
        <v>8.1187765006245005</v>
      </c>
      <c r="I42" s="242">
        <f>($G42/$E42)*1000</f>
        <v>64.387430960930288</v>
      </c>
      <c r="J42" s="138">
        <v>7.3707012233333336</v>
      </c>
      <c r="K42" s="138">
        <f>($J42/$D42)</f>
        <v>3.195148242795526</v>
      </c>
      <c r="L42" s="242">
        <f>($J42/$E42)*1000</f>
        <v>25.339703202460374</v>
      </c>
      <c r="M42" s="138">
        <v>0</v>
      </c>
      <c r="N42" s="138">
        <f>($M42/$D42)</f>
        <v>0</v>
      </c>
      <c r="O42" s="242">
        <f>($M42/$E42)*1000</f>
        <v>0</v>
      </c>
      <c r="P42" s="138">
        <v>28.709749949999999</v>
      </c>
      <c r="Q42" s="138">
        <f>($P42/$D42)</f>
        <v>12.4454789747069</v>
      </c>
      <c r="R42" s="363">
        <f>($P42/$E42)*1000</f>
        <v>98.701130422547195</v>
      </c>
      <c r="S42" s="362">
        <v>0</v>
      </c>
      <c r="T42" s="138">
        <f>($S42/$D42)</f>
        <v>0</v>
      </c>
      <c r="U42" s="242">
        <f>($S42/$E42)*1000</f>
        <v>0</v>
      </c>
      <c r="V42" s="138">
        <v>0</v>
      </c>
      <c r="W42" s="138">
        <f>($V42/$D42)</f>
        <v>0</v>
      </c>
      <c r="X42" s="242">
        <f>($V42/$E42)*1000</f>
        <v>0</v>
      </c>
      <c r="Y42" s="138">
        <v>0</v>
      </c>
      <c r="Z42" s="138">
        <f>($Y42/$D42)</f>
        <v>0</v>
      </c>
      <c r="AA42" s="242">
        <f>($Y42/$E42)*1000</f>
        <v>0</v>
      </c>
      <c r="AB42" s="138">
        <v>0</v>
      </c>
      <c r="AC42" s="138">
        <f>($AB42/$D42)</f>
        <v>0</v>
      </c>
      <c r="AD42" s="242">
        <f>($AB42/$E42)*1000</f>
        <v>0</v>
      </c>
      <c r="AE42" s="138">
        <v>0</v>
      </c>
      <c r="AF42" s="138">
        <f>($AE42/$D42)</f>
        <v>0</v>
      </c>
      <c r="AG42" s="242">
        <f>($AE42/$E42)*1000</f>
        <v>0</v>
      </c>
      <c r="AH42" s="138">
        <v>2.9964094989999999</v>
      </c>
      <c r="AI42" s="138">
        <f>($AH42/$D42)</f>
        <v>1.298922891504199</v>
      </c>
      <c r="AJ42" s="242">
        <f>($AH42/$E42)*1000</f>
        <v>10.301343803942059</v>
      </c>
      <c r="AK42" s="138">
        <v>0</v>
      </c>
      <c r="AL42" s="138">
        <f>($AK42/$D42)</f>
        <v>0</v>
      </c>
      <c r="AM42" s="364">
        <f>($AK42/$E42)*1000</f>
        <v>0</v>
      </c>
      <c r="AN42" s="138">
        <v>0</v>
      </c>
      <c r="AO42" s="365">
        <f>($AN42/$D42)</f>
        <v>0</v>
      </c>
      <c r="AP42" s="361">
        <f>($AN42/$E42)*1000</f>
        <v>0</v>
      </c>
      <c r="AQ42" s="362">
        <v>21.584944740000001</v>
      </c>
      <c r="AR42" s="138">
        <f>($AQ42/$D42)</f>
        <v>9.3569249610228784</v>
      </c>
      <c r="AS42" s="364">
        <f>($AQ42/$E42)*1000</f>
        <v>74.206792105697687</v>
      </c>
      <c r="AT42" s="138">
        <v>0</v>
      </c>
      <c r="AU42" s="138">
        <f>($AT42/$D42)</f>
        <v>0</v>
      </c>
      <c r="AV42" s="242">
        <f>($AT42/$E42)*1000</f>
        <v>0</v>
      </c>
      <c r="AW42" s="138">
        <v>6.9095184520000004</v>
      </c>
      <c r="AX42" s="138">
        <f>($AW42/$D42)</f>
        <v>2.9952286860553232</v>
      </c>
      <c r="AY42" s="242">
        <f>($AW42/$E42)*1000</f>
        <v>23.754204863349862</v>
      </c>
      <c r="AZ42" s="138">
        <v>2.4242800990000002</v>
      </c>
      <c r="BA42" s="138">
        <f>($AZ42/$D42)</f>
        <v>1.0509087349576469</v>
      </c>
      <c r="BB42" s="242">
        <f>($AZ42/$E42)*1000</f>
        <v>8.3344225097364397</v>
      </c>
      <c r="BC42" s="138">
        <v>303.15330770000003</v>
      </c>
      <c r="BD42" s="138">
        <f>($BC42/$D42)</f>
        <v>131.41487207878666</v>
      </c>
      <c r="BE42" s="242">
        <f>($BC42/$E42)*1000</f>
        <v>1042.2095007248324</v>
      </c>
      <c r="BF42" s="138">
        <v>2.5597522669999999</v>
      </c>
      <c r="BG42" s="138">
        <f>($BF42/$D42)</f>
        <v>1.1096349872391287</v>
      </c>
      <c r="BH42" s="242">
        <f>($BF42/$E42)*1000</f>
        <v>8.8001617149082083</v>
      </c>
      <c r="BI42" s="138">
        <v>0.40903949000000001</v>
      </c>
      <c r="BJ42" s="138">
        <f>($BI42/$D42)</f>
        <v>0.17731580321965965</v>
      </c>
      <c r="BK42" s="242">
        <f>($BI42/$E42)*1000</f>
        <v>1.4062351682189482</v>
      </c>
      <c r="BL42" s="138">
        <v>2.1205918929999998</v>
      </c>
      <c r="BM42" s="138">
        <f>($BL42/$D42)</f>
        <v>0.91926198814787674</v>
      </c>
      <c r="BN42" s="242">
        <f>($BL42/$E42)*1000</f>
        <v>7.2903740843618605</v>
      </c>
      <c r="BO42" s="138">
        <v>3.4339930999999997E-2</v>
      </c>
      <c r="BP42" s="138">
        <f>($BO42/$D42)</f>
        <v>1.4886123703539455E-2</v>
      </c>
      <c r="BQ42" s="242">
        <f>($BO42/$E42)*1000</f>
        <v>0.11805710653123508</v>
      </c>
      <c r="BR42" s="138">
        <v>184.8293328</v>
      </c>
      <c r="BS42" s="138">
        <f>($BR42/$D42)</f>
        <v>80.122243463548685</v>
      </c>
      <c r="BT42" s="363">
        <f>($BR42/$E42)*1000</f>
        <v>635.42399757491376</v>
      </c>
    </row>
    <row r="43" spans="2:72" x14ac:dyDescent="0.35">
      <c r="B43" s="237">
        <v>35</v>
      </c>
      <c r="C43" s="239" t="s">
        <v>110</v>
      </c>
      <c r="D43" s="360">
        <v>1.314530894</v>
      </c>
      <c r="E43" s="138">
        <v>191.64198880000001</v>
      </c>
      <c r="F43" s="361">
        <f>$E43/$D43</f>
        <v>145.78736009531931</v>
      </c>
      <c r="G43" s="362">
        <v>8.0334770222222218</v>
      </c>
      <c r="H43" s="138">
        <f>$G43/$D43</f>
        <v>6.1112881096138176</v>
      </c>
      <c r="I43" s="242">
        <f>($G43/$E43)*1000</f>
        <v>41.919190426509608</v>
      </c>
      <c r="J43" s="138">
        <v>2.6355006733333335</v>
      </c>
      <c r="K43" s="138">
        <f>($J43/$D43)</f>
        <v>2.0048982381188019</v>
      </c>
      <c r="L43" s="242">
        <f>($J43/$E43)*1000</f>
        <v>13.752208948759007</v>
      </c>
      <c r="M43" s="138">
        <v>0.42103071925000002</v>
      </c>
      <c r="N43" s="138">
        <f>($M43/$D43)</f>
        <v>0.32028971032308046</v>
      </c>
      <c r="O43" s="242">
        <f>($M43/$E43)*1000</f>
        <v>2.1969648816856782</v>
      </c>
      <c r="P43" s="138">
        <v>27.90021745</v>
      </c>
      <c r="Q43" s="138">
        <f>($P43/$D43)</f>
        <v>21.224466900965812</v>
      </c>
      <c r="R43" s="363">
        <f>($P43/$E43)*1000</f>
        <v>145.58509658922929</v>
      </c>
      <c r="S43" s="362">
        <v>0</v>
      </c>
      <c r="T43" s="138">
        <f>($S43/$D43)</f>
        <v>0</v>
      </c>
      <c r="U43" s="242">
        <f>($S43/$E43)*1000</f>
        <v>0</v>
      </c>
      <c r="V43" s="138">
        <v>0</v>
      </c>
      <c r="W43" s="138">
        <f>($V43/$D43)</f>
        <v>0</v>
      </c>
      <c r="X43" s="242">
        <f>($V43/$E43)*1000</f>
        <v>0</v>
      </c>
      <c r="Y43" s="138">
        <v>2.9509491999999998E-2</v>
      </c>
      <c r="Z43" s="138">
        <f>($Y43/$D43)</f>
        <v>2.2448686550230291E-2</v>
      </c>
      <c r="AA43" s="242">
        <f>($Y43/$E43)*1000</f>
        <v>0.15398239281891649</v>
      </c>
      <c r="AB43" s="138">
        <v>0</v>
      </c>
      <c r="AC43" s="138">
        <f>($AB43/$D43)</f>
        <v>0</v>
      </c>
      <c r="AD43" s="242">
        <f>($AB43/$E43)*1000</f>
        <v>0</v>
      </c>
      <c r="AE43" s="138">
        <v>0</v>
      </c>
      <c r="AF43" s="138">
        <f>($AE43/$D43)</f>
        <v>0</v>
      </c>
      <c r="AG43" s="242">
        <f>($AE43/$E43)*1000</f>
        <v>0</v>
      </c>
      <c r="AH43" s="138">
        <v>3.4285735879999999</v>
      </c>
      <c r="AI43" s="138">
        <f>($AH43/$D43)</f>
        <v>2.6082107340719523</v>
      </c>
      <c r="AJ43" s="242">
        <f>($AH43/$E43)*1000</f>
        <v>17.890513501078839</v>
      </c>
      <c r="AK43" s="138">
        <v>0</v>
      </c>
      <c r="AL43" s="138">
        <f>($AK43/$D43)</f>
        <v>0</v>
      </c>
      <c r="AM43" s="364">
        <f>($AK43/$E43)*1000</f>
        <v>0</v>
      </c>
      <c r="AN43" s="138">
        <v>0</v>
      </c>
      <c r="AO43" s="365">
        <f>($AN43/$D43)</f>
        <v>0</v>
      </c>
      <c r="AP43" s="361">
        <f>($AN43/$E43)*1000</f>
        <v>0</v>
      </c>
      <c r="AQ43" s="362">
        <v>10.33856894</v>
      </c>
      <c r="AR43" s="138">
        <f>($AQ43/$D43)</f>
        <v>7.8648352710377605</v>
      </c>
      <c r="AS43" s="364">
        <f>($AQ43/$E43)*1000</f>
        <v>53.947305623035774</v>
      </c>
      <c r="AT43" s="138">
        <v>1.1066059E-2</v>
      </c>
      <c r="AU43" s="138">
        <f>($AT43/$D43)</f>
        <v>8.4182570759725323E-3</v>
      </c>
      <c r="AV43" s="242">
        <f>($AT43/$E43)*1000</f>
        <v>5.7743394698062118E-2</v>
      </c>
      <c r="AW43" s="138">
        <v>2.7564337879999998</v>
      </c>
      <c r="AX43" s="138">
        <f>($AW43/$D43)</f>
        <v>2.0968954024446078</v>
      </c>
      <c r="AY43" s="242">
        <f>($AW43/$E43)*1000</f>
        <v>14.383245578173627</v>
      </c>
      <c r="AZ43" s="138">
        <v>0.89005138500000003</v>
      </c>
      <c r="BA43" s="138">
        <f>($AZ43/$D43)</f>
        <v>0.67708669994940418</v>
      </c>
      <c r="BB43" s="242">
        <f>($AZ43/$E43)*1000</f>
        <v>4.6443443348360827</v>
      </c>
      <c r="BC43" s="138">
        <v>432.9220009</v>
      </c>
      <c r="BD43" s="138">
        <f>($BC43/$D43)</f>
        <v>329.3357370876671</v>
      </c>
      <c r="BE43" s="242">
        <f>($BC43/$E43)*1000</f>
        <v>2259.0143402853269</v>
      </c>
      <c r="BF43" s="138">
        <v>34.149840660000002</v>
      </c>
      <c r="BG43" s="138">
        <f>($BF43/$D43)</f>
        <v>25.978728089139913</v>
      </c>
      <c r="BH43" s="242">
        <f>($BF43/$E43)*1000</f>
        <v>178.19602517086798</v>
      </c>
      <c r="BI43" s="138">
        <v>0.519039217</v>
      </c>
      <c r="BJ43" s="138">
        <f>($BI43/$D43)</f>
        <v>0.39484748465713881</v>
      </c>
      <c r="BK43" s="242">
        <f>($BI43/$E43)*1000</f>
        <v>2.7083794123096681</v>
      </c>
      <c r="BL43" s="138">
        <v>1.0630145529999999</v>
      </c>
      <c r="BM43" s="138">
        <f>($BL43/$D43)</f>
        <v>0.80866456456214708</v>
      </c>
      <c r="BN43" s="242">
        <f>($BL43/$E43)*1000</f>
        <v>5.5468770683097812</v>
      </c>
      <c r="BO43" s="138">
        <v>8.3169284999999996E-2</v>
      </c>
      <c r="BP43" s="138">
        <f>($BO43/$D43)</f>
        <v>6.3269174866574115E-2</v>
      </c>
      <c r="BQ43" s="242">
        <f>($BO43/$E43)*1000</f>
        <v>0.43398258137884649</v>
      </c>
      <c r="BR43" s="138">
        <v>293.85992920000001</v>
      </c>
      <c r="BS43" s="138">
        <f>($BR43/$D43)</f>
        <v>223.54737385122272</v>
      </c>
      <c r="BT43" s="363">
        <f>($BR43/$E43)*1000</f>
        <v>1533.3796682034849</v>
      </c>
    </row>
    <row r="44" spans="2:72" x14ac:dyDescent="0.35">
      <c r="B44" s="237">
        <v>36</v>
      </c>
      <c r="C44" s="239" t="s">
        <v>112</v>
      </c>
      <c r="D44" s="360">
        <v>2.5724841000000001</v>
      </c>
      <c r="E44" s="138">
        <v>173.9081213</v>
      </c>
      <c r="F44" s="361">
        <f>$E44/$D44</f>
        <v>67.603186079945061</v>
      </c>
      <c r="G44" s="362">
        <v>5.802779273333333</v>
      </c>
      <c r="H44" s="138">
        <f>$G44/$D44</f>
        <v>2.255710452528485</v>
      </c>
      <c r="I44" s="242">
        <f>($G44/$E44)*1000</f>
        <v>33.366925189901025</v>
      </c>
      <c r="J44" s="138">
        <v>2.2032976666666664</v>
      </c>
      <c r="K44" s="138">
        <f>($J44/$D44)</f>
        <v>0.85648640808573562</v>
      </c>
      <c r="L44" s="242">
        <f>($J44/$E44)*1000</f>
        <v>12.669320157083812</v>
      </c>
      <c r="M44" s="138">
        <v>4.5820918000000002E-2</v>
      </c>
      <c r="N44" s="138">
        <f>($M44/$D44)</f>
        <v>1.7811934386688728E-2</v>
      </c>
      <c r="O44" s="242">
        <f>($M44/$E44)*1000</f>
        <v>0.26347773558519838</v>
      </c>
      <c r="P44" s="138">
        <v>29.21736215</v>
      </c>
      <c r="Q44" s="138">
        <f>($P44/$D44)</f>
        <v>11.357645378643934</v>
      </c>
      <c r="R44" s="363">
        <f>($P44/$E44)*1000</f>
        <v>168.00458731653265</v>
      </c>
      <c r="S44" s="362">
        <v>0</v>
      </c>
      <c r="T44" s="138">
        <f>($S44/$D44)</f>
        <v>0</v>
      </c>
      <c r="U44" s="242">
        <f>($S44/$E44)*1000</f>
        <v>0</v>
      </c>
      <c r="V44" s="138">
        <v>0</v>
      </c>
      <c r="W44" s="138">
        <f>($V44/$D44)</f>
        <v>0</v>
      </c>
      <c r="X44" s="242">
        <f>($V44/$E44)*1000</f>
        <v>0</v>
      </c>
      <c r="Y44" s="138">
        <v>2.6309480000000001E-3</v>
      </c>
      <c r="Z44" s="138">
        <f>($Y44/$D44)</f>
        <v>1.0227266322073672E-3</v>
      </c>
      <c r="AA44" s="242">
        <f>($Y44/$E44)*1000</f>
        <v>1.5128379171329706E-2</v>
      </c>
      <c r="AB44" s="138">
        <v>0</v>
      </c>
      <c r="AC44" s="138">
        <f>($AB44/$D44)</f>
        <v>0</v>
      </c>
      <c r="AD44" s="242">
        <f>($AB44/$E44)*1000</f>
        <v>0</v>
      </c>
      <c r="AE44" s="138">
        <v>0</v>
      </c>
      <c r="AF44" s="138">
        <f>($AE44/$D44)</f>
        <v>0</v>
      </c>
      <c r="AG44" s="242">
        <f>($AE44/$E44)*1000</f>
        <v>0</v>
      </c>
      <c r="AH44" s="138">
        <v>3.4818141680000001</v>
      </c>
      <c r="AI44" s="138">
        <f>($AH44/$D44)</f>
        <v>1.3534832607906109</v>
      </c>
      <c r="AJ44" s="242">
        <f>($AH44/$E44)*1000</f>
        <v>20.020998110799557</v>
      </c>
      <c r="AK44" s="138">
        <v>0</v>
      </c>
      <c r="AL44" s="138">
        <f>($AK44/$D44)</f>
        <v>0</v>
      </c>
      <c r="AM44" s="364">
        <f>($AK44/$E44)*1000</f>
        <v>0</v>
      </c>
      <c r="AN44" s="138">
        <v>0</v>
      </c>
      <c r="AO44" s="365">
        <f>($AN44/$D44)</f>
        <v>0</v>
      </c>
      <c r="AP44" s="361">
        <f>($AN44/$E44)*1000</f>
        <v>0</v>
      </c>
      <c r="AQ44" s="362">
        <v>14.716372249999999</v>
      </c>
      <c r="AR44" s="138">
        <f>($AQ44/$D44)</f>
        <v>5.7206854067630575</v>
      </c>
      <c r="AS44" s="364">
        <f>($AQ44/$E44)*1000</f>
        <v>84.621535440622338</v>
      </c>
      <c r="AT44" s="138">
        <v>0</v>
      </c>
      <c r="AU44" s="138">
        <f>($AT44/$D44)</f>
        <v>0</v>
      </c>
      <c r="AV44" s="242">
        <f>($AT44/$E44)*1000</f>
        <v>0</v>
      </c>
      <c r="AW44" s="138">
        <v>7.1015692440000002</v>
      </c>
      <c r="AX44" s="138">
        <f>($AW44/$D44)</f>
        <v>2.7605881972215105</v>
      </c>
      <c r="AY44" s="242">
        <f>($AW44/$E44)*1000</f>
        <v>40.835178891671461</v>
      </c>
      <c r="AZ44" s="138">
        <v>2.2861608549999999</v>
      </c>
      <c r="BA44" s="138">
        <f>($AZ44/$D44)</f>
        <v>0.88869775910373938</v>
      </c>
      <c r="BB44" s="242">
        <f>($AZ44/$E44)*1000</f>
        <v>13.145796975497543</v>
      </c>
      <c r="BC44" s="138">
        <v>345.45807400000001</v>
      </c>
      <c r="BD44" s="138">
        <f>($BC44/$D44)</f>
        <v>134.28968287889515</v>
      </c>
      <c r="BE44" s="242">
        <f>($BC44/$E44)*1000</f>
        <v>1986.4401467719151</v>
      </c>
      <c r="BF44" s="138">
        <v>2.3561601900000002</v>
      </c>
      <c r="BG44" s="138">
        <f>($BF44/$D44)</f>
        <v>0.91590855313741304</v>
      </c>
      <c r="BH44" s="242">
        <f>($BF44/$E44)*1000</f>
        <v>13.548304543728058</v>
      </c>
      <c r="BI44" s="138">
        <v>0.55944171200000004</v>
      </c>
      <c r="BJ44" s="138">
        <f>($BI44/$D44)</f>
        <v>0.21747139739367097</v>
      </c>
      <c r="BK44" s="242">
        <f>($BI44/$E44)*1000</f>
        <v>3.2168808898518075</v>
      </c>
      <c r="BL44" s="138">
        <v>1.600762773</v>
      </c>
      <c r="BM44" s="138">
        <f>($BL44/$D44)</f>
        <v>0.62226342740077578</v>
      </c>
      <c r="BN44" s="242">
        <f>($BL44/$E44)*1000</f>
        <v>9.2046464594865363</v>
      </c>
      <c r="BO44" s="138">
        <v>5.4811413000000003E-2</v>
      </c>
      <c r="BP44" s="138">
        <f>($BO44/$D44)</f>
        <v>2.1306803412312638E-2</v>
      </c>
      <c r="BQ44" s="242">
        <f>($BO44/$E44)*1000</f>
        <v>0.31517454498543884</v>
      </c>
      <c r="BR44" s="138">
        <v>119.8081468</v>
      </c>
      <c r="BS44" s="138">
        <f>($BR44/$D44)</f>
        <v>46.57293967336863</v>
      </c>
      <c r="BT44" s="363">
        <f>($BR44/$E44)*1000</f>
        <v>688.91634217199726</v>
      </c>
    </row>
    <row r="45" spans="2:72" x14ac:dyDescent="0.35">
      <c r="B45" s="237">
        <v>37</v>
      </c>
      <c r="C45" s="239" t="s">
        <v>113</v>
      </c>
      <c r="D45" s="360">
        <v>1.5052638089999999</v>
      </c>
      <c r="E45" s="138">
        <v>186.57962670000001</v>
      </c>
      <c r="F45" s="361">
        <f>$E45/$D45</f>
        <v>123.95144663974314</v>
      </c>
      <c r="G45" s="362">
        <v>12.157242366666667</v>
      </c>
      <c r="H45" s="138">
        <f>$G45/$D45</f>
        <v>8.0764861906453156</v>
      </c>
      <c r="I45" s="242">
        <f>($G45/$E45)*1000</f>
        <v>65.158466557628003</v>
      </c>
      <c r="J45" s="138">
        <v>4.1042334988888891</v>
      </c>
      <c r="K45" s="138">
        <f>($J45/$D45)</f>
        <v>2.7265875086809381</v>
      </c>
      <c r="L45" s="242">
        <f>($J45/$E45)*1000</f>
        <v>21.997222159137749</v>
      </c>
      <c r="M45" s="138">
        <v>2.11169622275</v>
      </c>
      <c r="N45" s="138">
        <f>($M45/$D45)</f>
        <v>1.4028745061989332</v>
      </c>
      <c r="O45" s="242">
        <f>($M45/$E45)*1000</f>
        <v>11.317935725883837</v>
      </c>
      <c r="P45" s="138">
        <v>16.569446715000002</v>
      </c>
      <c r="Q45" s="138">
        <f>($P45/$D45)</f>
        <v>11.007669629689477</v>
      </c>
      <c r="R45" s="363">
        <f>($P45/$E45)*1000</f>
        <v>88.806302210272364</v>
      </c>
      <c r="S45" s="362">
        <v>5.5819500000000003E-5</v>
      </c>
      <c r="T45" s="138">
        <f>($S45/$D45)</f>
        <v>3.7082868575099053E-5</v>
      </c>
      <c r="U45" s="242">
        <f>($S45/$E45)*1000</f>
        <v>2.991725355402911E-4</v>
      </c>
      <c r="V45" s="138">
        <v>0</v>
      </c>
      <c r="W45" s="138">
        <f>($V45/$D45)</f>
        <v>0</v>
      </c>
      <c r="X45" s="242">
        <f>($V45/$E45)*1000</f>
        <v>0</v>
      </c>
      <c r="Y45" s="138">
        <v>1.497122E-3</v>
      </c>
      <c r="Z45" s="138">
        <f>($Y45/$D45)</f>
        <v>9.9459110824872028E-4</v>
      </c>
      <c r="AA45" s="242">
        <f>($Y45/$E45)*1000</f>
        <v>8.0240379213921964E-3</v>
      </c>
      <c r="AB45" s="138">
        <v>0</v>
      </c>
      <c r="AC45" s="138">
        <f>($AB45/$D45)</f>
        <v>0</v>
      </c>
      <c r="AD45" s="242">
        <f>($AB45/$E45)*1000</f>
        <v>0</v>
      </c>
      <c r="AE45" s="138">
        <v>5.3199599999999997E-4</v>
      </c>
      <c r="AF45" s="138">
        <f>($AE45/$D45)</f>
        <v>3.534237632096023E-4</v>
      </c>
      <c r="AG45" s="242">
        <f>($AE45/$E45)*1000</f>
        <v>2.8513080951512049E-3</v>
      </c>
      <c r="AH45" s="138">
        <v>3.2779318220000002</v>
      </c>
      <c r="AI45" s="138">
        <f>($AH45/$D45)</f>
        <v>2.1776460726692464</v>
      </c>
      <c r="AJ45" s="242">
        <f>($AH45/$E45)*1000</f>
        <v>17.568541002981863</v>
      </c>
      <c r="AK45" s="138">
        <v>0.10768902800000001</v>
      </c>
      <c r="AL45" s="138">
        <f>($AK45/$D45)</f>
        <v>7.1541631012534371E-2</v>
      </c>
      <c r="AM45" s="364">
        <f>($AK45/$E45)*1000</f>
        <v>0.57717463532689117</v>
      </c>
      <c r="AN45" s="138">
        <v>0.38386859200000001</v>
      </c>
      <c r="AO45" s="365">
        <f>($AN45/$D45)</f>
        <v>0.25501748577547845</v>
      </c>
      <c r="AP45" s="361">
        <f>($AN45/$E45)*1000</f>
        <v>2.0573982207458239</v>
      </c>
      <c r="AQ45" s="362">
        <v>18.079365930000002</v>
      </c>
      <c r="AR45" s="138">
        <f>($AQ45/$D45)</f>
        <v>12.010762380589464</v>
      </c>
      <c r="AS45" s="364">
        <f>($AQ45/$E45)*1000</f>
        <v>96.898928622414289</v>
      </c>
      <c r="AT45" s="138">
        <v>2.0578480999999999E-2</v>
      </c>
      <c r="AU45" s="138">
        <f>($AT45/$D45)</f>
        <v>1.3671012932723742E-2</v>
      </c>
      <c r="AV45" s="242">
        <f>($AT45/$E45)*1000</f>
        <v>0.11029329066612394</v>
      </c>
      <c r="AW45" s="138">
        <v>3.0089393580000001</v>
      </c>
      <c r="AX45" s="138">
        <f>($AW45/$D45)</f>
        <v>1.9989448626941646</v>
      </c>
      <c r="AY45" s="242">
        <f>($AW45/$E45)*1000</f>
        <v>16.126837700442245</v>
      </c>
      <c r="AZ45" s="138">
        <v>0.87182898399999997</v>
      </c>
      <c r="BA45" s="138">
        <f>($AZ45/$D45)</f>
        <v>0.57918683674404348</v>
      </c>
      <c r="BB45" s="242">
        <f>($AZ45/$E45)*1000</f>
        <v>4.6726912226156792</v>
      </c>
      <c r="BC45" s="138">
        <v>379.98173809999997</v>
      </c>
      <c r="BD45" s="138">
        <f>($BC45/$D45)</f>
        <v>252.43531122457219</v>
      </c>
      <c r="BE45" s="242">
        <f>($BC45/$E45)*1000</f>
        <v>2036.5660754106329</v>
      </c>
      <c r="BF45" s="138">
        <v>9.2181408769999997</v>
      </c>
      <c r="BG45" s="138">
        <f>($BF45/$D45)</f>
        <v>6.1239370945375597</v>
      </c>
      <c r="BH45" s="242">
        <f>($BF45/$E45)*1000</f>
        <v>49.405934828145945</v>
      </c>
      <c r="BI45" s="138">
        <v>0.33783635099999998</v>
      </c>
      <c r="BJ45" s="138">
        <f>($BI45/$D45)</f>
        <v>0.22443663959770391</v>
      </c>
      <c r="BK45" s="242">
        <f>($BI45/$E45)*1000</f>
        <v>1.8106818894176724</v>
      </c>
      <c r="BL45" s="138">
        <v>0.66664970099999998</v>
      </c>
      <c r="BM45" s="138">
        <f>($BL45/$D45)</f>
        <v>0.44287898042462004</v>
      </c>
      <c r="BN45" s="242">
        <f>($BL45/$E45)*1000</f>
        <v>3.5730037238840717</v>
      </c>
      <c r="BO45" s="138">
        <v>0.74165042400000003</v>
      </c>
      <c r="BP45" s="138">
        <f>($BO45/$D45)</f>
        <v>0.4927046140122805</v>
      </c>
      <c r="BQ45" s="242">
        <f>($BO45/$E45)*1000</f>
        <v>3.9749807474558527</v>
      </c>
      <c r="BR45" s="138">
        <v>1014.235724</v>
      </c>
      <c r="BS45" s="138">
        <f>($BR45/$D45)</f>
        <v>673.79267204583414</v>
      </c>
      <c r="BT45" s="363">
        <f>($BR45/$E45)*1000</f>
        <v>5435.9403646507562</v>
      </c>
    </row>
    <row r="46" spans="2:72" x14ac:dyDescent="0.35">
      <c r="B46" s="237">
        <v>38</v>
      </c>
      <c r="C46" s="239" t="s">
        <v>115</v>
      </c>
      <c r="D46" s="360">
        <v>0.39142364899999998</v>
      </c>
      <c r="E46" s="138">
        <v>118.80649219999999</v>
      </c>
      <c r="F46" s="361">
        <f>$E46/$D46</f>
        <v>303.52405252856857</v>
      </c>
      <c r="G46" s="362">
        <v>2.2872940533333335</v>
      </c>
      <c r="H46" s="138">
        <f>$G46/$D46</f>
        <v>5.8435254466020616</v>
      </c>
      <c r="I46" s="242">
        <f>($G46/$E46)*1000</f>
        <v>19.252264846628758</v>
      </c>
      <c r="J46" s="138">
        <v>0.41891491433333333</v>
      </c>
      <c r="K46" s="138">
        <f>($J46/$D46)</f>
        <v>1.0702340428422437</v>
      </c>
      <c r="L46" s="242">
        <f>($J46/$E46)*1000</f>
        <v>3.5260271267678531</v>
      </c>
      <c r="M46" s="138">
        <v>18.772537435</v>
      </c>
      <c r="N46" s="138">
        <f>($M46/$D46)</f>
        <v>47.959640361433557</v>
      </c>
      <c r="O46" s="242">
        <f>($M46/$E46)*1000</f>
        <v>158.00935695835653</v>
      </c>
      <c r="P46" s="138">
        <v>6.8113313849999999</v>
      </c>
      <c r="Q46" s="138">
        <f>($P46/$D46)</f>
        <v>17.40143040003186</v>
      </c>
      <c r="R46" s="363">
        <f>($P46/$E46)*1000</f>
        <v>57.331306217961043</v>
      </c>
      <c r="S46" s="362">
        <v>0.498186201</v>
      </c>
      <c r="T46" s="138">
        <f>($S46/$D46)</f>
        <v>1.2727544752923194</v>
      </c>
      <c r="U46" s="242">
        <f>($S46/$E46)*1000</f>
        <v>4.1932573866531513</v>
      </c>
      <c r="V46" s="138">
        <v>0</v>
      </c>
      <c r="W46" s="138">
        <f>($V46/$D46)</f>
        <v>0</v>
      </c>
      <c r="X46" s="242">
        <f>($V46/$E46)*1000</f>
        <v>0</v>
      </c>
      <c r="Y46" s="138">
        <v>0</v>
      </c>
      <c r="Z46" s="138">
        <f>($Y46/$D46)</f>
        <v>0</v>
      </c>
      <c r="AA46" s="242">
        <f>($Y46/$E46)*1000</f>
        <v>0</v>
      </c>
      <c r="AB46" s="138">
        <v>0</v>
      </c>
      <c r="AC46" s="138">
        <f>($AB46/$D46)</f>
        <v>0</v>
      </c>
      <c r="AD46" s="242">
        <f>($AB46/$E46)*1000</f>
        <v>0</v>
      </c>
      <c r="AE46" s="138">
        <v>0</v>
      </c>
      <c r="AF46" s="138">
        <f>($AE46/$D46)</f>
        <v>0</v>
      </c>
      <c r="AG46" s="242">
        <f>($AE46/$E46)*1000</f>
        <v>0</v>
      </c>
      <c r="AH46" s="138">
        <v>5.8211063E-2</v>
      </c>
      <c r="AI46" s="138">
        <f>($AH46/$D46)</f>
        <v>0.14871626471399024</v>
      </c>
      <c r="AJ46" s="242">
        <f>($AH46/$E46)*1000</f>
        <v>0.4899653370962837</v>
      </c>
      <c r="AK46" s="138">
        <v>1.523379147</v>
      </c>
      <c r="AL46" s="138">
        <f>($AK46/$D46)</f>
        <v>3.8918934788224817</v>
      </c>
      <c r="AM46" s="364">
        <f>($AK46/$E46)*1000</f>
        <v>12.822356074914902</v>
      </c>
      <c r="AN46" s="138">
        <v>0</v>
      </c>
      <c r="AO46" s="365">
        <f>($AN46/$D46)</f>
        <v>0</v>
      </c>
      <c r="AP46" s="361">
        <f>($AN46/$E46)*1000</f>
        <v>0</v>
      </c>
      <c r="AQ46" s="362">
        <v>39.477694309999997</v>
      </c>
      <c r="AR46" s="138">
        <f>($AQ46/$D46)</f>
        <v>100.85669174782028</v>
      </c>
      <c r="AS46" s="364">
        <f>($AQ46/$E46)*1000</f>
        <v>332.28566536198093</v>
      </c>
      <c r="AT46" s="138">
        <v>6.1826474510000002</v>
      </c>
      <c r="AU46" s="138">
        <f>($AT46/$D46)</f>
        <v>15.795283363167464</v>
      </c>
      <c r="AV46" s="242">
        <f>($AT46/$E46)*1000</f>
        <v>52.03964309115424</v>
      </c>
      <c r="AW46" s="138">
        <v>99.931615730000004</v>
      </c>
      <c r="AX46" s="138">
        <f>($AW46/$D46)</f>
        <v>255.30295878979967</v>
      </c>
      <c r="AY46" s="242">
        <f>($AW46/$E46)*1000</f>
        <v>841.12925042660254</v>
      </c>
      <c r="AZ46" s="138">
        <v>1.951773886</v>
      </c>
      <c r="BA46" s="138">
        <f>($AZ46/$D46)</f>
        <v>4.9863463564001469</v>
      </c>
      <c r="BB46" s="242">
        <f>($AZ46/$E46)*1000</f>
        <v>16.428175345118053</v>
      </c>
      <c r="BC46" s="138">
        <v>392.0776156</v>
      </c>
      <c r="BD46" s="138">
        <f>($BC46/$D46)</f>
        <v>1001.6707386016935</v>
      </c>
      <c r="BE46" s="242">
        <f>($BC46/$E46)*1000</f>
        <v>3300.1362832931113</v>
      </c>
      <c r="BF46" s="138">
        <v>6.3978165919999999</v>
      </c>
      <c r="BG46" s="138">
        <f>($BF46/$D46)</f>
        <v>16.344992461096801</v>
      </c>
      <c r="BH46" s="242">
        <f>($BF46/$E46)*1000</f>
        <v>53.850732174045284</v>
      </c>
      <c r="BI46" s="138">
        <v>0.15498852099999999</v>
      </c>
      <c r="BJ46" s="138">
        <f>($BI46/$D46)</f>
        <v>0.39596105497447853</v>
      </c>
      <c r="BK46" s="242">
        <f>($BI46/$E46)*1000</f>
        <v>1.3045458891176656</v>
      </c>
      <c r="BL46" s="138">
        <v>4.9178312000000002E-2</v>
      </c>
      <c r="BM46" s="138">
        <f>($BL46/$D46)</f>
        <v>0.12563960334445712</v>
      </c>
      <c r="BN46" s="242">
        <f>($BL46/$E46)*1000</f>
        <v>0.4139362343701955</v>
      </c>
      <c r="BO46" s="138">
        <v>2.4100940309999999</v>
      </c>
      <c r="BP46" s="138">
        <f>($BO46/$D46)</f>
        <v>6.1572519625660123</v>
      </c>
      <c r="BQ46" s="242">
        <f>($BO46/$E46)*1000</f>
        <v>20.285878207251709</v>
      </c>
      <c r="BR46" s="138">
        <v>216.5163901</v>
      </c>
      <c r="BS46" s="138">
        <f>($BR46/$D46)</f>
        <v>553.15101847614733</v>
      </c>
      <c r="BT46" s="363">
        <f>($BR46/$E46)*1000</f>
        <v>1822.4289438283745</v>
      </c>
    </row>
    <row r="47" spans="2:72" x14ac:dyDescent="0.35">
      <c r="B47" s="237">
        <v>39</v>
      </c>
      <c r="C47" s="239" t="s">
        <v>117</v>
      </c>
      <c r="D47" s="360">
        <v>0.37873401600000001</v>
      </c>
      <c r="E47" s="138">
        <v>86.287961640000006</v>
      </c>
      <c r="F47" s="361">
        <f>$E47/$D47</f>
        <v>227.8326160172526</v>
      </c>
      <c r="G47" s="362">
        <v>0.57174794555555553</v>
      </c>
      <c r="H47" s="138">
        <f>$G47/$D47</f>
        <v>1.5096292421633326</v>
      </c>
      <c r="I47" s="242">
        <f>($G47/$E47)*1000</f>
        <v>6.6260453334259042</v>
      </c>
      <c r="J47" s="138">
        <v>0.15203085122222224</v>
      </c>
      <c r="K47" s="138">
        <f>($J47/$D47)</f>
        <v>0.40141852804217681</v>
      </c>
      <c r="L47" s="242">
        <f>($J47/$E47)*1000</f>
        <v>1.7619010616626525</v>
      </c>
      <c r="M47" s="138">
        <v>17.275606982500001</v>
      </c>
      <c r="N47" s="138">
        <f>($M47/$D47)</f>
        <v>45.614088655031189</v>
      </c>
      <c r="O47" s="242">
        <f>($M47/$E47)*1000</f>
        <v>200.20877367082977</v>
      </c>
      <c r="P47" s="138">
        <v>4.8575667625000003</v>
      </c>
      <c r="Q47" s="138">
        <f>($P47/$D47)</f>
        <v>12.825800053037751</v>
      </c>
      <c r="R47" s="363">
        <f>($P47/$E47)*1000</f>
        <v>56.294837311908488</v>
      </c>
      <c r="S47" s="362">
        <v>0.48626191400000002</v>
      </c>
      <c r="T47" s="138">
        <f>($S47/$D47)</f>
        <v>1.2839140226580545</v>
      </c>
      <c r="U47" s="242">
        <f>($S47/$E47)*1000</f>
        <v>5.6353389830753216</v>
      </c>
      <c r="V47" s="138">
        <v>0</v>
      </c>
      <c r="W47" s="138">
        <f>($V47/$D47)</f>
        <v>0</v>
      </c>
      <c r="X47" s="242">
        <f>($V47/$E47)*1000</f>
        <v>0</v>
      </c>
      <c r="Y47" s="138">
        <v>0</v>
      </c>
      <c r="Z47" s="138">
        <f>($Y47/$D47)</f>
        <v>0</v>
      </c>
      <c r="AA47" s="242">
        <f>($Y47/$E47)*1000</f>
        <v>0</v>
      </c>
      <c r="AB47" s="138">
        <v>0</v>
      </c>
      <c r="AC47" s="138">
        <f>($AB47/$D47)</f>
        <v>0</v>
      </c>
      <c r="AD47" s="242">
        <f>($AB47/$E47)*1000</f>
        <v>0</v>
      </c>
      <c r="AE47" s="138">
        <v>0</v>
      </c>
      <c r="AF47" s="138">
        <f>($AE47/$D47)</f>
        <v>0</v>
      </c>
      <c r="AG47" s="242">
        <f>($AE47/$E47)*1000</f>
        <v>0</v>
      </c>
      <c r="AH47" s="138">
        <v>3.2646626999999998E-2</v>
      </c>
      <c r="AI47" s="138">
        <f>($AH47/$D47)</f>
        <v>8.6199352634858117E-2</v>
      </c>
      <c r="AJ47" s="242">
        <f>($AH47/$E47)*1000</f>
        <v>0.37834509448959086</v>
      </c>
      <c r="AK47" s="138">
        <v>0</v>
      </c>
      <c r="AL47" s="138">
        <f>($AK47/$D47)</f>
        <v>0</v>
      </c>
      <c r="AM47" s="364">
        <f>($AK47/$E47)*1000</f>
        <v>0</v>
      </c>
      <c r="AN47" s="138">
        <v>3.5766350125000002</v>
      </c>
      <c r="AO47" s="365">
        <f>($AN47/$D47)</f>
        <v>9.443659300198691</v>
      </c>
      <c r="AP47" s="361">
        <f>($AN47/$E47)*1000</f>
        <v>41.44998844012558</v>
      </c>
      <c r="AQ47" s="362">
        <v>33.513266999999999</v>
      </c>
      <c r="AR47" s="138">
        <f>($AQ47/$D47)</f>
        <v>88.487607619591259</v>
      </c>
      <c r="AS47" s="364">
        <f>($AQ47/$E47)*1000</f>
        <v>388.38867395917777</v>
      </c>
      <c r="AT47" s="138">
        <v>4.1820384009999998</v>
      </c>
      <c r="AU47" s="138">
        <f>($AT47/$D47)</f>
        <v>11.042151547855685</v>
      </c>
      <c r="AV47" s="242">
        <f>($AT47/$E47)*1000</f>
        <v>48.466070139051205</v>
      </c>
      <c r="AW47" s="138">
        <v>27.502608670000001</v>
      </c>
      <c r="AX47" s="138">
        <f>($AW47/$D47)</f>
        <v>72.617212893810944</v>
      </c>
      <c r="AY47" s="242">
        <f>($AW47/$E47)*1000</f>
        <v>318.73054070674419</v>
      </c>
      <c r="AZ47" s="138">
        <v>1.3248078590000001</v>
      </c>
      <c r="BA47" s="138">
        <f>($AZ47/$D47)</f>
        <v>3.4979901541244187</v>
      </c>
      <c r="BB47" s="242">
        <f>($AZ47/$E47)*1000</f>
        <v>15.353333580032867</v>
      </c>
      <c r="BC47" s="138">
        <v>267.0077139</v>
      </c>
      <c r="BD47" s="138">
        <f>($BC47/$D47)</f>
        <v>705.0006142041384</v>
      </c>
      <c r="BE47" s="242">
        <f>($BC47/$E47)*1000</f>
        <v>3094.379665775125</v>
      </c>
      <c r="BF47" s="138">
        <v>3.954449179</v>
      </c>
      <c r="BG47" s="138">
        <f>($BF47/$D47)</f>
        <v>10.44123055215616</v>
      </c>
      <c r="BH47" s="242">
        <f>($BF47/$E47)*1000</f>
        <v>45.828515401699548</v>
      </c>
      <c r="BI47" s="138">
        <v>9.3162831000000002E-2</v>
      </c>
      <c r="BJ47" s="138">
        <f>($BI47/$D47)</f>
        <v>0.24598485233499598</v>
      </c>
      <c r="BK47" s="242">
        <f>($BI47/$E47)*1000</f>
        <v>1.0796735631406207</v>
      </c>
      <c r="BL47" s="138">
        <v>1.0156728E-2</v>
      </c>
      <c r="BM47" s="138">
        <f>($BL47/$D47)</f>
        <v>2.6817575319139014E-2</v>
      </c>
      <c r="BN47" s="242">
        <f>($BL47/$E47)*1000</f>
        <v>0.11770735809445411</v>
      </c>
      <c r="BO47" s="138">
        <v>0.80473664300000003</v>
      </c>
      <c r="BP47" s="138">
        <f>($BO47/$D47)</f>
        <v>2.1248068802988112</v>
      </c>
      <c r="BQ47" s="242">
        <f>($BO47/$E47)*1000</f>
        <v>9.3261751431494364</v>
      </c>
      <c r="BR47" s="138">
        <v>384.95147320000001</v>
      </c>
      <c r="BS47" s="138">
        <f>($BR47/$D47)</f>
        <v>1016.4164213863484</v>
      </c>
      <c r="BT47" s="363">
        <f>($BR47/$E47)*1000</f>
        <v>4461.2419378504628</v>
      </c>
    </row>
    <row r="48" spans="2:72" x14ac:dyDescent="0.35">
      <c r="B48" s="237">
        <v>40</v>
      </c>
      <c r="C48" s="239" t="s">
        <v>119</v>
      </c>
      <c r="D48" s="360">
        <v>0.33354040000000001</v>
      </c>
      <c r="E48" s="138">
        <v>144</v>
      </c>
      <c r="F48" s="361">
        <f>$E48/$D48</f>
        <v>431.73180820074566</v>
      </c>
      <c r="G48" s="362">
        <v>5.71</v>
      </c>
      <c r="H48" s="138">
        <f>$G48/$D48</f>
        <v>17.119365450182347</v>
      </c>
      <c r="I48" s="242">
        <f>($G48/$E48)*1000</f>
        <v>39.652777777777779</v>
      </c>
      <c r="J48" s="138">
        <v>0.9910000000000001</v>
      </c>
      <c r="K48" s="138">
        <f>($J48/$D48)</f>
        <v>2.9711543189370766</v>
      </c>
      <c r="L48" s="242">
        <f>($J48/$E48)*1000</f>
        <v>6.8819444444444446</v>
      </c>
      <c r="M48" s="138">
        <v>17.8</v>
      </c>
      <c r="N48" s="138">
        <f>($M48/$D48)</f>
        <v>53.366848513703289</v>
      </c>
      <c r="O48" s="242">
        <f>($M48/$E48)*1000</f>
        <v>123.61111111111111</v>
      </c>
      <c r="P48" s="138">
        <v>6.12</v>
      </c>
      <c r="Q48" s="138">
        <f>($P48/$D48)</f>
        <v>18.348601848531693</v>
      </c>
      <c r="R48" s="363">
        <f>($P48/$E48)*1000</f>
        <v>42.5</v>
      </c>
      <c r="S48" s="362">
        <v>0.56000000000000005</v>
      </c>
      <c r="T48" s="138">
        <f>($S48/$D48)</f>
        <v>1.6789570318917888</v>
      </c>
      <c r="U48" s="242">
        <f>($S48/$E48)*1000</f>
        <v>3.8888888888888893</v>
      </c>
      <c r="V48" s="138">
        <v>0</v>
      </c>
      <c r="W48" s="138">
        <f>($V48/$D48)</f>
        <v>0</v>
      </c>
      <c r="X48" s="242">
        <f>($V48/$E48)*1000</f>
        <v>0</v>
      </c>
      <c r="Y48" s="138">
        <v>0</v>
      </c>
      <c r="Z48" s="138">
        <f>($Y48/$D48)</f>
        <v>0</v>
      </c>
      <c r="AA48" s="242">
        <f>($Y48/$E48)*1000</f>
        <v>0</v>
      </c>
      <c r="AB48" s="138">
        <v>0</v>
      </c>
      <c r="AC48" s="138">
        <f>($AB48/$D48)</f>
        <v>0</v>
      </c>
      <c r="AD48" s="242">
        <f>($AB48/$E48)*1000</f>
        <v>0</v>
      </c>
      <c r="AE48" s="138">
        <v>0</v>
      </c>
      <c r="AF48" s="138">
        <f>($AE48/$D48)</f>
        <v>0</v>
      </c>
      <c r="AG48" s="242">
        <f>($AE48/$E48)*1000</f>
        <v>0</v>
      </c>
      <c r="AH48" s="138">
        <v>0</v>
      </c>
      <c r="AI48" s="138">
        <f>($AH48/$D48)</f>
        <v>0</v>
      </c>
      <c r="AJ48" s="242">
        <f>($AH48/$E48)*1000</f>
        <v>0</v>
      </c>
      <c r="AK48" s="138">
        <v>4.37</v>
      </c>
      <c r="AL48" s="138">
        <f>($AK48/$D48)</f>
        <v>13.101861123869853</v>
      </c>
      <c r="AM48" s="364">
        <f>($AK48/$E48)*1000</f>
        <v>30.347222222222225</v>
      </c>
      <c r="AN48" s="138">
        <v>0</v>
      </c>
      <c r="AO48" s="365">
        <f>($AN48/$D48)</f>
        <v>0</v>
      </c>
      <c r="AP48" s="361">
        <f>($AN48/$E48)*1000</f>
        <v>0</v>
      </c>
      <c r="AQ48" s="362">
        <v>35</v>
      </c>
      <c r="AR48" s="138">
        <f>($AQ48/$D48)</f>
        <v>104.9348144932368</v>
      </c>
      <c r="AS48" s="364">
        <f>($AQ48/$E48)*1000</f>
        <v>243.05555555555554</v>
      </c>
      <c r="AT48" s="138">
        <v>5.4</v>
      </c>
      <c r="AU48" s="138">
        <f>($AT48/$D48)</f>
        <v>16.189942807527963</v>
      </c>
      <c r="AV48" s="242">
        <f>($AT48/$E48)*1000</f>
        <v>37.500000000000007</v>
      </c>
      <c r="AW48" s="138">
        <v>70</v>
      </c>
      <c r="AX48" s="138">
        <f>($AW48/$D48)</f>
        <v>209.8696289864736</v>
      </c>
      <c r="AY48" s="242">
        <f>($AW48/$E48)*1000</f>
        <v>486.11111111111109</v>
      </c>
      <c r="AZ48" s="138">
        <v>1.58</v>
      </c>
      <c r="BA48" s="138">
        <f>($AZ48/$D48)</f>
        <v>4.7370573399804039</v>
      </c>
      <c r="BB48" s="242">
        <f>($AZ48/$E48)*1000</f>
        <v>10.972222222222223</v>
      </c>
      <c r="BC48" s="138">
        <v>345</v>
      </c>
      <c r="BD48" s="138">
        <f>($BC48/$D48)</f>
        <v>1034.3574571476199</v>
      </c>
      <c r="BE48" s="242">
        <f>($BC48/$E48)*1000</f>
        <v>2395.8333333333335</v>
      </c>
      <c r="BF48" s="138">
        <v>0</v>
      </c>
      <c r="BG48" s="138">
        <f>($BF48/$D48)</f>
        <v>0</v>
      </c>
      <c r="BH48" s="242">
        <f>($BF48/$E48)*1000</f>
        <v>0</v>
      </c>
      <c r="BI48" s="138">
        <v>0.153</v>
      </c>
      <c r="BJ48" s="138">
        <f>($BI48/$D48)</f>
        <v>0.45871504621329229</v>
      </c>
      <c r="BK48" s="242">
        <f>($BI48/$E48)*1000</f>
        <v>1.0625</v>
      </c>
      <c r="BL48" s="138">
        <v>0</v>
      </c>
      <c r="BM48" s="138">
        <f>($BL48/$D48)</f>
        <v>0</v>
      </c>
      <c r="BN48" s="242">
        <f>($BL48/$E48)*1000</f>
        <v>0</v>
      </c>
      <c r="BO48" s="138">
        <v>3.9</v>
      </c>
      <c r="BP48" s="138">
        <f>($BO48/$D48)</f>
        <v>11.692736472103528</v>
      </c>
      <c r="BQ48" s="242">
        <f>($BO48/$E48)*1000</f>
        <v>27.083333333333336</v>
      </c>
      <c r="BR48" s="138">
        <v>325</v>
      </c>
      <c r="BS48" s="138">
        <f>($BR48/$D48)</f>
        <v>974.3947060086274</v>
      </c>
      <c r="BT48" s="363">
        <f>($BR48/$E48)*1000</f>
        <v>2256.9444444444448</v>
      </c>
    </row>
    <row r="49" spans="2:72" x14ac:dyDescent="0.35">
      <c r="B49" s="237">
        <v>41</v>
      </c>
      <c r="C49" s="239" t="s">
        <v>120</v>
      </c>
      <c r="D49" s="360">
        <v>0.301506622</v>
      </c>
      <c r="E49" s="138">
        <v>105</v>
      </c>
      <c r="F49" s="361">
        <f>$E49/$D49</f>
        <v>348.25105765007044</v>
      </c>
      <c r="G49" s="362">
        <v>0.89</v>
      </c>
      <c r="H49" s="138">
        <f>$G49/$D49</f>
        <v>2.9518422981767878</v>
      </c>
      <c r="I49" s="242">
        <f>($G49/$E49)*1000</f>
        <v>8.4761904761904763</v>
      </c>
      <c r="J49" s="138">
        <v>0.23100000000000001</v>
      </c>
      <c r="K49" s="138">
        <f>($J49/$D49)</f>
        <v>0.76615232683015499</v>
      </c>
      <c r="L49" s="242">
        <f>($J49/$E49)*1000</f>
        <v>2.2000000000000002</v>
      </c>
      <c r="M49" s="138">
        <v>21.57</v>
      </c>
      <c r="N49" s="138">
        <f>($M49/$D49)</f>
        <v>71.540717271543045</v>
      </c>
      <c r="O49" s="242">
        <f>($M49/$E49)*1000</f>
        <v>205.42857142857144</v>
      </c>
      <c r="P49" s="138">
        <v>4.5199999999999996</v>
      </c>
      <c r="Q49" s="138">
        <f>($P49/$D49)</f>
        <v>14.991378862650651</v>
      </c>
      <c r="R49" s="363">
        <f>($P49/$E49)*1000</f>
        <v>43.047619047619044</v>
      </c>
      <c r="S49" s="362">
        <v>0.4</v>
      </c>
      <c r="T49" s="138">
        <f>($S49/$D49)</f>
        <v>1.3266706958097922</v>
      </c>
      <c r="U49" s="242">
        <f>($S49/$E49)*1000</f>
        <v>3.8095238095238093</v>
      </c>
      <c r="V49" s="138">
        <v>0</v>
      </c>
      <c r="W49" s="138">
        <f>($V49/$D49)</f>
        <v>0</v>
      </c>
      <c r="X49" s="242">
        <f>($V49/$E49)*1000</f>
        <v>0</v>
      </c>
      <c r="Y49" s="138">
        <v>0</v>
      </c>
      <c r="Z49" s="138">
        <f>($Y49/$D49)</f>
        <v>0</v>
      </c>
      <c r="AA49" s="242">
        <f>($Y49/$E49)*1000</f>
        <v>0</v>
      </c>
      <c r="AB49" s="138">
        <v>0</v>
      </c>
      <c r="AC49" s="138">
        <f>($AB49/$D49)</f>
        <v>0</v>
      </c>
      <c r="AD49" s="242">
        <f>($AB49/$E49)*1000</f>
        <v>0</v>
      </c>
      <c r="AE49" s="138">
        <v>0</v>
      </c>
      <c r="AF49" s="138">
        <f>($AE49/$D49)</f>
        <v>0</v>
      </c>
      <c r="AG49" s="242">
        <f>($AE49/$E49)*1000</f>
        <v>0</v>
      </c>
      <c r="AH49" s="138">
        <v>0.17</v>
      </c>
      <c r="AI49" s="138">
        <f>($AH49/$D49)</f>
        <v>0.56383504571916176</v>
      </c>
      <c r="AJ49" s="242">
        <f>($AH49/$E49)*1000</f>
        <v>1.6190476190476191</v>
      </c>
      <c r="AK49" s="138">
        <v>0</v>
      </c>
      <c r="AL49" s="138">
        <f>($AK49/$D49)</f>
        <v>0</v>
      </c>
      <c r="AM49" s="364">
        <f>($AK49/$E49)*1000</f>
        <v>0</v>
      </c>
      <c r="AN49" s="138">
        <v>6.6779999999999999</v>
      </c>
      <c r="AO49" s="365">
        <f>($AN49/$D49)</f>
        <v>22.148767266544482</v>
      </c>
      <c r="AP49" s="361">
        <f>($AN49/$E49)*1000</f>
        <v>63.6</v>
      </c>
      <c r="AQ49" s="362">
        <v>39</v>
      </c>
      <c r="AR49" s="138">
        <f>($AQ49/$D49)</f>
        <v>129.35039284145475</v>
      </c>
      <c r="AS49" s="364">
        <f>($AQ49/$E49)*1000</f>
        <v>371.42857142857144</v>
      </c>
      <c r="AT49" s="138">
        <v>4.4000000000000004</v>
      </c>
      <c r="AU49" s="138">
        <f>($AT49/$D49)</f>
        <v>14.593377653907716</v>
      </c>
      <c r="AV49" s="242">
        <f>($AT49/$E49)*1000</f>
        <v>41.904761904761912</v>
      </c>
      <c r="AW49" s="138">
        <v>8</v>
      </c>
      <c r="AX49" s="138">
        <f>($AW49/$D49)</f>
        <v>26.533413916195844</v>
      </c>
      <c r="AY49" s="242">
        <f>($AW49/$E49)*1000</f>
        <v>76.190476190476204</v>
      </c>
      <c r="AZ49" s="138">
        <v>1.4</v>
      </c>
      <c r="BA49" s="138">
        <f>($AZ49/$D49)</f>
        <v>4.6433474353342721</v>
      </c>
      <c r="BB49" s="242">
        <f>($AZ49/$E49)*1000</f>
        <v>13.333333333333332</v>
      </c>
      <c r="BC49" s="138">
        <v>231</v>
      </c>
      <c r="BD49" s="138">
        <f>($BC49/$D49)</f>
        <v>766.15232683015495</v>
      </c>
      <c r="BE49" s="242">
        <f>($BC49/$E49)*1000</f>
        <v>2200</v>
      </c>
      <c r="BF49" s="138">
        <v>1</v>
      </c>
      <c r="BG49" s="138">
        <f>($BF49/$D49)</f>
        <v>3.3166767395244805</v>
      </c>
      <c r="BH49" s="242">
        <f>($BF49/$E49)*1000</f>
        <v>9.5238095238095255</v>
      </c>
      <c r="BI49" s="138">
        <v>0.05</v>
      </c>
      <c r="BJ49" s="138">
        <f>($BI49/$D49)</f>
        <v>0.16583383697622403</v>
      </c>
      <c r="BK49" s="242">
        <f>($BI49/$E49)*1000</f>
        <v>0.47619047619047616</v>
      </c>
      <c r="BL49" s="138">
        <v>0</v>
      </c>
      <c r="BM49" s="138">
        <f>($BL49/$D49)</f>
        <v>0</v>
      </c>
      <c r="BN49" s="242">
        <f>($BL49/$E49)*1000</f>
        <v>0</v>
      </c>
      <c r="BO49" s="138">
        <v>0</v>
      </c>
      <c r="BP49" s="138">
        <f>($BO49/$D49)</f>
        <v>0</v>
      </c>
      <c r="BQ49" s="242">
        <f>($BO49/$E49)*1000</f>
        <v>0</v>
      </c>
      <c r="BR49" s="138">
        <v>391</v>
      </c>
      <c r="BS49" s="138">
        <f>($BR49/$D49)</f>
        <v>1296.8206051540719</v>
      </c>
      <c r="BT49" s="363">
        <f>($BR49/$E49)*1000</f>
        <v>3723.8095238095239</v>
      </c>
    </row>
    <row r="50" spans="2:72" x14ac:dyDescent="0.35">
      <c r="B50" s="237">
        <v>42</v>
      </c>
      <c r="C50" s="239" t="s">
        <v>121</v>
      </c>
      <c r="D50" s="360">
        <v>0.49179619299999999</v>
      </c>
      <c r="E50" s="138">
        <v>175.3236363</v>
      </c>
      <c r="F50" s="361">
        <f>$E50/$D50</f>
        <v>356.49653005752327</v>
      </c>
      <c r="G50" s="362">
        <v>13.294308800000001</v>
      </c>
      <c r="H50" s="138">
        <f>$G50/$D50</f>
        <v>27.03215069417994</v>
      </c>
      <c r="I50" s="242">
        <f>($G50/$E50)*1000</f>
        <v>75.827247714916354</v>
      </c>
      <c r="J50" s="138">
        <v>4.5411291299999998</v>
      </c>
      <c r="K50" s="138">
        <f>($J50/$D50)</f>
        <v>9.2337622670454458</v>
      </c>
      <c r="L50" s="242">
        <f>($J50/$E50)*1000</f>
        <v>25.901408537007395</v>
      </c>
      <c r="M50" s="138">
        <v>2.8766683350000002</v>
      </c>
      <c r="N50" s="138">
        <f>($M50/$D50)</f>
        <v>5.8493098888221775</v>
      </c>
      <c r="O50" s="242">
        <f>($M50/$E50)*1000</f>
        <v>16.40776107379881</v>
      </c>
      <c r="P50" s="138">
        <v>10.668912472500001</v>
      </c>
      <c r="Q50" s="138">
        <f>($P50/$D50)</f>
        <v>21.69376791515749</v>
      </c>
      <c r="R50" s="363">
        <f>($P50/$E50)*1000</f>
        <v>60.852676214427802</v>
      </c>
      <c r="S50" s="362">
        <v>0.13206884899999999</v>
      </c>
      <c r="T50" s="138">
        <f>($S50/$D50)</f>
        <v>0.26854386203026176</v>
      </c>
      <c r="U50" s="242">
        <f>($S50/$E50)*1000</f>
        <v>0.75328604737591776</v>
      </c>
      <c r="V50" s="138">
        <v>0</v>
      </c>
      <c r="W50" s="138">
        <f>($V50/$D50)</f>
        <v>0</v>
      </c>
      <c r="X50" s="242">
        <f>($V50/$E50)*1000</f>
        <v>0</v>
      </c>
      <c r="Y50" s="138">
        <v>0</v>
      </c>
      <c r="Z50" s="138">
        <f>($Y50/$D50)</f>
        <v>0</v>
      </c>
      <c r="AA50" s="242">
        <f>($Y50/$E50)*1000</f>
        <v>0</v>
      </c>
      <c r="AB50" s="138">
        <v>0</v>
      </c>
      <c r="AC50" s="138">
        <f>($AB50/$D50)</f>
        <v>0</v>
      </c>
      <c r="AD50" s="242">
        <f>($AB50/$E50)*1000</f>
        <v>0</v>
      </c>
      <c r="AE50" s="138">
        <v>0.23855189500000001</v>
      </c>
      <c r="AF50" s="138">
        <f>($AE50/$D50)</f>
        <v>0.48506250840376069</v>
      </c>
      <c r="AG50" s="242">
        <f>($AE50/$E50)*1000</f>
        <v>1.3606373905672866</v>
      </c>
      <c r="AH50" s="138">
        <v>1.315462833</v>
      </c>
      <c r="AI50" s="138">
        <f>($AH50/$D50)</f>
        <v>2.674812964646109</v>
      </c>
      <c r="AJ50" s="242">
        <f>($AH50/$E50)*1000</f>
        <v>7.5030546979363555</v>
      </c>
      <c r="AK50" s="138">
        <v>3.6393623210000001</v>
      </c>
      <c r="AL50" s="138">
        <f>($AK50/$D50)</f>
        <v>7.4001433374251437</v>
      </c>
      <c r="AM50" s="364">
        <f>($AK50/$E50)*1000</f>
        <v>20.75796736711877</v>
      </c>
      <c r="AN50" s="138">
        <v>0</v>
      </c>
      <c r="AO50" s="365">
        <f>($AN50/$D50)</f>
        <v>0</v>
      </c>
      <c r="AP50" s="361">
        <f>($AN50/$E50)*1000</f>
        <v>0</v>
      </c>
      <c r="AQ50" s="362">
        <v>110.29939589999999</v>
      </c>
      <c r="AR50" s="138">
        <f>($AQ50/$D50)</f>
        <v>224.27866963988473</v>
      </c>
      <c r="AS50" s="364">
        <f>($AQ50/$E50)*1000</f>
        <v>629.11880125087271</v>
      </c>
      <c r="AT50" s="138">
        <v>0.261781663</v>
      </c>
      <c r="AU50" s="138">
        <f>($AT50/$D50)</f>
        <v>0.53229705053857546</v>
      </c>
      <c r="AV50" s="242">
        <f>($AT50/$E50)*1000</f>
        <v>1.4931338895575941</v>
      </c>
      <c r="AW50" s="138">
        <v>28.359785219999999</v>
      </c>
      <c r="AX50" s="138">
        <f>($AW50/$D50)</f>
        <v>57.665727436812425</v>
      </c>
      <c r="AY50" s="242">
        <f>($AW50/$E50)*1000</f>
        <v>161.75677061290793</v>
      </c>
      <c r="AZ50" s="138">
        <v>1.180487479</v>
      </c>
      <c r="BA50" s="138">
        <f>($AZ50/$D50)</f>
        <v>2.4003591239674358</v>
      </c>
      <c r="BB50" s="242">
        <f>($AZ50/$E50)*1000</f>
        <v>6.7331907089814331</v>
      </c>
      <c r="BC50" s="138">
        <v>162.58277989999999</v>
      </c>
      <c r="BD50" s="138">
        <f>($BC50/$D50)</f>
        <v>330.58974879051169</v>
      </c>
      <c r="BE50" s="242">
        <f>($BC50/$E50)*1000</f>
        <v>927.32949949658314</v>
      </c>
      <c r="BF50" s="138">
        <v>145.3725681</v>
      </c>
      <c r="BG50" s="138">
        <f>($BF50/$D50)</f>
        <v>295.59514727679073</v>
      </c>
      <c r="BH50" s="242">
        <f>($BF50/$E50)*1000</f>
        <v>829.1669689718841</v>
      </c>
      <c r="BI50" s="138">
        <v>0.136772809</v>
      </c>
      <c r="BJ50" s="138">
        <f>($BI50/$D50)</f>
        <v>0.27810871850323576</v>
      </c>
      <c r="BK50" s="242">
        <f>($BI50/$E50)*1000</f>
        <v>0.78011620045323005</v>
      </c>
      <c r="BL50" s="138">
        <v>0.64506643100000005</v>
      </c>
      <c r="BM50" s="138">
        <f>($BL50/$D50)</f>
        <v>1.3116539741087423</v>
      </c>
      <c r="BN50" s="242">
        <f>($BL50/$E50)*1000</f>
        <v>3.6792895961626826</v>
      </c>
      <c r="BO50" s="138">
        <v>4.0462068210000002</v>
      </c>
      <c r="BP50" s="138">
        <f>($BO50/$D50)</f>
        <v>8.2274057395966871</v>
      </c>
      <c r="BQ50" s="242">
        <f>($BO50/$E50)*1000</f>
        <v>23.078501600756496</v>
      </c>
      <c r="BR50" s="138">
        <v>348.65477479999998</v>
      </c>
      <c r="BS50" s="138">
        <f>($BR50/$D50)</f>
        <v>708.94158954988086</v>
      </c>
      <c r="BT50" s="363">
        <f>($BR50/$E50)*1000</f>
        <v>1988.6353155681154</v>
      </c>
    </row>
    <row r="51" spans="2:72" x14ac:dyDescent="0.35">
      <c r="B51" s="237">
        <v>43</v>
      </c>
      <c r="C51" s="239" t="s">
        <v>123</v>
      </c>
      <c r="D51" s="360">
        <v>0.74805776999999996</v>
      </c>
      <c r="E51" s="138">
        <v>224.62861319999999</v>
      </c>
      <c r="F51" s="361">
        <f>$E51/$D51</f>
        <v>300.28244102056448</v>
      </c>
      <c r="G51" s="362">
        <v>17.136187899999999</v>
      </c>
      <c r="H51" s="138">
        <f>$G51/$D51</f>
        <v>22.907572900419176</v>
      </c>
      <c r="I51" s="242">
        <f>($G51/$E51)*1000</f>
        <v>76.286754638611654</v>
      </c>
      <c r="J51" s="138">
        <v>5.203691553333333</v>
      </c>
      <c r="K51" s="138">
        <f>($J51/$D51)</f>
        <v>6.9562696385512224</v>
      </c>
      <c r="L51" s="242">
        <f>($J51/$E51)*1000</f>
        <v>23.165755596328161</v>
      </c>
      <c r="M51" s="138">
        <v>2.30257378125</v>
      </c>
      <c r="N51" s="138">
        <f>($M51/$D51)</f>
        <v>3.0780694668140405</v>
      </c>
      <c r="O51" s="242">
        <f>($M51/$E51)*1000</f>
        <v>10.250580940905706</v>
      </c>
      <c r="P51" s="138">
        <v>14.619577965</v>
      </c>
      <c r="Q51" s="138">
        <f>($P51/$D51)</f>
        <v>19.543380941020104</v>
      </c>
      <c r="R51" s="363">
        <f>($P51/$E51)*1000</f>
        <v>65.083329130395924</v>
      </c>
      <c r="S51" s="362">
        <v>1.8615204E-2</v>
      </c>
      <c r="T51" s="138">
        <f>($S51/$D51)</f>
        <v>2.4884714451933306E-2</v>
      </c>
      <c r="U51" s="242">
        <f>($S51/$E51)*1000</f>
        <v>8.2871027581093576E-2</v>
      </c>
      <c r="V51" s="138">
        <v>0</v>
      </c>
      <c r="W51" s="138">
        <f>($V51/$D51)</f>
        <v>0</v>
      </c>
      <c r="X51" s="242">
        <f>($V51/$E51)*1000</f>
        <v>0</v>
      </c>
      <c r="Y51" s="138">
        <v>0</v>
      </c>
      <c r="Z51" s="138">
        <f>($Y51/$D51)</f>
        <v>0</v>
      </c>
      <c r="AA51" s="242">
        <f>($Y51/$E51)*1000</f>
        <v>0</v>
      </c>
      <c r="AB51" s="138">
        <v>0</v>
      </c>
      <c r="AC51" s="138">
        <f>($AB51/$D51)</f>
        <v>0</v>
      </c>
      <c r="AD51" s="242">
        <f>($AB51/$E51)*1000</f>
        <v>0</v>
      </c>
      <c r="AE51" s="138">
        <v>0.125376825</v>
      </c>
      <c r="AF51" s="138">
        <f>($AE51/$D51)</f>
        <v>0.16760313177416766</v>
      </c>
      <c r="AG51" s="242">
        <f>($AE51/$E51)*1000</f>
        <v>0.55815162286725106</v>
      </c>
      <c r="AH51" s="138">
        <v>1.9866335530000001</v>
      </c>
      <c r="AI51" s="138">
        <f>($AH51/$D51)</f>
        <v>2.6557221015163042</v>
      </c>
      <c r="AJ51" s="242">
        <f>($AH51/$E51)*1000</f>
        <v>8.8440805679158245</v>
      </c>
      <c r="AK51" s="138">
        <v>3.7982580079999999</v>
      </c>
      <c r="AL51" s="138">
        <f>($AK51/$D51)</f>
        <v>5.0774928893526496</v>
      </c>
      <c r="AM51" s="364">
        <f>($AK51/$E51)*1000</f>
        <v>16.909056926858153</v>
      </c>
      <c r="AN51" s="138">
        <v>0</v>
      </c>
      <c r="AO51" s="365">
        <f>($AN51/$D51)</f>
        <v>0</v>
      </c>
      <c r="AP51" s="361">
        <f>($AN51/$E51)*1000</f>
        <v>0</v>
      </c>
      <c r="AQ51" s="362">
        <v>71.303308630000004</v>
      </c>
      <c r="AR51" s="138">
        <f>($AQ51/$D51)</f>
        <v>95.317917264598435</v>
      </c>
      <c r="AS51" s="364">
        <f>($AQ51/$E51)*1000</f>
        <v>317.42754235193757</v>
      </c>
      <c r="AT51" s="138">
        <v>3.4935331999999999E-2</v>
      </c>
      <c r="AU51" s="138">
        <f>($AT51/$D51)</f>
        <v>4.6701382434674803E-2</v>
      </c>
      <c r="AV51" s="242">
        <f>($AT51/$E51)*1000</f>
        <v>0.15552485278843364</v>
      </c>
      <c r="AW51" s="138">
        <v>21.448605919999999</v>
      </c>
      <c r="AX51" s="138">
        <f>($AW51/$D51)</f>
        <v>28.672392400923794</v>
      </c>
      <c r="AY51" s="242">
        <f>($AW51/$E51)*1000</f>
        <v>95.484745306703417</v>
      </c>
      <c r="AZ51" s="138">
        <v>1.3174046829999999</v>
      </c>
      <c r="BA51" s="138">
        <f>($AZ51/$D51)</f>
        <v>1.7611001928367109</v>
      </c>
      <c r="BB51" s="242">
        <f>($AZ51/$E51)*1000</f>
        <v>5.864812430761158</v>
      </c>
      <c r="BC51" s="138">
        <v>222.2014211</v>
      </c>
      <c r="BD51" s="138">
        <f>($BC51/$D51)</f>
        <v>297.0377823894537</v>
      </c>
      <c r="BE51" s="242">
        <f>($BC51/$E51)*1000</f>
        <v>989.19464414874471</v>
      </c>
      <c r="BF51" s="138">
        <v>109.8867884</v>
      </c>
      <c r="BG51" s="138">
        <f>($BF51/$D51)</f>
        <v>146.89612595027253</v>
      </c>
      <c r="BH51" s="242">
        <f>($BF51/$E51)*1000</f>
        <v>489.19319241917486</v>
      </c>
      <c r="BI51" s="138">
        <v>0.197847149</v>
      </c>
      <c r="BJ51" s="138">
        <f>($BI51/$D51)</f>
        <v>0.26448110952714254</v>
      </c>
      <c r="BK51" s="242">
        <f>($BI51/$E51)*1000</f>
        <v>0.88077447561787292</v>
      </c>
      <c r="BL51" s="138">
        <v>0.80844711400000002</v>
      </c>
      <c r="BM51" s="138">
        <f>($BL51/$D51)</f>
        <v>1.0807281822632497</v>
      </c>
      <c r="BN51" s="242">
        <f>($BL51/$E51)*1000</f>
        <v>3.5990388868233461</v>
      </c>
      <c r="BO51" s="138">
        <v>0.66326211300000004</v>
      </c>
      <c r="BP51" s="138">
        <f>($BO51/$D51)</f>
        <v>0.88664557685163814</v>
      </c>
      <c r="BQ51" s="242">
        <f>($BO51/$E51)*1000</f>
        <v>2.9527053724427308</v>
      </c>
      <c r="BR51" s="138">
        <v>603.95810589999996</v>
      </c>
      <c r="BS51" s="138">
        <f>($BR51/$D51)</f>
        <v>807.36826769408469</v>
      </c>
      <c r="BT51" s="363">
        <f>($BR51/$E51)*1000</f>
        <v>2688.6962319544787</v>
      </c>
    </row>
    <row r="52" spans="2:72" x14ac:dyDescent="0.35">
      <c r="B52" s="237">
        <v>44</v>
      </c>
      <c r="C52" s="239" t="s">
        <v>125</v>
      </c>
      <c r="D52" s="360">
        <v>0.27308272700000003</v>
      </c>
      <c r="E52" s="138">
        <v>133.7084006</v>
      </c>
      <c r="F52" s="361">
        <f>$E52/$D52</f>
        <v>489.62599014913161</v>
      </c>
      <c r="G52" s="362">
        <v>3.8312337366666664</v>
      </c>
      <c r="H52" s="138">
        <f>$G52/$D52</f>
        <v>14.029571839842752</v>
      </c>
      <c r="I52" s="242">
        <f>($G52/$E52)*1000</f>
        <v>28.653650178107554</v>
      </c>
      <c r="J52" s="138">
        <v>1.245807891111111</v>
      </c>
      <c r="K52" s="138">
        <f>($J52/$D52)</f>
        <v>4.5620164438709114</v>
      </c>
      <c r="L52" s="242">
        <f>($J52/$E52)*1000</f>
        <v>9.3173494374377466</v>
      </c>
      <c r="M52" s="138">
        <v>19.893265209999999</v>
      </c>
      <c r="N52" s="138">
        <f>($M52/$D52)</f>
        <v>72.847028548971522</v>
      </c>
      <c r="O52" s="242">
        <f>($M52/$E52)*1000</f>
        <v>148.78096754378498</v>
      </c>
      <c r="P52" s="138">
        <v>4.8480172675000004</v>
      </c>
      <c r="Q52" s="138">
        <f>($P52/$D52)</f>
        <v>17.752925352543443</v>
      </c>
      <c r="R52" s="363">
        <f>($P52/$E52)*1000</f>
        <v>36.258135208746189</v>
      </c>
      <c r="S52" s="362">
        <v>0.14004238999999999</v>
      </c>
      <c r="T52" s="138">
        <f>($S52/$D52)</f>
        <v>0.51282038794053775</v>
      </c>
      <c r="U52" s="242">
        <f>($S52/$E52)*1000</f>
        <v>1.0473716637965678</v>
      </c>
      <c r="V52" s="138">
        <v>4.1606199999999997E-4</v>
      </c>
      <c r="W52" s="138">
        <f>($V52/$D52)</f>
        <v>1.5235749421822638E-3</v>
      </c>
      <c r="X52" s="242">
        <f>($V52/$E52)*1000</f>
        <v>3.111711740870229E-3</v>
      </c>
      <c r="Y52" s="138">
        <v>0.74498559499999994</v>
      </c>
      <c r="Z52" s="138">
        <f>($Y52/$D52)</f>
        <v>2.7280582817674874</v>
      </c>
      <c r="AA52" s="242">
        <f>($Y52/$E52)*1000</f>
        <v>5.5717186927445752</v>
      </c>
      <c r="AB52" s="138">
        <v>9.0469916999999997E-2</v>
      </c>
      <c r="AC52" s="138">
        <f>($AB52/$D52)</f>
        <v>0.33129124640680768</v>
      </c>
      <c r="AD52" s="242">
        <f>($AB52/$E52)*1000</f>
        <v>0.6766210394711728</v>
      </c>
      <c r="AE52" s="138">
        <v>2.7412055000000001E-2</v>
      </c>
      <c r="AF52" s="138">
        <f>($AE52/$D52)</f>
        <v>0.10038003978186434</v>
      </c>
      <c r="AG52" s="242">
        <f>($AE52/$E52)*1000</f>
        <v>0.20501370801678709</v>
      </c>
      <c r="AH52" s="138">
        <v>0.14305245</v>
      </c>
      <c r="AI52" s="138">
        <f>($AH52/$D52)</f>
        <v>0.52384290859963467</v>
      </c>
      <c r="AJ52" s="242">
        <f>($AH52/$E52)*1000</f>
        <v>1.0698837870924318</v>
      </c>
      <c r="AK52" s="138">
        <v>1.256063567</v>
      </c>
      <c r="AL52" s="138">
        <f>($AK52/$D52)</f>
        <v>4.5995716418929709</v>
      </c>
      <c r="AM52" s="364">
        <f>($AK52/$E52)*1000</f>
        <v>9.3940512440771791</v>
      </c>
      <c r="AN52" s="138">
        <v>0.32431930925000002</v>
      </c>
      <c r="AO52" s="365">
        <f>($AN52/$D52)</f>
        <v>1.1876229332146664</v>
      </c>
      <c r="AP52" s="361">
        <f>($AN52/$E52)*1000</f>
        <v>2.4255716753372041</v>
      </c>
      <c r="AQ52" s="362">
        <v>24.489383889999999</v>
      </c>
      <c r="AR52" s="138">
        <f>($AQ52/$D52)</f>
        <v>89.677527974883589</v>
      </c>
      <c r="AS52" s="364">
        <f>($AQ52/$E52)*1000</f>
        <v>183.15516287762699</v>
      </c>
      <c r="AT52" s="138">
        <v>1.6875997970000001</v>
      </c>
      <c r="AU52" s="138">
        <f>($AT52/$D52)</f>
        <v>6.1798115740949076</v>
      </c>
      <c r="AV52" s="242">
        <f>($AT52/$E52)*1000</f>
        <v>12.621494157637841</v>
      </c>
      <c r="AW52" s="138">
        <v>62.503624189999996</v>
      </c>
      <c r="AX52" s="138">
        <f>($AW52/$D52)</f>
        <v>228.88164651292644</v>
      </c>
      <c r="AY52" s="242">
        <f>($AW52/$E52)*1000</f>
        <v>467.46220812995051</v>
      </c>
      <c r="AZ52" s="138">
        <v>1.0627339570000001</v>
      </c>
      <c r="BA52" s="138">
        <f>($AZ52/$D52)</f>
        <v>3.8916191026611506</v>
      </c>
      <c r="BB52" s="242">
        <f>($AZ52/$E52)*1000</f>
        <v>7.9481465056130514</v>
      </c>
      <c r="BC52" s="138">
        <v>139.64559700000001</v>
      </c>
      <c r="BD52" s="138">
        <f>($BC52/$D52)</f>
        <v>511.36737403387656</v>
      </c>
      <c r="BE52" s="242">
        <f>($BC52/$E52)*1000</f>
        <v>1044.4040641676781</v>
      </c>
      <c r="BF52" s="138">
        <v>28.73797772</v>
      </c>
      <c r="BG52" s="138">
        <f>($BF52/$D52)</f>
        <v>105.23542823709973</v>
      </c>
      <c r="BH52" s="242">
        <f>($BF52/$E52)*1000</f>
        <v>214.93023318685931</v>
      </c>
      <c r="BI52" s="138">
        <v>0.123467812</v>
      </c>
      <c r="BJ52" s="138">
        <f>($BI52/$D52)</f>
        <v>0.45212604017975838</v>
      </c>
      <c r="BK52" s="242">
        <f>($BI52/$E52)*1000</f>
        <v>0.92341103061552887</v>
      </c>
      <c r="BL52" s="138">
        <v>0.16920516799999999</v>
      </c>
      <c r="BM52" s="138">
        <f>($BL52/$D52)</f>
        <v>0.6196113897749379</v>
      </c>
      <c r="BN52" s="242">
        <f>($BL52/$E52)*1000</f>
        <v>1.2654789619852798</v>
      </c>
      <c r="BO52" s="138">
        <v>2.2411893859999998</v>
      </c>
      <c r="BP52" s="138">
        <f>($BO52/$D52)</f>
        <v>8.2069979695200548</v>
      </c>
      <c r="BQ52" s="242">
        <f>($BO52/$E52)*1000</f>
        <v>16.761769462075218</v>
      </c>
      <c r="BR52" s="138">
        <v>190.3188207</v>
      </c>
      <c r="BS52" s="138">
        <f>($BR52/$D52)</f>
        <v>696.92734795342801</v>
      </c>
      <c r="BT52" s="363">
        <f>($BR52/$E52)*1000</f>
        <v>1423.3871607615356</v>
      </c>
    </row>
    <row r="53" spans="2:72" x14ac:dyDescent="0.35">
      <c r="B53" s="237">
        <v>45</v>
      </c>
      <c r="C53" s="239" t="s">
        <v>127</v>
      </c>
      <c r="D53" s="360">
        <v>0.59066755800000004</v>
      </c>
      <c r="E53" s="138">
        <v>186.66828219999999</v>
      </c>
      <c r="F53" s="361">
        <f>$E53/$D53</f>
        <v>316.02934624014</v>
      </c>
      <c r="G53" s="362">
        <v>8.4057869266666678</v>
      </c>
      <c r="H53" s="138">
        <f>$G53/$D53</f>
        <v>14.230994766546273</v>
      </c>
      <c r="I53" s="242">
        <f>($G53/$E53)*1000</f>
        <v>45.030611668995519</v>
      </c>
      <c r="J53" s="138">
        <v>3.0547897477777775</v>
      </c>
      <c r="K53" s="138">
        <f>($J53/$D53)</f>
        <v>5.1717581343409034</v>
      </c>
      <c r="L53" s="242">
        <f>($J53/$E53)*1000</f>
        <v>16.364803445851699</v>
      </c>
      <c r="M53" s="138">
        <v>19.665844235000002</v>
      </c>
      <c r="N53" s="138">
        <f>($M53/$D53)</f>
        <v>33.294268440251798</v>
      </c>
      <c r="O53" s="242">
        <f>($M53/$E53)*1000</f>
        <v>105.35182519079292</v>
      </c>
      <c r="P53" s="138">
        <v>8.0837559574999993</v>
      </c>
      <c r="Q53" s="138">
        <f>($P53/$D53)</f>
        <v>13.685796431535179</v>
      </c>
      <c r="R53" s="363">
        <f>($P53/$E53)*1000</f>
        <v>43.305460693311076</v>
      </c>
      <c r="S53" s="362">
        <v>0.19913499200000001</v>
      </c>
      <c r="T53" s="138">
        <f>($S53/$D53)</f>
        <v>0.33713548222331857</v>
      </c>
      <c r="U53" s="242">
        <f>($S53/$E53)*1000</f>
        <v>1.0667853673536403</v>
      </c>
      <c r="V53" s="138">
        <v>2.3717200000000001E-5</v>
      </c>
      <c r="W53" s="138">
        <f>($V53/$D53)</f>
        <v>4.0153212545321471E-5</v>
      </c>
      <c r="X53" s="242">
        <f>($V53/$E53)*1000</f>
        <v>1.2705532895293338E-4</v>
      </c>
      <c r="Y53" s="138">
        <v>1.1188789690000001</v>
      </c>
      <c r="Z53" s="138">
        <f>($Y53/$D53)</f>
        <v>1.894261761706574</v>
      </c>
      <c r="AA53" s="242">
        <f>($Y53/$E53)*1000</f>
        <v>5.9939426013531945</v>
      </c>
      <c r="AB53" s="138">
        <v>1.7099132999999999E-2</v>
      </c>
      <c r="AC53" s="138">
        <f>($AB53/$D53)</f>
        <v>2.894882708286477E-2</v>
      </c>
      <c r="AD53" s="242">
        <f>($AB53/$E53)*1000</f>
        <v>9.1601705434240066E-2</v>
      </c>
      <c r="AE53" s="138">
        <v>0.142647568</v>
      </c>
      <c r="AF53" s="138">
        <f>($AE53/$D53)</f>
        <v>0.24150229019349662</v>
      </c>
      <c r="AG53" s="242">
        <f>($AE53/$E53)*1000</f>
        <v>0.7641767863228347</v>
      </c>
      <c r="AH53" s="138">
        <v>0.385919397</v>
      </c>
      <c r="AI53" s="138">
        <f>($AH53/$D53)</f>
        <v>0.65336142432931787</v>
      </c>
      <c r="AJ53" s="242">
        <f>($AH53/$E53)*1000</f>
        <v>2.0674074483983227</v>
      </c>
      <c r="AK53" s="138">
        <v>2.583540502</v>
      </c>
      <c r="AL53" s="138">
        <f>($AK53/$D53)</f>
        <v>4.373933301412162</v>
      </c>
      <c r="AM53" s="364">
        <f>($AK53/$E53)*1000</f>
        <v>13.840275763784792</v>
      </c>
      <c r="AN53" s="138">
        <v>0.40015160875</v>
      </c>
      <c r="AO53" s="365">
        <f>($AN53/$D53)</f>
        <v>0.67745655458869802</v>
      </c>
      <c r="AP53" s="361">
        <f>($AN53/$E53)*1000</f>
        <v>2.1436507800573743</v>
      </c>
      <c r="AQ53" s="362">
        <v>90.454510560000003</v>
      </c>
      <c r="AR53" s="138">
        <f>($AQ53/$D53)</f>
        <v>153.1394594723958</v>
      </c>
      <c r="AS53" s="364">
        <f>($AQ53/$E53)*1000</f>
        <v>484.57354133191893</v>
      </c>
      <c r="AT53" s="138">
        <v>2.0352896239999998</v>
      </c>
      <c r="AU53" s="138">
        <f>($AT53/$D53)</f>
        <v>3.4457447280353253</v>
      </c>
      <c r="AV53" s="242">
        <f>($AT53/$E53)*1000</f>
        <v>10.903242907755219</v>
      </c>
      <c r="AW53" s="138">
        <v>55.786270420000001</v>
      </c>
      <c r="AX53" s="138">
        <f>($AW53/$D53)</f>
        <v>94.446139227440014</v>
      </c>
      <c r="AY53" s="242">
        <f>($AW53/$E53)*1000</f>
        <v>298.85243364606265</v>
      </c>
      <c r="AZ53" s="138">
        <v>1.569266633</v>
      </c>
      <c r="BA53" s="138">
        <f>($AZ53/$D53)</f>
        <v>2.6567679428908129</v>
      </c>
      <c r="BB53" s="242">
        <f>($AZ53/$E53)*1000</f>
        <v>8.4067127768318848</v>
      </c>
      <c r="BC53" s="138">
        <v>188.1756436</v>
      </c>
      <c r="BD53" s="138">
        <f>($BC53/$D53)</f>
        <v>318.58130864197557</v>
      </c>
      <c r="BE53" s="242">
        <f>($BC53/$E53)*1000</f>
        <v>1008.0750804702054</v>
      </c>
      <c r="BF53" s="138">
        <v>40.107121890000002</v>
      </c>
      <c r="BG53" s="138">
        <f>($BF53/$D53)</f>
        <v>67.901345429911018</v>
      </c>
      <c r="BH53" s="242">
        <f>($BF53/$E53)*1000</f>
        <v>214.85772203672212</v>
      </c>
      <c r="BI53" s="138">
        <v>0.12926383699999999</v>
      </c>
      <c r="BJ53" s="138">
        <f>($BI53/$D53)</f>
        <v>0.21884363759148592</v>
      </c>
      <c r="BK53" s="242">
        <f>($BI53/$E53)*1000</f>
        <v>0.69247884791431369</v>
      </c>
      <c r="BL53" s="138">
        <v>0.33282136299999998</v>
      </c>
      <c r="BM53" s="138">
        <f>($BL53/$D53)</f>
        <v>0.56346646856132221</v>
      </c>
      <c r="BN53" s="242">
        <f>($BL53/$E53)*1000</f>
        <v>1.7829561566512342</v>
      </c>
      <c r="BO53" s="138">
        <v>2.3785699089999999</v>
      </c>
      <c r="BP53" s="138">
        <f>($BO53/$D53)</f>
        <v>4.0269181484316423</v>
      </c>
      <c r="BQ53" s="242">
        <f>($BO53/$E53)*1000</f>
        <v>12.742228518777251</v>
      </c>
      <c r="BR53" s="138">
        <v>504.29047580000002</v>
      </c>
      <c r="BS53" s="138">
        <f>($BR53/$D53)</f>
        <v>853.76362552825356</v>
      </c>
      <c r="BT53" s="363">
        <f>($BR53/$E53)*1000</f>
        <v>2701.5327395561153</v>
      </c>
    </row>
    <row r="54" spans="2:72" x14ac:dyDescent="0.35">
      <c r="B54" s="237">
        <v>46</v>
      </c>
      <c r="C54" s="239" t="s">
        <v>129</v>
      </c>
      <c r="D54" s="360">
        <v>0.73790233400000005</v>
      </c>
      <c r="E54" s="138">
        <v>149.21188230000001</v>
      </c>
      <c r="F54" s="361">
        <f>$E54/$D54</f>
        <v>202.21088269386067</v>
      </c>
      <c r="G54" s="362">
        <v>6.184507983333333</v>
      </c>
      <c r="H54" s="138">
        <f>$G54/$D54</f>
        <v>8.3812012760666139</v>
      </c>
      <c r="I54" s="242">
        <f>($G54/$E54)*1000</f>
        <v>41.44782498553959</v>
      </c>
      <c r="J54" s="138">
        <v>2.6311394133333335</v>
      </c>
      <c r="K54" s="138">
        <f>($J54/$D54)</f>
        <v>3.565701437845477</v>
      </c>
      <c r="L54" s="242">
        <f>($J54/$E54)*1000</f>
        <v>17.633578323496113</v>
      </c>
      <c r="M54" s="138">
        <v>17.493303802500002</v>
      </c>
      <c r="N54" s="138">
        <f>($M54/$D54)</f>
        <v>23.706801017517854</v>
      </c>
      <c r="O54" s="242">
        <f>($M54/$E54)*1000</f>
        <v>117.2380076764168</v>
      </c>
      <c r="P54" s="138">
        <v>5.9317925450000004</v>
      </c>
      <c r="Q54" s="138">
        <f>($P54/$D54)</f>
        <v>8.0387231096629108</v>
      </c>
      <c r="R54" s="363">
        <f>($P54/$E54)*1000</f>
        <v>39.754156663433498</v>
      </c>
      <c r="S54" s="362">
        <v>0.12877947200000001</v>
      </c>
      <c r="T54" s="138">
        <f>($S54/$D54)</f>
        <v>0.17452102543424128</v>
      </c>
      <c r="U54" s="242">
        <f>($S54/$E54)*1000</f>
        <v>0.86306445582584812</v>
      </c>
      <c r="V54" s="138">
        <v>8.7745300000000002E-5</v>
      </c>
      <c r="W54" s="138">
        <f>($V54/$D54)</f>
        <v>1.1891180710101941E-4</v>
      </c>
      <c r="X54" s="242">
        <f>($V54/$E54)*1000</f>
        <v>5.8805839486417361E-4</v>
      </c>
      <c r="Y54" s="138">
        <v>0.69949004999999997</v>
      </c>
      <c r="Z54" s="138">
        <f>($Y54/$D54)</f>
        <v>0.9479439456550085</v>
      </c>
      <c r="AA54" s="242">
        <f>($Y54/$E54)*1000</f>
        <v>4.6878977680452456</v>
      </c>
      <c r="AB54" s="138">
        <v>1.6542314999999998E-2</v>
      </c>
      <c r="AC54" s="138">
        <f>($AB54/$D54)</f>
        <v>2.2418027749455522E-2</v>
      </c>
      <c r="AD54" s="242">
        <f>($AB54/$E54)*1000</f>
        <v>0.11086459566766015</v>
      </c>
      <c r="AE54" s="138">
        <v>8.5150526000000004E-2</v>
      </c>
      <c r="AF54" s="138">
        <f>($AE54/$D54)</f>
        <v>0.11539538781293514</v>
      </c>
      <c r="AG54" s="242">
        <f>($AE54/$E54)*1000</f>
        <v>0.57066853314536592</v>
      </c>
      <c r="AH54" s="138">
        <v>0.27619779500000002</v>
      </c>
      <c r="AI54" s="138">
        <f>($AH54/$D54)</f>
        <v>0.37430128930856588</v>
      </c>
      <c r="AJ54" s="242">
        <f>($AH54/$E54)*1000</f>
        <v>1.851044238183972</v>
      </c>
      <c r="AK54" s="138">
        <v>1.2523272809999999</v>
      </c>
      <c r="AL54" s="138">
        <f>($AK54/$D54)</f>
        <v>1.6971450330173368</v>
      </c>
      <c r="AM54" s="364">
        <f>($AK54/$E54)*1000</f>
        <v>8.3929460690142346</v>
      </c>
      <c r="AN54" s="138">
        <v>8.1440641750000001E-2</v>
      </c>
      <c r="AO54" s="365">
        <f>($AN54/$D54)</f>
        <v>0.11036777903727296</v>
      </c>
      <c r="AP54" s="361">
        <f>($AN54/$E54)*1000</f>
        <v>0.54580533731394398</v>
      </c>
      <c r="AQ54" s="362">
        <v>51.192677189999998</v>
      </c>
      <c r="AR54" s="138">
        <f>($AQ54/$D54)</f>
        <v>69.375952387216586</v>
      </c>
      <c r="AS54" s="364">
        <f>($AQ54/$E54)*1000</f>
        <v>343.08713489099915</v>
      </c>
      <c r="AT54" s="138">
        <v>1.3906165779999999</v>
      </c>
      <c r="AU54" s="138">
        <f>($AT54/$D54)</f>
        <v>1.8845537057211692</v>
      </c>
      <c r="AV54" s="242">
        <f>($AT54/$E54)*1000</f>
        <v>9.3197442225417166</v>
      </c>
      <c r="AW54" s="138">
        <v>53.483056189999999</v>
      </c>
      <c r="AX54" s="138">
        <f>($AW54/$D54)</f>
        <v>72.479857734126639</v>
      </c>
      <c r="AY54" s="242">
        <f>($AW54/$E54)*1000</f>
        <v>358.43697811189662</v>
      </c>
      <c r="AZ54" s="138">
        <v>1.0574672709999999</v>
      </c>
      <c r="BA54" s="138">
        <f>($AZ54/$D54)</f>
        <v>1.4330721320092745</v>
      </c>
      <c r="BB54" s="242">
        <f>($AZ54/$E54)*1000</f>
        <v>7.0870178346379582</v>
      </c>
      <c r="BC54" s="138">
        <v>124.9041354</v>
      </c>
      <c r="BD54" s="138">
        <f>($BC54/$D54)</f>
        <v>169.26919680945201</v>
      </c>
      <c r="BE54" s="242">
        <f>($BC54/$E54)*1000</f>
        <v>837.09241834287877</v>
      </c>
      <c r="BF54" s="138">
        <v>41.088411170000001</v>
      </c>
      <c r="BG54" s="138">
        <f>($BF54/$D54)</f>
        <v>55.682722871018861</v>
      </c>
      <c r="BH54" s="242">
        <f>($BF54/$E54)*1000</f>
        <v>275.3695653231498</v>
      </c>
      <c r="BI54" s="138">
        <v>8.8521720999999998E-2</v>
      </c>
      <c r="BJ54" s="138">
        <f>($BI54/$D54)</f>
        <v>0.11996400732349492</v>
      </c>
      <c r="BK54" s="242">
        <f>($BI54/$E54)*1000</f>
        <v>0.59326187456050872</v>
      </c>
      <c r="BL54" s="138">
        <v>0.225964111</v>
      </c>
      <c r="BM54" s="138">
        <f>($BL54/$D54)</f>
        <v>0.30622495767847779</v>
      </c>
      <c r="BN54" s="242">
        <f>($BL54/$E54)*1000</f>
        <v>1.5143841597392675</v>
      </c>
      <c r="BO54" s="138">
        <v>3.6781844530000001</v>
      </c>
      <c r="BP54" s="138">
        <f>($BO54/$D54)</f>
        <v>4.9846494360051716</v>
      </c>
      <c r="BQ54" s="242">
        <f>($BO54/$E54)*1000</f>
        <v>24.65074762346859</v>
      </c>
      <c r="BR54" s="138">
        <v>271.55913020000003</v>
      </c>
      <c r="BS54" s="138">
        <f>($BR54/$D54)</f>
        <v>368.01500373083252</v>
      </c>
      <c r="BT54" s="363">
        <f>($BR54/$E54)*1000</f>
        <v>1819.9564673677467</v>
      </c>
    </row>
    <row r="55" spans="2:72" x14ac:dyDescent="0.35">
      <c r="B55" s="237">
        <v>47</v>
      </c>
      <c r="C55" s="239" t="s">
        <v>130</v>
      </c>
      <c r="D55" s="360">
        <v>1.0313654139999999</v>
      </c>
      <c r="E55" s="138">
        <v>232.5077733</v>
      </c>
      <c r="F55" s="361">
        <f>$E55/$D55</f>
        <v>225.43685307252315</v>
      </c>
      <c r="G55" s="362">
        <v>11.525848555555555</v>
      </c>
      <c r="H55" s="138">
        <f>$G55/$D55</f>
        <v>11.175329712535383</v>
      </c>
      <c r="I55" s="242">
        <f>($G55/$E55)*1000</f>
        <v>49.571884810423043</v>
      </c>
      <c r="J55" s="138">
        <v>4.8415576433333332</v>
      </c>
      <c r="K55" s="138">
        <f>($J55/$D55)</f>
        <v>4.6943184031700849</v>
      </c>
      <c r="L55" s="242">
        <f>($J55/$E55)*1000</f>
        <v>20.823207648573412</v>
      </c>
      <c r="M55" s="138">
        <v>22.177532487499999</v>
      </c>
      <c r="N55" s="138">
        <f>($M55/$D55)</f>
        <v>21.503079496807715</v>
      </c>
      <c r="O55" s="242">
        <f>($M55/$E55)*1000</f>
        <v>95.384047478209624</v>
      </c>
      <c r="P55" s="138">
        <v>9.9666556750000002</v>
      </c>
      <c r="Q55" s="138">
        <f>($P55/$D55)</f>
        <v>9.6635542938615551</v>
      </c>
      <c r="R55" s="363">
        <f>($P55/$E55)*1000</f>
        <v>42.865903077314449</v>
      </c>
      <c r="S55" s="362">
        <v>0.13474150100000001</v>
      </c>
      <c r="T55" s="138">
        <f>($S55/$D55)</f>
        <v>0.13064380400097461</v>
      </c>
      <c r="U55" s="242">
        <f>($S55/$E55)*1000</f>
        <v>0.57951396242630493</v>
      </c>
      <c r="V55" s="138">
        <v>3.4057100000000003E-5</v>
      </c>
      <c r="W55" s="138">
        <f>($V55/$D55)</f>
        <v>3.3021371026893875E-5</v>
      </c>
      <c r="X55" s="242">
        <f>($V55/$E55)*1000</f>
        <v>1.4647725328329915E-4</v>
      </c>
      <c r="Y55" s="138">
        <v>1.369558877</v>
      </c>
      <c r="Z55" s="138">
        <f>($Y55/$D55)</f>
        <v>1.3279084778384862</v>
      </c>
      <c r="AA55" s="242">
        <f>($Y55/$E55)*1000</f>
        <v>5.8903788787865006</v>
      </c>
      <c r="AB55" s="138">
        <v>3.3328299999999997E-4</v>
      </c>
      <c r="AC55" s="138">
        <f>($AB55/$D55)</f>
        <v>3.231473495968908E-4</v>
      </c>
      <c r="AD55" s="242">
        <f>($AB55/$E55)*1000</f>
        <v>1.4334273442547308E-3</v>
      </c>
      <c r="AE55" s="138">
        <v>0.35338779100000001</v>
      </c>
      <c r="AF55" s="138">
        <f>($AE55/$D55)</f>
        <v>0.34264072287380393</v>
      </c>
      <c r="AG55" s="242">
        <f>($AE55/$E55)*1000</f>
        <v>1.5198966726330951</v>
      </c>
      <c r="AH55" s="138">
        <v>0.41974900700000001</v>
      </c>
      <c r="AI55" s="138">
        <f>($AH55/$D55)</f>
        <v>0.40698379187650369</v>
      </c>
      <c r="AJ55" s="242">
        <f>($AH55/$E55)*1000</f>
        <v>1.8053117151416975</v>
      </c>
      <c r="AK55" s="138">
        <v>1.9460234679999999</v>
      </c>
      <c r="AL55" s="138">
        <f>($AK55/$D55)</f>
        <v>1.8868418909381812</v>
      </c>
      <c r="AM55" s="364">
        <f>($AK55/$E55)*1000</f>
        <v>8.3697135815286732</v>
      </c>
      <c r="AN55" s="138">
        <v>0.55393283800000004</v>
      </c>
      <c r="AO55" s="365">
        <f>($AN55/$D55)</f>
        <v>0.53708688548285954</v>
      </c>
      <c r="AP55" s="361">
        <f>($AN55/$E55)*1000</f>
        <v>2.3824271771132226</v>
      </c>
      <c r="AQ55" s="362">
        <v>152.21103539999999</v>
      </c>
      <c r="AR55" s="138">
        <f>($AQ55/$D55)</f>
        <v>147.5820628982232</v>
      </c>
      <c r="AS55" s="364">
        <f>($AQ55/$E55)*1000</f>
        <v>654.64923275320007</v>
      </c>
      <c r="AT55" s="138">
        <v>1.934332787</v>
      </c>
      <c r="AU55" s="138">
        <f>($AT55/$D55)</f>
        <v>1.8755067415902316</v>
      </c>
      <c r="AV55" s="242">
        <f>($AT55/$E55)*1000</f>
        <v>8.3194327636700987</v>
      </c>
      <c r="AW55" s="138">
        <v>49.585131230000002</v>
      </c>
      <c r="AX55" s="138">
        <f>($AW55/$D55)</f>
        <v>48.077170861965712</v>
      </c>
      <c r="AY55" s="242">
        <f>($AW55/$E55)*1000</f>
        <v>213.26225152060326</v>
      </c>
      <c r="AZ55" s="138">
        <v>1.5100330209999999</v>
      </c>
      <c r="BA55" s="138">
        <f>($AZ55/$D55)</f>
        <v>1.4641105863183426</v>
      </c>
      <c r="BB55" s="242">
        <f>($AZ55/$E55)*1000</f>
        <v>6.4945485459173682</v>
      </c>
      <c r="BC55" s="138">
        <v>173.80763289999999</v>
      </c>
      <c r="BD55" s="138">
        <f>($BC55/$D55)</f>
        <v>168.52187453708817</v>
      </c>
      <c r="BE55" s="242">
        <f>($BC55/$E55)*1000</f>
        <v>747.53471865966208</v>
      </c>
      <c r="BF55" s="138">
        <v>55.176952640000003</v>
      </c>
      <c r="BG55" s="138">
        <f>($BF55/$D55)</f>
        <v>53.49893635273677</v>
      </c>
      <c r="BH55" s="242">
        <f>($BF55/$E55)*1000</f>
        <v>237.31229221659748</v>
      </c>
      <c r="BI55" s="138">
        <v>0.12454129999999999</v>
      </c>
      <c r="BJ55" s="138">
        <f>($BI55/$D55)</f>
        <v>0.120753806855889</v>
      </c>
      <c r="BK55" s="242">
        <f>($BI55/$E55)*1000</f>
        <v>0.53564359691022856</v>
      </c>
      <c r="BL55" s="138">
        <v>0.39607464999999997</v>
      </c>
      <c r="BM55" s="138">
        <f>($BL55/$D55)</f>
        <v>0.38402940861074869</v>
      </c>
      <c r="BN55" s="242">
        <f>($BL55/$E55)*1000</f>
        <v>1.7034899280074949</v>
      </c>
      <c r="BO55" s="138">
        <v>2.871527977</v>
      </c>
      <c r="BP55" s="138">
        <f>($BO55/$D55)</f>
        <v>2.7842003794399104</v>
      </c>
      <c r="BQ55" s="242">
        <f>($BO55/$E55)*1000</f>
        <v>12.350245053075822</v>
      </c>
      <c r="BR55" s="138">
        <v>478.2134441</v>
      </c>
      <c r="BS55" s="138">
        <f>($BR55/$D55)</f>
        <v>463.67023521306487</v>
      </c>
      <c r="BT55" s="363">
        <f>($BR55/$E55)*1000</f>
        <v>2056.7632527406772</v>
      </c>
    </row>
    <row r="56" spans="2:72" x14ac:dyDescent="0.35">
      <c r="B56" s="237">
        <v>48</v>
      </c>
      <c r="C56" s="239" t="s">
        <v>131</v>
      </c>
      <c r="D56" s="360">
        <v>0.73190798400000001</v>
      </c>
      <c r="E56" s="138">
        <v>154.95737890000001</v>
      </c>
      <c r="F56" s="361">
        <f>$E56/$D56</f>
        <v>211.71702220425567</v>
      </c>
      <c r="G56" s="362">
        <v>8.5566550055555552</v>
      </c>
      <c r="H56" s="138">
        <f>$G56/$D56</f>
        <v>11.690889008741234</v>
      </c>
      <c r="I56" s="242">
        <f>($G56/$E56)*1000</f>
        <v>55.21940979059471</v>
      </c>
      <c r="J56" s="138">
        <v>2.6123540411111112</v>
      </c>
      <c r="K56" s="138">
        <f>($J56/$D56)</f>
        <v>3.569238344462589</v>
      </c>
      <c r="L56" s="242">
        <f>($J56/$E56)*1000</f>
        <v>16.858532711739816</v>
      </c>
      <c r="M56" s="138">
        <v>10.492216620000001</v>
      </c>
      <c r="N56" s="138">
        <f>($M56/$D56)</f>
        <v>14.335431296511175</v>
      </c>
      <c r="O56" s="242">
        <f>($M56/$E56)*1000</f>
        <v>67.710338768514106</v>
      </c>
      <c r="P56" s="138">
        <v>9.0548492575000008</v>
      </c>
      <c r="Q56" s="138">
        <f>($P56/$D56)</f>
        <v>12.371567813775892</v>
      </c>
      <c r="R56" s="363">
        <f>($P56/$E56)*1000</f>
        <v>58.434450310000699</v>
      </c>
      <c r="S56" s="362">
        <v>0.211837523</v>
      </c>
      <c r="T56" s="138">
        <f>($S56/$D56)</f>
        <v>0.28943190623809345</v>
      </c>
      <c r="U56" s="242">
        <f>($S56/$E56)*1000</f>
        <v>1.3670696065187509</v>
      </c>
      <c r="V56" s="138">
        <v>0</v>
      </c>
      <c r="W56" s="138">
        <f>($V56/$D56)</f>
        <v>0</v>
      </c>
      <c r="X56" s="242">
        <f>($V56/$E56)*1000</f>
        <v>0</v>
      </c>
      <c r="Y56" s="138">
        <v>0.391239797</v>
      </c>
      <c r="Z56" s="138">
        <f>($Y56/$D56)</f>
        <v>0.53454779228094884</v>
      </c>
      <c r="AA56" s="242">
        <f>($Y56/$E56)*1000</f>
        <v>2.5248219850987681</v>
      </c>
      <c r="AB56" s="138">
        <v>1.1263974E-2</v>
      </c>
      <c r="AC56" s="138">
        <f>($AB56/$D56)</f>
        <v>1.5389877206203559E-2</v>
      </c>
      <c r="AD56" s="242">
        <f>($AB56/$E56)*1000</f>
        <v>7.269078813774385E-2</v>
      </c>
      <c r="AE56" s="138">
        <v>2.7474246000000001E-2</v>
      </c>
      <c r="AF56" s="138">
        <f>($AE56/$D56)</f>
        <v>3.7537841642126424E-2</v>
      </c>
      <c r="AG56" s="242">
        <f>($AE56/$E56)*1000</f>
        <v>0.1773019535760875</v>
      </c>
      <c r="AH56" s="138">
        <v>1.039604424</v>
      </c>
      <c r="AI56" s="138">
        <f>($AH56/$D56)</f>
        <v>1.4204031746154582</v>
      </c>
      <c r="AJ56" s="242">
        <f>($AH56/$E56)*1000</f>
        <v>6.7089701141040656</v>
      </c>
      <c r="AK56" s="138">
        <v>2.061437513</v>
      </c>
      <c r="AL56" s="138">
        <f>($AK56/$D56)</f>
        <v>2.8165255169562409</v>
      </c>
      <c r="AM56" s="364">
        <f>($AK56/$E56)*1000</f>
        <v>13.303254918440027</v>
      </c>
      <c r="AN56" s="138">
        <v>0.21920622849999999</v>
      </c>
      <c r="AO56" s="365">
        <f>($AN56/$D56)</f>
        <v>0.29949970937876802</v>
      </c>
      <c r="AP56" s="361">
        <f>($AN56/$E56)*1000</f>
        <v>1.4146227179117572</v>
      </c>
      <c r="AQ56" s="362">
        <v>32.72795009</v>
      </c>
      <c r="AR56" s="138">
        <f>($AQ56/$D56)</f>
        <v>44.715935343588221</v>
      </c>
      <c r="AS56" s="364">
        <f>($AQ56/$E56)*1000</f>
        <v>211.2061414714598</v>
      </c>
      <c r="AT56" s="138">
        <v>1.3947155570000001</v>
      </c>
      <c r="AU56" s="138">
        <f>($AT56/$D56)</f>
        <v>1.905588663451443</v>
      </c>
      <c r="AV56" s="242">
        <f>($AT56/$E56)*1000</f>
        <v>9.0006398333574289</v>
      </c>
      <c r="AW56" s="138">
        <v>26.66822183</v>
      </c>
      <c r="AX56" s="138">
        <f>($AW56/$D56)</f>
        <v>36.436577292481076</v>
      </c>
      <c r="AY56" s="242">
        <f>($AW56/$E56)*1000</f>
        <v>172.10036733526601</v>
      </c>
      <c r="AZ56" s="138">
        <v>1.054131774</v>
      </c>
      <c r="BA56" s="138">
        <f>($AZ56/$D56)</f>
        <v>1.4402517762396756</v>
      </c>
      <c r="BB56" s="242">
        <f>($AZ56/$E56)*1000</f>
        <v>6.8027207318747438</v>
      </c>
      <c r="BC56" s="138">
        <v>195.72027750000001</v>
      </c>
      <c r="BD56" s="138">
        <f>($BC56/$D56)</f>
        <v>267.41104316195026</v>
      </c>
      <c r="BE56" s="242">
        <f>($BC56/$E56)*1000</f>
        <v>1263.0587771254563</v>
      </c>
      <c r="BF56" s="138">
        <v>30.14084171</v>
      </c>
      <c r="BG56" s="138">
        <f>($BF56/$D56)</f>
        <v>41.181189943133617</v>
      </c>
      <c r="BH56" s="242">
        <f>($BF56/$E56)*1000</f>
        <v>194.51052879160437</v>
      </c>
      <c r="BI56" s="138">
        <v>0.14768072199999999</v>
      </c>
      <c r="BJ56" s="138">
        <f>($BI56/$D56)</f>
        <v>0.20177498432644503</v>
      </c>
      <c r="BK56" s="242">
        <f>($BI56/$E56)*1000</f>
        <v>0.9530409138844822</v>
      </c>
      <c r="BL56" s="138">
        <v>0.40277436999999999</v>
      </c>
      <c r="BM56" s="138">
        <f>($BL56/$D56)</f>
        <v>0.55030738672745505</v>
      </c>
      <c r="BN56" s="242">
        <f>($BL56/$E56)*1000</f>
        <v>2.5992590534196238</v>
      </c>
      <c r="BO56" s="138">
        <v>2.144676853</v>
      </c>
      <c r="BP56" s="138">
        <f>($BO56/$D56)</f>
        <v>2.9302547586364351</v>
      </c>
      <c r="BQ56" s="242">
        <f>($BO56/$E56)*1000</f>
        <v>13.840430628244189</v>
      </c>
      <c r="BR56" s="138">
        <v>415.4623292</v>
      </c>
      <c r="BS56" s="138">
        <f>($BR56/$D56)</f>
        <v>567.64284347525302</v>
      </c>
      <c r="BT56" s="363">
        <f>($BR56/$E56)*1000</f>
        <v>2681.1393697367189</v>
      </c>
    </row>
    <row r="57" spans="2:72" x14ac:dyDescent="0.35">
      <c r="B57" s="237">
        <v>49</v>
      </c>
      <c r="C57" s="239" t="s">
        <v>133</v>
      </c>
      <c r="D57" s="360">
        <v>1.1390140900000001</v>
      </c>
      <c r="E57" s="138">
        <v>126.3557114</v>
      </c>
      <c r="F57" s="361">
        <f>$E57/$D57</f>
        <v>110.93428299908037</v>
      </c>
      <c r="G57" s="362">
        <v>5.6207796355555555</v>
      </c>
      <c r="H57" s="138">
        <f>$G57/$D57</f>
        <v>4.9347762112017026</v>
      </c>
      <c r="I57" s="242">
        <f>($G57/$E57)*1000</f>
        <v>44.48377974591147</v>
      </c>
      <c r="J57" s="138">
        <v>1.6261702944444445</v>
      </c>
      <c r="K57" s="138">
        <f>($J57/$D57)</f>
        <v>1.4276998930227847</v>
      </c>
      <c r="L57" s="242">
        <f>($J57/$E57)*1000</f>
        <v>12.869780688397473</v>
      </c>
      <c r="M57" s="138">
        <v>10.6705816675</v>
      </c>
      <c r="N57" s="138">
        <f>($M57/$D57)</f>
        <v>9.368261342140201</v>
      </c>
      <c r="O57" s="242">
        <f>($M57/$E57)*1000</f>
        <v>84.448748293779147</v>
      </c>
      <c r="P57" s="138">
        <v>8.5266943850000008</v>
      </c>
      <c r="Q57" s="138">
        <f>($P57/$D57)</f>
        <v>7.4860306469079765</v>
      </c>
      <c r="R57" s="363">
        <f>($P57/$E57)*1000</f>
        <v>67.481669728464681</v>
      </c>
      <c r="S57" s="362">
        <v>0.21208781400000001</v>
      </c>
      <c r="T57" s="138">
        <f>($S57/$D57)</f>
        <v>0.1862029766462327</v>
      </c>
      <c r="U57" s="242">
        <f>($S57/$E57)*1000</f>
        <v>1.6784980405721495</v>
      </c>
      <c r="V57" s="138">
        <v>1.2003197E-2</v>
      </c>
      <c r="W57" s="138">
        <f>($V57/$D57)</f>
        <v>1.0538233991468884E-2</v>
      </c>
      <c r="X57" s="242">
        <f>($V57/$E57)*1000</f>
        <v>9.4995286457625061E-2</v>
      </c>
      <c r="Y57" s="138">
        <v>0.264136816</v>
      </c>
      <c r="Z57" s="138">
        <f>($Y57/$D57)</f>
        <v>0.23189951583478655</v>
      </c>
      <c r="AA57" s="242">
        <f>($Y57/$E57)*1000</f>
        <v>2.0904224516122665</v>
      </c>
      <c r="AB57" s="138">
        <v>0</v>
      </c>
      <c r="AC57" s="138">
        <f>($AB57/$D57)</f>
        <v>0</v>
      </c>
      <c r="AD57" s="242">
        <f>($AB57/$E57)*1000</f>
        <v>0</v>
      </c>
      <c r="AE57" s="138">
        <v>4.8169935999999997E-2</v>
      </c>
      <c r="AF57" s="138">
        <f>($AE57/$D57)</f>
        <v>4.2290904408390589E-2</v>
      </c>
      <c r="AG57" s="242">
        <f>($AE57/$E57)*1000</f>
        <v>0.38122484109570687</v>
      </c>
      <c r="AH57" s="138">
        <v>0.82505503899999999</v>
      </c>
      <c r="AI57" s="138">
        <f>($AH57/$D57)</f>
        <v>0.72435894010758017</v>
      </c>
      <c r="AJ57" s="242">
        <f>($AH57/$E57)*1000</f>
        <v>6.5296220476188136</v>
      </c>
      <c r="AK57" s="138">
        <v>1.820562462</v>
      </c>
      <c r="AL57" s="138">
        <f>($AK57/$D57)</f>
        <v>1.5983669367953122</v>
      </c>
      <c r="AM57" s="364">
        <f>($AK57/$E57)*1000</f>
        <v>14.40823245604393</v>
      </c>
      <c r="AN57" s="138">
        <v>0.80539463975000003</v>
      </c>
      <c r="AO57" s="365">
        <f>($AN57/$D57)</f>
        <v>0.70709804805838705</v>
      </c>
      <c r="AP57" s="361">
        <f>($AN57/$E57)*1000</f>
        <v>6.3740263960082455</v>
      </c>
      <c r="AQ57" s="362">
        <v>36.566162579999997</v>
      </c>
      <c r="AR57" s="138">
        <f>($AQ57/$D57)</f>
        <v>32.103345253613142</v>
      </c>
      <c r="AS57" s="364">
        <f>($AQ57/$E57)*1000</f>
        <v>289.39065891721924</v>
      </c>
      <c r="AT57" s="138">
        <v>1.1147617480000001</v>
      </c>
      <c r="AU57" s="138">
        <f>($AT57/$D57)</f>
        <v>0.97870760141342938</v>
      </c>
      <c r="AV57" s="242">
        <f>($AT57/$E57)*1000</f>
        <v>8.8224088618442948</v>
      </c>
      <c r="AW57" s="138">
        <v>30.665101050000001</v>
      </c>
      <c r="AX57" s="138">
        <f>($AW57/$D57)</f>
        <v>26.922494918390342</v>
      </c>
      <c r="AY57" s="242">
        <f>($AW57/$E57)*1000</f>
        <v>242.68868189839498</v>
      </c>
      <c r="AZ57" s="138">
        <v>0.94490058499999996</v>
      </c>
      <c r="BA57" s="138">
        <f>($AZ57/$D57)</f>
        <v>0.82957760864924845</v>
      </c>
      <c r="BB57" s="242">
        <f>($AZ57/$E57)*1000</f>
        <v>7.4780995218234345</v>
      </c>
      <c r="BC57" s="138">
        <v>182.007453</v>
      </c>
      <c r="BD57" s="138">
        <f>($BC57/$D57)</f>
        <v>159.79385557908242</v>
      </c>
      <c r="BE57" s="242">
        <f>($BC57/$E57)*1000</f>
        <v>1440.4370881489097</v>
      </c>
      <c r="BF57" s="138">
        <v>65.863337720000004</v>
      </c>
      <c r="BG57" s="138">
        <f>($BF57/$D57)</f>
        <v>57.824866521185875</v>
      </c>
      <c r="BH57" s="242">
        <f>($BF57/$E57)*1000</f>
        <v>521.25334890085549</v>
      </c>
      <c r="BI57" s="138">
        <v>0.15603555199999999</v>
      </c>
      <c r="BJ57" s="138">
        <f>($BI57/$D57)</f>
        <v>0.13699176627393606</v>
      </c>
      <c r="BK57" s="242">
        <f>($BI57/$E57)*1000</f>
        <v>1.2348911677292016</v>
      </c>
      <c r="BL57" s="138">
        <v>0.307136415</v>
      </c>
      <c r="BM57" s="138">
        <f>($BL57/$D57)</f>
        <v>0.26965111116404183</v>
      </c>
      <c r="BN57" s="242">
        <f>($BL57/$E57)*1000</f>
        <v>2.4307283904857191</v>
      </c>
      <c r="BO57" s="138">
        <v>5.4868304050000001</v>
      </c>
      <c r="BP57" s="138">
        <f>($BO57/$D57)</f>
        <v>4.8171751808618977</v>
      </c>
      <c r="BQ57" s="242">
        <f>($BO57/$E57)*1000</f>
        <v>43.423683379301522</v>
      </c>
      <c r="BR57" s="138">
        <v>278.08030209999998</v>
      </c>
      <c r="BS57" s="138">
        <f>($BR57/$D57)</f>
        <v>244.14123103604447</v>
      </c>
      <c r="BT57" s="363">
        <f>($BR57/$E57)*1000</f>
        <v>2200.7735069425598</v>
      </c>
    </row>
    <row r="58" spans="2:72" x14ac:dyDescent="0.35">
      <c r="B58" s="237">
        <v>50</v>
      </c>
      <c r="C58" s="239" t="s">
        <v>135</v>
      </c>
      <c r="D58" s="360">
        <v>1.1824921340000001</v>
      </c>
      <c r="E58" s="138">
        <v>170.27344339999999</v>
      </c>
      <c r="F58" s="361">
        <f>$E58/$D58</f>
        <v>143.99541316525998</v>
      </c>
      <c r="G58" s="362">
        <v>8.5292710722222225</v>
      </c>
      <c r="H58" s="138">
        <f>$G58/$D58</f>
        <v>7.2129622066663339</v>
      </c>
      <c r="I58" s="242">
        <f>($G58/$E58)*1000</f>
        <v>50.091610893106676</v>
      </c>
      <c r="J58" s="138">
        <v>2.4143908166666663</v>
      </c>
      <c r="K58" s="138">
        <f>($J58/$D58)</f>
        <v>2.0417817144368979</v>
      </c>
      <c r="L58" s="242">
        <f>($J58/$E58)*1000</f>
        <v>14.17949134319713</v>
      </c>
      <c r="M58" s="138">
        <v>8.9582709875000006</v>
      </c>
      <c r="N58" s="138">
        <f>($M58/$D58)</f>
        <v>7.5757552459964188</v>
      </c>
      <c r="O58" s="242">
        <f>($M58/$E58)*1000</f>
        <v>52.611087252494009</v>
      </c>
      <c r="P58" s="138">
        <v>14.116949872499999</v>
      </c>
      <c r="Q58" s="138">
        <f>($P58/$D58)</f>
        <v>11.938303407352727</v>
      </c>
      <c r="R58" s="363">
        <f>($P58/$E58)*1000</f>
        <v>82.907525628274215</v>
      </c>
      <c r="S58" s="362">
        <v>0.14487097299999999</v>
      </c>
      <c r="T58" s="138">
        <f>($S58/$D58)</f>
        <v>0.12251326569923718</v>
      </c>
      <c r="U58" s="242">
        <f>($S58/$E58)*1000</f>
        <v>0.85081366833978056</v>
      </c>
      <c r="V58" s="138">
        <v>7.2016010000000002E-3</v>
      </c>
      <c r="W58" s="138">
        <f>($V58/$D58)</f>
        <v>6.0901893492003555E-3</v>
      </c>
      <c r="X58" s="242">
        <f>($V58/$E58)*1000</f>
        <v>4.2294328793728971E-2</v>
      </c>
      <c r="Y58" s="138">
        <v>0.19105734099999999</v>
      </c>
      <c r="Z58" s="138">
        <f>($Y58/$D58)</f>
        <v>0.16157176484017099</v>
      </c>
      <c r="AA58" s="242">
        <f>($Y58/$E58)*1000</f>
        <v>1.1220618857820079</v>
      </c>
      <c r="AB58" s="138">
        <v>0</v>
      </c>
      <c r="AC58" s="138">
        <f>($AB58/$D58)</f>
        <v>0</v>
      </c>
      <c r="AD58" s="242">
        <f>($AB58/$E58)*1000</f>
        <v>0</v>
      </c>
      <c r="AE58" s="138">
        <v>2.8546875999999999E-2</v>
      </c>
      <c r="AF58" s="138">
        <f>($AE58/$D58)</f>
        <v>2.4141281941077165E-2</v>
      </c>
      <c r="AG58" s="242">
        <f>($AE58/$E58)*1000</f>
        <v>0.16765313151586855</v>
      </c>
      <c r="AH58" s="138">
        <v>1.6677757449999999</v>
      </c>
      <c r="AI58" s="138">
        <f>($AH58/$D58)</f>
        <v>1.41039056163396</v>
      </c>
      <c r="AJ58" s="242">
        <f>($AH58/$E58)*1000</f>
        <v>9.7946908907111467</v>
      </c>
      <c r="AK58" s="138">
        <v>2.6441477139999998</v>
      </c>
      <c r="AL58" s="138">
        <f>($AK58/$D58)</f>
        <v>2.2360805945115909</v>
      </c>
      <c r="AM58" s="364">
        <f>($AK58/$E58)*1000</f>
        <v>15.528832102070474</v>
      </c>
      <c r="AN58" s="138">
        <v>2.7599192525</v>
      </c>
      <c r="AO58" s="365">
        <f>($AN58/$D58)</f>
        <v>2.333985295245947</v>
      </c>
      <c r="AP58" s="361">
        <f>($AN58/$E58)*1000</f>
        <v>16.208747514528742</v>
      </c>
      <c r="AQ58" s="362">
        <v>34.725202029999998</v>
      </c>
      <c r="AR58" s="138">
        <f>($AQ58/$D58)</f>
        <v>29.36611672209229</v>
      </c>
      <c r="AS58" s="364">
        <f>($AQ58/$E58)*1000</f>
        <v>203.93786216224484</v>
      </c>
      <c r="AT58" s="138">
        <v>0.69799580400000005</v>
      </c>
      <c r="AU58" s="138">
        <f>($AT58/$D58)</f>
        <v>0.59027521953900797</v>
      </c>
      <c r="AV58" s="242">
        <f>($AT58/$E58)*1000</f>
        <v>4.0992640429564489</v>
      </c>
      <c r="AW58" s="138">
        <v>17.271470050000001</v>
      </c>
      <c r="AX58" s="138">
        <f>($AW58/$D58)</f>
        <v>14.605991493216985</v>
      </c>
      <c r="AY58" s="242">
        <f>($AW58/$E58)*1000</f>
        <v>101.43372745112408</v>
      </c>
      <c r="AZ58" s="138">
        <v>1.252810626</v>
      </c>
      <c r="BA58" s="138">
        <f>($AZ58/$D58)</f>
        <v>1.0594663507503721</v>
      </c>
      <c r="BB58" s="242">
        <f>($AZ58/$E58)*1000</f>
        <v>7.3576395765776832</v>
      </c>
      <c r="BC58" s="138">
        <v>252.86466960000001</v>
      </c>
      <c r="BD58" s="138">
        <f>($BC58/$D58)</f>
        <v>213.84046652778832</v>
      </c>
      <c r="BE58" s="242">
        <f>($BC58/$E58)*1000</f>
        <v>1485.0505431195152</v>
      </c>
      <c r="BF58" s="138">
        <v>21.176598909999999</v>
      </c>
      <c r="BG58" s="138">
        <f>($BF58/$D58)</f>
        <v>17.908448015096901</v>
      </c>
      <c r="BH58" s="242">
        <f>($BF58/$E58)*1000</f>
        <v>124.36818382918779</v>
      </c>
      <c r="BI58" s="138">
        <v>0.239939557</v>
      </c>
      <c r="BJ58" s="138">
        <f>($BI58/$D58)</f>
        <v>0.20291006603854497</v>
      </c>
      <c r="BK58" s="242">
        <f>($BI58/$E58)*1000</f>
        <v>1.4091425662682053</v>
      </c>
      <c r="BL58" s="138">
        <v>0.83310008300000005</v>
      </c>
      <c r="BM58" s="138">
        <f>($BL58/$D58)</f>
        <v>0.70452906962000983</v>
      </c>
      <c r="BN58" s="242">
        <f>($BL58/$E58)*1000</f>
        <v>4.892718831338323</v>
      </c>
      <c r="BO58" s="138">
        <v>4.3385350750000002</v>
      </c>
      <c r="BP58" s="138">
        <f>($BO58/$D58)</f>
        <v>3.6689758436904749</v>
      </c>
      <c r="BQ58" s="242">
        <f>($BO58/$E58)*1000</f>
        <v>25.479810523406616</v>
      </c>
      <c r="BR58" s="138">
        <v>447.64847159999999</v>
      </c>
      <c r="BS58" s="138">
        <f>($BR58/$D58)</f>
        <v>378.56359355706292</v>
      </c>
      <c r="BT58" s="363">
        <f>($BR58/$E58)*1000</f>
        <v>2628.9975856563901</v>
      </c>
    </row>
    <row r="59" spans="2:72" x14ac:dyDescent="0.35">
      <c r="B59" s="237">
        <v>51</v>
      </c>
      <c r="C59" s="239" t="s">
        <v>136</v>
      </c>
      <c r="D59" s="360">
        <v>0.54042252300000004</v>
      </c>
      <c r="E59" s="138">
        <v>122.3443221</v>
      </c>
      <c r="F59" s="361">
        <f>$E59/$D59</f>
        <v>226.3864233874649</v>
      </c>
      <c r="G59" s="362">
        <v>5.7200903022222223</v>
      </c>
      <c r="H59" s="138">
        <f>$G59/$D59</f>
        <v>10.584477994123539</v>
      </c>
      <c r="I59" s="242">
        <f>($G59/$E59)*1000</f>
        <v>46.75403160554373</v>
      </c>
      <c r="J59" s="138">
        <v>1.3782774077777777</v>
      </c>
      <c r="K59" s="138">
        <f>($J59/$D59)</f>
        <v>2.5503700329265842</v>
      </c>
      <c r="L59" s="242">
        <f>($J59/$E59)*1000</f>
        <v>11.265560870501384</v>
      </c>
      <c r="M59" s="138">
        <v>10.5844854175</v>
      </c>
      <c r="N59" s="138">
        <f>($M59/$D59)</f>
        <v>19.585574188772288</v>
      </c>
      <c r="O59" s="242">
        <f>($M59/$E59)*1000</f>
        <v>86.513907926586157</v>
      </c>
      <c r="P59" s="138">
        <v>7.335900305</v>
      </c>
      <c r="Q59" s="138">
        <f>($P59/$D59)</f>
        <v>13.574379291737994</v>
      </c>
      <c r="R59" s="363">
        <f>($P59/$E59)*1000</f>
        <v>59.961101415101965</v>
      </c>
      <c r="S59" s="362">
        <v>0.19736067099999999</v>
      </c>
      <c r="T59" s="138">
        <f>($S59/$D59)</f>
        <v>0.36519697570043719</v>
      </c>
      <c r="U59" s="242">
        <f>($S59/$E59)*1000</f>
        <v>1.6131575835508267</v>
      </c>
      <c r="V59" s="138">
        <v>0</v>
      </c>
      <c r="W59" s="138">
        <f>($V59/$D59)</f>
        <v>0</v>
      </c>
      <c r="X59" s="242">
        <f>($V59/$E59)*1000</f>
        <v>0</v>
      </c>
      <c r="Y59" s="138">
        <v>0.29279797400000002</v>
      </c>
      <c r="Z59" s="138">
        <f>($Y59/$D59)</f>
        <v>0.54179454323002008</v>
      </c>
      <c r="AA59" s="242">
        <f>($Y59/$E59)*1000</f>
        <v>2.3932289539409695</v>
      </c>
      <c r="AB59" s="138">
        <v>0</v>
      </c>
      <c r="AC59" s="138">
        <f>($AB59/$D59)</f>
        <v>0</v>
      </c>
      <c r="AD59" s="242">
        <f>($AB59/$E59)*1000</f>
        <v>0</v>
      </c>
      <c r="AE59" s="138">
        <v>2.0732852E-2</v>
      </c>
      <c r="AF59" s="138">
        <f>($AE59/$D59)</f>
        <v>3.8364152339372425E-2</v>
      </c>
      <c r="AG59" s="242">
        <f>($AE59/$E59)*1000</f>
        <v>0.16946313195518534</v>
      </c>
      <c r="AH59" s="138">
        <v>0.76362341700000003</v>
      </c>
      <c r="AI59" s="138">
        <f>($AH59/$D59)</f>
        <v>1.4130118277842389</v>
      </c>
      <c r="AJ59" s="242">
        <f>($AH59/$E59)*1000</f>
        <v>6.2415926124944381</v>
      </c>
      <c r="AK59" s="138">
        <v>2.9364912809999999</v>
      </c>
      <c r="AL59" s="138">
        <f>($AK59/$D59)</f>
        <v>5.4336952218403374</v>
      </c>
      <c r="AM59" s="364">
        <f>($AK59/$E59)*1000</f>
        <v>24.001859919578564</v>
      </c>
      <c r="AN59" s="138">
        <v>0.1106701595</v>
      </c>
      <c r="AO59" s="365">
        <f>($AN59/$D59)</f>
        <v>0.20478450617795588</v>
      </c>
      <c r="AP59" s="361">
        <f>($AN59/$E59)*1000</f>
        <v>0.90457944921663025</v>
      </c>
      <c r="AQ59" s="362">
        <v>19.580998099999999</v>
      </c>
      <c r="AR59" s="138">
        <f>($AQ59/$D59)</f>
        <v>36.232757271665371</v>
      </c>
      <c r="AS59" s="364">
        <f>($AQ59/$E59)*1000</f>
        <v>160.0482782028509</v>
      </c>
      <c r="AT59" s="138">
        <v>0.89143942700000001</v>
      </c>
      <c r="AU59" s="138">
        <f>($AT59/$D59)</f>
        <v>1.6495230843663411</v>
      </c>
      <c r="AV59" s="242">
        <f>($AT59/$E59)*1000</f>
        <v>7.2863162891316557</v>
      </c>
      <c r="AW59" s="138">
        <v>30.890661919999999</v>
      </c>
      <c r="AX59" s="138">
        <f>($AW59/$D59)</f>
        <v>57.160204479486502</v>
      </c>
      <c r="AY59" s="242">
        <f>($AW59/$E59)*1000</f>
        <v>252.48954254494171</v>
      </c>
      <c r="AZ59" s="138">
        <v>0.936572658</v>
      </c>
      <c r="BA59" s="138">
        <f>($AZ59/$D59)</f>
        <v>1.7330377956878751</v>
      </c>
      <c r="BB59" s="242">
        <f>($AZ59/$E59)*1000</f>
        <v>7.6552196450479988</v>
      </c>
      <c r="BC59" s="138">
        <v>158.20294530000001</v>
      </c>
      <c r="BD59" s="138">
        <f>($BC59/$D59)</f>
        <v>292.73936330740236</v>
      </c>
      <c r="BE59" s="242">
        <f>($BC59/$E59)*1000</f>
        <v>1293.095932729027</v>
      </c>
      <c r="BF59" s="138">
        <v>42.905947400000002</v>
      </c>
      <c r="BG59" s="138">
        <f>($BF59/$D59)</f>
        <v>79.393336831744151</v>
      </c>
      <c r="BH59" s="242">
        <f>($BF59/$E59)*1000</f>
        <v>350.69831328118494</v>
      </c>
      <c r="BI59" s="138">
        <v>0.12511543999999999</v>
      </c>
      <c r="BJ59" s="138">
        <f>($BI59/$D59)</f>
        <v>0.23151411104307357</v>
      </c>
      <c r="BK59" s="242">
        <f>($BI59/$E59)*1000</f>
        <v>1.0226501553356517</v>
      </c>
      <c r="BL59" s="138">
        <v>0.28873250099999997</v>
      </c>
      <c r="BM59" s="138">
        <f>($BL59/$D59)</f>
        <v>0.53427177571575779</v>
      </c>
      <c r="BN59" s="242">
        <f>($BL59/$E59)*1000</f>
        <v>2.3599991895332915</v>
      </c>
      <c r="BO59" s="138">
        <v>3.0873300490000002</v>
      </c>
      <c r="BP59" s="138">
        <f>($BO59/$D59)</f>
        <v>5.712807881991254</v>
      </c>
      <c r="BQ59" s="242">
        <f>($BO59/$E59)*1000</f>
        <v>25.234763624555654</v>
      </c>
      <c r="BR59" s="138">
        <v>306.53127269999999</v>
      </c>
      <c r="BS59" s="138">
        <f>($BR59/$D59)</f>
        <v>567.20669412218399</v>
      </c>
      <c r="BT59" s="363">
        <f>($BR59/$E59)*1000</f>
        <v>2505.4801680902851</v>
      </c>
    </row>
    <row r="60" spans="2:72" x14ac:dyDescent="0.35">
      <c r="B60" s="237">
        <v>52</v>
      </c>
      <c r="C60" s="239" t="s">
        <v>137</v>
      </c>
      <c r="D60" s="360">
        <v>0.840698528</v>
      </c>
      <c r="E60" s="138">
        <v>289.49442859999999</v>
      </c>
      <c r="F60" s="361">
        <f>$E60/$D60</f>
        <v>344.34986973118617</v>
      </c>
      <c r="G60" s="362">
        <v>12.424142944444444</v>
      </c>
      <c r="H60" s="138">
        <f>$G60/$D60</f>
        <v>14.778356962276547</v>
      </c>
      <c r="I60" s="242">
        <f>($G60/$E60)*1000</f>
        <v>42.916691020714325</v>
      </c>
      <c r="J60" s="138">
        <v>4.8831203488888892</v>
      </c>
      <c r="K60" s="138">
        <f>($J60/$D60)</f>
        <v>5.808408348835469</v>
      </c>
      <c r="L60" s="242">
        <f>($J60/$E60)*1000</f>
        <v>16.867752421018057</v>
      </c>
      <c r="M60" s="138">
        <v>31.284135774999999</v>
      </c>
      <c r="N60" s="138">
        <f>($M60/$D60)</f>
        <v>37.21207392788488</v>
      </c>
      <c r="O60" s="242">
        <f>($M60/$E60)*1000</f>
        <v>108.0647248594407</v>
      </c>
      <c r="P60" s="138">
        <v>12.985829495000001</v>
      </c>
      <c r="Q60" s="138">
        <f>($P60/$D60)</f>
        <v>15.446475832297402</v>
      </c>
      <c r="R60" s="363">
        <f>($P60/$E60)*1000</f>
        <v>44.856923699014501</v>
      </c>
      <c r="S60" s="362">
        <v>0.118270191</v>
      </c>
      <c r="T60" s="138">
        <f>($S60/$D60)</f>
        <v>0.14068085890594065</v>
      </c>
      <c r="U60" s="242">
        <f>($S60/$E60)*1000</f>
        <v>0.40854047372157271</v>
      </c>
      <c r="V60" s="138">
        <v>0</v>
      </c>
      <c r="W60" s="138">
        <f>($V60/$D60)</f>
        <v>0</v>
      </c>
      <c r="X60" s="242">
        <f>($V60/$E60)*1000</f>
        <v>0</v>
      </c>
      <c r="Y60" s="138">
        <v>1.8425858470000001</v>
      </c>
      <c r="Z60" s="138">
        <f>($Y60/$D60)</f>
        <v>2.1917319771969437</v>
      </c>
      <c r="AA60" s="242">
        <f>($Y60/$E60)*1000</f>
        <v>6.3648404423904692</v>
      </c>
      <c r="AB60" s="138">
        <v>0</v>
      </c>
      <c r="AC60" s="138">
        <f>($AB60/$D60)</f>
        <v>0</v>
      </c>
      <c r="AD60" s="242">
        <f>($AB60/$E60)*1000</f>
        <v>0</v>
      </c>
      <c r="AE60" s="138">
        <v>0.44245560900000003</v>
      </c>
      <c r="AF60" s="138">
        <f>($AE60/$D60)</f>
        <v>0.52629521078452512</v>
      </c>
      <c r="AG60" s="242">
        <f>($AE60/$E60)*1000</f>
        <v>1.5283734859414149</v>
      </c>
      <c r="AH60" s="138">
        <v>0.42057714899999998</v>
      </c>
      <c r="AI60" s="138">
        <f>($AH60/$D60)</f>
        <v>0.50027106625313367</v>
      </c>
      <c r="AJ60" s="242">
        <f>($AH60/$E60)*1000</f>
        <v>1.4527987672644282</v>
      </c>
      <c r="AK60" s="138">
        <v>3.9475848789999999</v>
      </c>
      <c r="AL60" s="138">
        <f>($AK60/$D60)</f>
        <v>4.6956010359518556</v>
      </c>
      <c r="AM60" s="364">
        <f>($AK60/$E60)*1000</f>
        <v>13.636134201582351</v>
      </c>
      <c r="AN60" s="138">
        <v>0.94854593850000002</v>
      </c>
      <c r="AO60" s="365">
        <f>($AN60/$D60)</f>
        <v>1.1282830966250961</v>
      </c>
      <c r="AP60" s="361">
        <f>($AN60/$E60)*1000</f>
        <v>3.2765602539820349</v>
      </c>
      <c r="AQ60" s="362">
        <v>164.46694070000001</v>
      </c>
      <c r="AR60" s="138">
        <f>($AQ60/$D60)</f>
        <v>195.63129376622391</v>
      </c>
      <c r="AS60" s="364">
        <f>($AQ60/$E60)*1000</f>
        <v>568.11780971179633</v>
      </c>
      <c r="AT60" s="138">
        <v>1.9897708670000001</v>
      </c>
      <c r="AU60" s="138">
        <f>($AT60/$D60)</f>
        <v>2.366806650338277</v>
      </c>
      <c r="AV60" s="242">
        <f>($AT60/$E60)*1000</f>
        <v>6.8732613495277475</v>
      </c>
      <c r="AW60" s="138">
        <v>90.911609179999999</v>
      </c>
      <c r="AX60" s="138">
        <f>($AW60/$D60)</f>
        <v>108.13818051552482</v>
      </c>
      <c r="AY60" s="242">
        <f>($AW60/$E60)*1000</f>
        <v>314.03578168896064</v>
      </c>
      <c r="AZ60" s="138">
        <v>1.8631318569999999</v>
      </c>
      <c r="BA60" s="138">
        <f>($AZ60/$D60)</f>
        <v>2.2161711897275973</v>
      </c>
      <c r="BB60" s="242">
        <f>($AZ60/$E60)*1000</f>
        <v>6.4358124818157556</v>
      </c>
      <c r="BC60" s="138">
        <v>214.9810324</v>
      </c>
      <c r="BD60" s="138">
        <f>($BC60/$D60)</f>
        <v>255.71715096425149</v>
      </c>
      <c r="BE60" s="242">
        <f>($BC60/$E60)*1000</f>
        <v>742.60853115430211</v>
      </c>
      <c r="BF60" s="138">
        <v>62.010836179999998</v>
      </c>
      <c r="BG60" s="138">
        <f>($BF60/$D60)</f>
        <v>73.761085709906226</v>
      </c>
      <c r="BH60" s="242">
        <f>($BF60/$E60)*1000</f>
        <v>214.20390188469415</v>
      </c>
      <c r="BI60" s="138">
        <v>0.12253120100000001</v>
      </c>
      <c r="BJ60" s="138">
        <f>($BI60/$D60)</f>
        <v>0.14574927505998916</v>
      </c>
      <c r="BK60" s="242">
        <f>($BI60/$E60)*1000</f>
        <v>0.42325927166392452</v>
      </c>
      <c r="BL60" s="138">
        <v>0.65189310199999995</v>
      </c>
      <c r="BM60" s="138">
        <f>($BL60/$D60)</f>
        <v>0.77541839350050579</v>
      </c>
      <c r="BN60" s="242">
        <f>($BL60/$E60)*1000</f>
        <v>2.2518329805259678</v>
      </c>
      <c r="BO60" s="138">
        <v>1.9221972919999999</v>
      </c>
      <c r="BP60" s="138">
        <f>($BO60/$D60)</f>
        <v>2.2864287589189165</v>
      </c>
      <c r="BQ60" s="242">
        <f>($BO60/$E60)*1000</f>
        <v>6.6398420905569022</v>
      </c>
      <c r="BR60" s="138">
        <v>637.02971549999995</v>
      </c>
      <c r="BS60" s="138">
        <f>($BR60/$D60)</f>
        <v>757.73858795194644</v>
      </c>
      <c r="BT60" s="363">
        <f>($BR60/$E60)*1000</f>
        <v>2200.4904155865329</v>
      </c>
    </row>
    <row r="61" spans="2:72" x14ac:dyDescent="0.35">
      <c r="B61" s="237">
        <v>53</v>
      </c>
      <c r="C61" s="239" t="s">
        <v>139</v>
      </c>
      <c r="D61" s="360">
        <v>1.014676372</v>
      </c>
      <c r="E61" s="138">
        <v>267.87269400000002</v>
      </c>
      <c r="F61" s="361">
        <f>$E61/$D61</f>
        <v>263.9981588139317</v>
      </c>
      <c r="G61" s="362">
        <v>11.714703177777778</v>
      </c>
      <c r="H61" s="138">
        <f>$G61/$D61</f>
        <v>11.545260637820173</v>
      </c>
      <c r="I61" s="242">
        <f>($G61/$E61)*1000</f>
        <v>43.73235286825382</v>
      </c>
      <c r="J61" s="138">
        <v>5.5841614844444445</v>
      </c>
      <c r="K61" s="138">
        <f>($J61/$D61)</f>
        <v>5.5033916611635103</v>
      </c>
      <c r="L61" s="242">
        <f>($J61/$E61)*1000</f>
        <v>20.846325920940803</v>
      </c>
      <c r="M61" s="138">
        <v>28.28905185</v>
      </c>
      <c r="N61" s="138">
        <f>($M61/$D61)</f>
        <v>27.879876412456756</v>
      </c>
      <c r="O61" s="242">
        <f>($M61/$E61)*1000</f>
        <v>105.60632898999401</v>
      </c>
      <c r="P61" s="138">
        <v>12.213520255000001</v>
      </c>
      <c r="Q61" s="138">
        <f>($P61/$D61)</f>
        <v>12.036862779140382</v>
      </c>
      <c r="R61" s="363">
        <f>($P61/$E61)*1000</f>
        <v>45.59449517837006</v>
      </c>
      <c r="S61" s="362">
        <v>9.7280024000000007E-2</v>
      </c>
      <c r="T61" s="138">
        <f>($S61/$D61)</f>
        <v>9.5872956820955715E-2</v>
      </c>
      <c r="U61" s="242">
        <f>($S61/$E61)*1000</f>
        <v>0.36315767220379691</v>
      </c>
      <c r="V61" s="138">
        <v>0</v>
      </c>
      <c r="W61" s="138">
        <f>($V61/$D61)</f>
        <v>0</v>
      </c>
      <c r="X61" s="242">
        <f>($V61/$E61)*1000</f>
        <v>0</v>
      </c>
      <c r="Y61" s="138">
        <v>1.7147004830000001</v>
      </c>
      <c r="Z61" s="138">
        <f>($Y61/$D61)</f>
        <v>1.6898988981286736</v>
      </c>
      <c r="AA61" s="242">
        <f>($Y61/$E61)*1000</f>
        <v>6.4011768329025722</v>
      </c>
      <c r="AB61" s="138">
        <v>0</v>
      </c>
      <c r="AC61" s="138">
        <f>($AB61/$D61)</f>
        <v>0</v>
      </c>
      <c r="AD61" s="242">
        <f>($AB61/$E61)*1000</f>
        <v>0</v>
      </c>
      <c r="AE61" s="138">
        <v>0.55663728499999998</v>
      </c>
      <c r="AF61" s="138">
        <f>($AE61/$D61)</f>
        <v>0.54858603231573022</v>
      </c>
      <c r="AG61" s="242">
        <f>($AE61/$E61)*1000</f>
        <v>2.077991887444862</v>
      </c>
      <c r="AH61" s="138">
        <v>0.119618553</v>
      </c>
      <c r="AI61" s="138">
        <f>($AH61/$D61)</f>
        <v>0.11788837929104749</v>
      </c>
      <c r="AJ61" s="242">
        <f>($AH61/$E61)*1000</f>
        <v>0.44655000557839608</v>
      </c>
      <c r="AK61" s="138">
        <v>3.8039828170000001</v>
      </c>
      <c r="AL61" s="138">
        <f>($AK61/$D61)</f>
        <v>3.7489616610487113</v>
      </c>
      <c r="AM61" s="364">
        <f>($AK61/$E61)*1000</f>
        <v>14.200711390911684</v>
      </c>
      <c r="AN61" s="138">
        <v>0.53325067299999995</v>
      </c>
      <c r="AO61" s="365">
        <f>($AN61/$D61)</f>
        <v>0.52553768641416632</v>
      </c>
      <c r="AP61" s="361">
        <f>($AN61/$E61)*1000</f>
        <v>1.99068693802736</v>
      </c>
      <c r="AQ61" s="362">
        <v>206.63321980000001</v>
      </c>
      <c r="AR61" s="138">
        <f>($AQ61/$D61)</f>
        <v>203.64445797896238</v>
      </c>
      <c r="AS61" s="364">
        <f>($AQ61/$E61)*1000</f>
        <v>771.38590243916383</v>
      </c>
      <c r="AT61" s="138">
        <v>2.7689715229999998</v>
      </c>
      <c r="AU61" s="138">
        <f>($AT61/$D61)</f>
        <v>2.7289208652234191</v>
      </c>
      <c r="AV61" s="242">
        <f>($AT61/$E61)*1000</f>
        <v>10.33689355063566</v>
      </c>
      <c r="AW61" s="138">
        <v>103.79334</v>
      </c>
      <c r="AX61" s="138">
        <f>($AW61/$D61)</f>
        <v>102.29206362164112</v>
      </c>
      <c r="AY61" s="242">
        <f>($AW61/$E61)*1000</f>
        <v>387.47264026844033</v>
      </c>
      <c r="AZ61" s="138">
        <v>2.0030116699999998</v>
      </c>
      <c r="BA61" s="138">
        <f>($AZ61/$D61)</f>
        <v>1.9740399257074646</v>
      </c>
      <c r="BB61" s="242">
        <f>($AZ61/$E61)*1000</f>
        <v>7.4774761103496408</v>
      </c>
      <c r="BC61" s="138">
        <v>200.69643690000001</v>
      </c>
      <c r="BD61" s="138">
        <f>($BC61/$D61)</f>
        <v>197.79354525070187</v>
      </c>
      <c r="BE61" s="242">
        <f>($BC61/$E61)*1000</f>
        <v>749.22319965916336</v>
      </c>
      <c r="BF61" s="138">
        <v>68.618012809999996</v>
      </c>
      <c r="BG61" s="138">
        <f>($BF61/$D61)</f>
        <v>67.625515586559843</v>
      </c>
      <c r="BH61" s="242">
        <f>($BF61/$E61)*1000</f>
        <v>256.15904251144013</v>
      </c>
      <c r="BI61" s="138">
        <v>0.132590442</v>
      </c>
      <c r="BJ61" s="138">
        <f>($BI61/$D61)</f>
        <v>0.13067264170018536</v>
      </c>
      <c r="BK61" s="242">
        <f>($BI61/$E61)*1000</f>
        <v>0.49497557970578365</v>
      </c>
      <c r="BL61" s="138">
        <v>0.65725118599999999</v>
      </c>
      <c r="BM61" s="138">
        <f>($BL61/$D61)</f>
        <v>0.64774464463433856</v>
      </c>
      <c r="BN61" s="242">
        <f>($BL61/$E61)*1000</f>
        <v>2.4535953112115259</v>
      </c>
      <c r="BO61" s="138">
        <v>0.62903618699999997</v>
      </c>
      <c r="BP61" s="138">
        <f>($BO61/$D61)</f>
        <v>0.61993774996467532</v>
      </c>
      <c r="BQ61" s="242">
        <f>($BO61/$E61)*1000</f>
        <v>2.3482654301449628</v>
      </c>
      <c r="BR61" s="138">
        <v>509.08248509999999</v>
      </c>
      <c r="BS61" s="138">
        <f>($BR61/$D61)</f>
        <v>501.71906939802079</v>
      </c>
      <c r="BT61" s="363">
        <f>($BR61/$E61)*1000</f>
        <v>1900.4642746453283</v>
      </c>
    </row>
    <row r="62" spans="2:72" x14ac:dyDescent="0.35">
      <c r="B62" s="237">
        <v>54</v>
      </c>
      <c r="C62" s="239" t="s">
        <v>141</v>
      </c>
      <c r="D62" s="360">
        <v>1.0490732199999999</v>
      </c>
      <c r="E62" s="138">
        <v>269.7184168</v>
      </c>
      <c r="F62" s="361">
        <f>$E62/$D62</f>
        <v>257.1016127930518</v>
      </c>
      <c r="G62" s="362">
        <v>10.342373132222223</v>
      </c>
      <c r="H62" s="138">
        <f>$G62/$D62</f>
        <v>9.8585808264386188</v>
      </c>
      <c r="I62" s="242">
        <f>($G62/$E62)*1000</f>
        <v>38.345075782834797</v>
      </c>
      <c r="J62" s="138">
        <v>4.455301831111111</v>
      </c>
      <c r="K62" s="138">
        <f>($J62/$D62)</f>
        <v>4.2468931111511088</v>
      </c>
      <c r="L62" s="242">
        <f>($J62/$E62)*1000</f>
        <v>16.518344887122705</v>
      </c>
      <c r="M62" s="138">
        <v>31.915055649999999</v>
      </c>
      <c r="N62" s="138">
        <f>($M62/$D62)</f>
        <v>30.422143127435856</v>
      </c>
      <c r="O62" s="242">
        <f>($M62/$E62)*1000</f>
        <v>118.32731345766969</v>
      </c>
      <c r="P62" s="138">
        <v>12.2767226275</v>
      </c>
      <c r="Q62" s="138">
        <f>($P62/$D62)</f>
        <v>11.702445924127204</v>
      </c>
      <c r="R62" s="363">
        <f>($P62/$E62)*1000</f>
        <v>45.516812582373127</v>
      </c>
      <c r="S62" s="362">
        <v>0.10258655899999999</v>
      </c>
      <c r="T62" s="138">
        <f>($S62/$D62)</f>
        <v>9.7787796928035201E-2</v>
      </c>
      <c r="U62" s="242">
        <f>($S62/$E62)*1000</f>
        <v>0.380346882564083</v>
      </c>
      <c r="V62" s="138">
        <v>9.5905100000000004E-4</v>
      </c>
      <c r="W62" s="138">
        <f>($V62/$D62)</f>
        <v>9.1418881133959373E-4</v>
      </c>
      <c r="X62" s="242">
        <f>($V62/$E62)*1000</f>
        <v>3.5557490340422317E-3</v>
      </c>
      <c r="Y62" s="138">
        <v>1.8200542930000001</v>
      </c>
      <c r="Z62" s="138">
        <f>($Y62/$D62)</f>
        <v>1.7349163607474416</v>
      </c>
      <c r="AA62" s="242">
        <f>($Y62/$E62)*1000</f>
        <v>6.7479792985348714</v>
      </c>
      <c r="AB62" s="138">
        <v>0</v>
      </c>
      <c r="AC62" s="138">
        <f>($AB62/$D62)</f>
        <v>0</v>
      </c>
      <c r="AD62" s="242">
        <f>($AB62/$E62)*1000</f>
        <v>0</v>
      </c>
      <c r="AE62" s="138">
        <v>0.555457125</v>
      </c>
      <c r="AF62" s="138">
        <f>($AE62/$D62)</f>
        <v>0.52947412478987887</v>
      </c>
      <c r="AG62" s="242">
        <f>($AE62/$E62)*1000</f>
        <v>2.0593963570974068</v>
      </c>
      <c r="AH62" s="138">
        <v>7.7960682000000003E-2</v>
      </c>
      <c r="AI62" s="138">
        <f>($AH62/$D62)</f>
        <v>7.4313861524365296E-2</v>
      </c>
      <c r="AJ62" s="242">
        <f>($AH62/$E62)*1000</f>
        <v>0.28904471161051243</v>
      </c>
      <c r="AK62" s="138">
        <v>3.3841440679999999</v>
      </c>
      <c r="AL62" s="138">
        <f>($AK62/$D62)</f>
        <v>3.2258416319120227</v>
      </c>
      <c r="AM62" s="364">
        <f>($AK62/$E62)*1000</f>
        <v>12.546952144203747</v>
      </c>
      <c r="AN62" s="138">
        <v>0.54235156500000004</v>
      </c>
      <c r="AO62" s="365">
        <f>($AN62/$D62)</f>
        <v>0.51698161258944353</v>
      </c>
      <c r="AP62" s="361">
        <f>($AN62/$E62)*1000</f>
        <v>2.0108065716630739</v>
      </c>
      <c r="AQ62" s="362">
        <v>171.051918</v>
      </c>
      <c r="AR62" s="138">
        <f>($AQ62/$D62)</f>
        <v>163.05050471119642</v>
      </c>
      <c r="AS62" s="364">
        <f>($AQ62/$E62)*1000</f>
        <v>634.1870163313223</v>
      </c>
      <c r="AT62" s="138">
        <v>2.3627110720000002</v>
      </c>
      <c r="AU62" s="138">
        <f>($AT62/$D62)</f>
        <v>2.2521889101315544</v>
      </c>
      <c r="AV62" s="242">
        <f>($AT62/$E62)*1000</f>
        <v>8.7599174725691178</v>
      </c>
      <c r="AW62" s="138">
        <v>82.253503929999994</v>
      </c>
      <c r="AX62" s="138">
        <f>($AW62/$D62)</f>
        <v>78.405875168560684</v>
      </c>
      <c r="AY62" s="242">
        <f>($AW62/$E62)*1000</f>
        <v>304.96065083680264</v>
      </c>
      <c r="AZ62" s="138">
        <v>1.9777119999999999</v>
      </c>
      <c r="BA62" s="138">
        <f>($AZ62/$D62)</f>
        <v>1.8851992046846835</v>
      </c>
      <c r="BB62" s="242">
        <f>($AZ62/$E62)*1000</f>
        <v>7.3325063355480884</v>
      </c>
      <c r="BC62" s="138">
        <v>180.34699800000001</v>
      </c>
      <c r="BD62" s="138">
        <f>($BC62/$D62)</f>
        <v>171.91078235702179</v>
      </c>
      <c r="BE62" s="242">
        <f>($BC62/$E62)*1000</f>
        <v>668.64917916869524</v>
      </c>
      <c r="BF62" s="138">
        <v>67.567153270000006</v>
      </c>
      <c r="BG62" s="138">
        <f>($BF62/$D62)</f>
        <v>64.406518040752204</v>
      </c>
      <c r="BH62" s="242">
        <f>($BF62/$E62)*1000</f>
        <v>250.50997285106413</v>
      </c>
      <c r="BI62" s="138">
        <v>9.4805702000000006E-2</v>
      </c>
      <c r="BJ62" s="138">
        <f>($BI62/$D62)</f>
        <v>9.0370910430827706E-2</v>
      </c>
      <c r="BK62" s="242">
        <f>($BI62/$E62)*1000</f>
        <v>0.35149880799685906</v>
      </c>
      <c r="BL62" s="138">
        <v>0.63949257699999995</v>
      </c>
      <c r="BM62" s="138">
        <f>($BL62/$D62)</f>
        <v>0.60957859261720548</v>
      </c>
      <c r="BN62" s="242">
        <f>($BL62/$E62)*1000</f>
        <v>2.3709637057309019</v>
      </c>
      <c r="BO62" s="138">
        <v>1.6289109450000001</v>
      </c>
      <c r="BP62" s="138">
        <f>($BO62/$D62)</f>
        <v>1.5527142566845813</v>
      </c>
      <c r="BQ62" s="242">
        <f>($BO62/$E62)*1000</f>
        <v>6.0393018924171589</v>
      </c>
      <c r="BR62" s="138">
        <v>607.75841230000003</v>
      </c>
      <c r="BS62" s="138">
        <f>($BR62/$D62)</f>
        <v>579.32887877930966</v>
      </c>
      <c r="BT62" s="363">
        <f>($BR62/$E62)*1000</f>
        <v>2253.3070581926982</v>
      </c>
    </row>
    <row r="63" spans="2:72" x14ac:dyDescent="0.35">
      <c r="B63" s="237">
        <v>55</v>
      </c>
      <c r="C63" s="239" t="s">
        <v>142</v>
      </c>
      <c r="D63" s="360">
        <v>1.3267633999999999</v>
      </c>
      <c r="E63" s="138">
        <v>263.20979979999998</v>
      </c>
      <c r="F63" s="361">
        <f>$E63/$D63</f>
        <v>198.38488143402208</v>
      </c>
      <c r="G63" s="362">
        <v>11.548814877777778</v>
      </c>
      <c r="H63" s="138">
        <f>$G63/$D63</f>
        <v>8.7045021574892534</v>
      </c>
      <c r="I63" s="242">
        <f>($G63/$E63)*1000</f>
        <v>43.876842300526604</v>
      </c>
      <c r="J63" s="138">
        <v>4.7390659844444443</v>
      </c>
      <c r="K63" s="138">
        <f>($J63/$D63)</f>
        <v>3.5718998462306426</v>
      </c>
      <c r="L63" s="242">
        <f>($J63/$E63)*1000</f>
        <v>18.004899468201504</v>
      </c>
      <c r="M63" s="138">
        <v>28.295416575000001</v>
      </c>
      <c r="N63" s="138">
        <f>($M63/$D63)</f>
        <v>21.326648425031927</v>
      </c>
      <c r="O63" s="242">
        <f>($M63/$E63)*1000</f>
        <v>107.50137949460954</v>
      </c>
      <c r="P63" s="138">
        <v>11.5045530075</v>
      </c>
      <c r="Q63" s="138">
        <f>($P63/$D63)</f>
        <v>8.6711413711743948</v>
      </c>
      <c r="R63" s="363">
        <f>($P63/$E63)*1000</f>
        <v>43.708680361604081</v>
      </c>
      <c r="S63" s="362">
        <v>0.120040152</v>
      </c>
      <c r="T63" s="138">
        <f>($S63/$D63)</f>
        <v>9.0475929619403136E-2</v>
      </c>
      <c r="U63" s="242">
        <f>($S63/$E63)*1000</f>
        <v>0.45606262415461934</v>
      </c>
      <c r="V63" s="138">
        <v>0</v>
      </c>
      <c r="W63" s="138">
        <f>($V63/$D63)</f>
        <v>0</v>
      </c>
      <c r="X63" s="242">
        <f>($V63/$E63)*1000</f>
        <v>0</v>
      </c>
      <c r="Y63" s="138">
        <v>1.7480666520000001</v>
      </c>
      <c r="Z63" s="138">
        <f>($Y63/$D63)</f>
        <v>1.3175421118791792</v>
      </c>
      <c r="AA63" s="242">
        <f>($Y63/$E63)*1000</f>
        <v>6.6413433440862342</v>
      </c>
      <c r="AB63" s="138">
        <v>0</v>
      </c>
      <c r="AC63" s="138">
        <f>($AB63/$D63)</f>
        <v>0</v>
      </c>
      <c r="AD63" s="242">
        <f>($AB63/$E63)*1000</f>
        <v>0</v>
      </c>
      <c r="AE63" s="138">
        <v>0.52291985200000002</v>
      </c>
      <c r="AF63" s="138">
        <f>($AE63/$D63)</f>
        <v>0.39413195449919708</v>
      </c>
      <c r="AG63" s="242">
        <f>($AE63/$E63)*1000</f>
        <v>1.9867035816954413</v>
      </c>
      <c r="AH63" s="138">
        <v>9.5672195000000002E-2</v>
      </c>
      <c r="AI63" s="138">
        <f>($AH63/$D63)</f>
        <v>7.2109462018623671E-2</v>
      </c>
      <c r="AJ63" s="242">
        <f>($AH63/$E63)*1000</f>
        <v>0.36348264795876345</v>
      </c>
      <c r="AK63" s="138">
        <v>4.3480113610000002</v>
      </c>
      <c r="AL63" s="138">
        <f>($AK63/$D63)</f>
        <v>3.277156545771462</v>
      </c>
      <c r="AM63" s="364">
        <f>($AK63/$E63)*1000</f>
        <v>16.519184940316954</v>
      </c>
      <c r="AN63" s="138">
        <v>0.454217382</v>
      </c>
      <c r="AO63" s="365">
        <f>($AN63/$D63)</f>
        <v>0.34234994875499281</v>
      </c>
      <c r="AP63" s="361">
        <f>($AN63/$E63)*1000</f>
        <v>1.7256856786682606</v>
      </c>
      <c r="AQ63" s="362">
        <v>176.4787273</v>
      </c>
      <c r="AR63" s="138">
        <f>($AQ63/$D63)</f>
        <v>133.01446761344187</v>
      </c>
      <c r="AS63" s="364">
        <f>($AQ63/$E63)*1000</f>
        <v>670.48691740998015</v>
      </c>
      <c r="AT63" s="138">
        <v>2.375651006</v>
      </c>
      <c r="AU63" s="138">
        <f>($AT63/$D63)</f>
        <v>1.7905611550635179</v>
      </c>
      <c r="AV63" s="242">
        <f>($AT63/$E63)*1000</f>
        <v>9.025693601853499</v>
      </c>
      <c r="AW63" s="138">
        <v>73.722767289999993</v>
      </c>
      <c r="AX63" s="138">
        <f>($AW63/$D63)</f>
        <v>55.565873531030476</v>
      </c>
      <c r="AY63" s="242">
        <f>($AW63/$E63)*1000</f>
        <v>280.09127071263401</v>
      </c>
      <c r="AZ63" s="138">
        <v>1.8210772550000001</v>
      </c>
      <c r="BA63" s="138">
        <f>($AZ63/$D63)</f>
        <v>1.3725712172946587</v>
      </c>
      <c r="BB63" s="242">
        <f>($AZ63/$E63)*1000</f>
        <v>6.9187289241652321</v>
      </c>
      <c r="BC63" s="138">
        <v>182.28503309999999</v>
      </c>
      <c r="BD63" s="138">
        <f>($BC63/$D63)</f>
        <v>137.39076092994426</v>
      </c>
      <c r="BE63" s="242">
        <f>($BC63/$E63)*1000</f>
        <v>692.54652842906808</v>
      </c>
      <c r="BF63" s="138">
        <v>65.086036870000001</v>
      </c>
      <c r="BG63" s="138">
        <f>($BF63/$D63)</f>
        <v>49.0562498709265</v>
      </c>
      <c r="BH63" s="242">
        <f>($BF63/$E63)*1000</f>
        <v>247.27816714824311</v>
      </c>
      <c r="BI63" s="138">
        <v>0.115946481</v>
      </c>
      <c r="BJ63" s="138">
        <f>($BI63/$D63)</f>
        <v>8.7390472935867852E-2</v>
      </c>
      <c r="BK63" s="242">
        <f>($BI63/$E63)*1000</f>
        <v>0.44050974199327669</v>
      </c>
      <c r="BL63" s="138">
        <v>0.65093768500000004</v>
      </c>
      <c r="BM63" s="138">
        <f>($BL63/$D63)</f>
        <v>0.49062077307830476</v>
      </c>
      <c r="BN63" s="242">
        <f>($BL63/$E63)*1000</f>
        <v>2.4730754154845878</v>
      </c>
      <c r="BO63" s="138">
        <v>2.5340824089999998</v>
      </c>
      <c r="BP63" s="138">
        <f>($BO63/$D63)</f>
        <v>1.9099731037199248</v>
      </c>
      <c r="BQ63" s="242">
        <f>($BO63/$E63)*1000</f>
        <v>9.6276142108900302</v>
      </c>
      <c r="BR63" s="138">
        <v>519.87368389999995</v>
      </c>
      <c r="BS63" s="138">
        <f>($BR63/$D63)</f>
        <v>391.83601529858299</v>
      </c>
      <c r="BT63" s="363">
        <f>($BR63/$E63)*1000</f>
        <v>1975.1304255959544</v>
      </c>
    </row>
    <row r="64" spans="2:72" x14ac:dyDescent="0.35">
      <c r="B64" s="237">
        <v>56</v>
      </c>
      <c r="C64" s="239" t="s">
        <v>143</v>
      </c>
      <c r="D64" s="360">
        <v>0.71823702099999998</v>
      </c>
      <c r="E64" s="138">
        <v>273.2529356</v>
      </c>
      <c r="F64" s="361">
        <f>$E64/$D64</f>
        <v>380.44952795603666</v>
      </c>
      <c r="G64" s="362">
        <v>15.551342744444444</v>
      </c>
      <c r="H64" s="138">
        <f>$G64/$D64</f>
        <v>21.652104096210941</v>
      </c>
      <c r="I64" s="242">
        <f>($G64/$E64)*1000</f>
        <v>56.911896336254564</v>
      </c>
      <c r="J64" s="138">
        <v>5.6574397311111113</v>
      </c>
      <c r="K64" s="138">
        <f>($J64/$D64)</f>
        <v>7.8768422758747096</v>
      </c>
      <c r="L64" s="242">
        <f>($J64/$E64)*1000</f>
        <v>20.704040081723871</v>
      </c>
      <c r="M64" s="138">
        <v>22.2737266675</v>
      </c>
      <c r="N64" s="138">
        <f>($M64/$D64)</f>
        <v>31.011666088289818</v>
      </c>
      <c r="O64" s="242">
        <f>($M64/$E64)*1000</f>
        <v>81.513220044981651</v>
      </c>
      <c r="P64" s="138">
        <v>10.541555024999999</v>
      </c>
      <c r="Q64" s="138">
        <f>($P64/$D64)</f>
        <v>14.676986449853299</v>
      </c>
      <c r="R64" s="363">
        <f>($P64/$E64)*1000</f>
        <v>38.578011986781377</v>
      </c>
      <c r="S64" s="362">
        <v>1.781924E-2</v>
      </c>
      <c r="T64" s="138">
        <f>($S64/$D64)</f>
        <v>2.4809693010797895E-2</v>
      </c>
      <c r="U64" s="242">
        <f>($S64/$E64)*1000</f>
        <v>6.5211522653445916E-2</v>
      </c>
      <c r="V64" s="138">
        <v>0</v>
      </c>
      <c r="W64" s="138">
        <f>($V64/$D64)</f>
        <v>0</v>
      </c>
      <c r="X64" s="242">
        <f>($V64/$E64)*1000</f>
        <v>0</v>
      </c>
      <c r="Y64" s="138">
        <v>1.3655254459999999</v>
      </c>
      <c r="Z64" s="138">
        <f>($Y64/$D64)</f>
        <v>1.9012184085119723</v>
      </c>
      <c r="AA64" s="242">
        <f>($Y64/$E64)*1000</f>
        <v>4.9972946969503669</v>
      </c>
      <c r="AB64" s="138">
        <v>5.7530192000000001E-2</v>
      </c>
      <c r="AC64" s="138">
        <f>($AB64/$D64)</f>
        <v>8.0099173835262383E-2</v>
      </c>
      <c r="AD64" s="242">
        <f>($AB64/$E64)*1000</f>
        <v>0.21053823950208278</v>
      </c>
      <c r="AE64" s="138">
        <v>0.121247175</v>
      </c>
      <c r="AF64" s="138">
        <f>($AE64/$D64)</f>
        <v>0.16881220468305547</v>
      </c>
      <c r="AG64" s="242">
        <f>($AE64/$E64)*1000</f>
        <v>0.4437177398799737</v>
      </c>
      <c r="AH64" s="138">
        <v>1.262640252</v>
      </c>
      <c r="AI64" s="138">
        <f>($AH64/$D64)</f>
        <v>1.7579715540728162</v>
      </c>
      <c r="AJ64" s="242">
        <f>($AH64/$E64)*1000</f>
        <v>4.6207747017521887</v>
      </c>
      <c r="AK64" s="138">
        <v>1.742839381</v>
      </c>
      <c r="AL64" s="138">
        <f>($AK64/$D64)</f>
        <v>2.4265518624665825</v>
      </c>
      <c r="AM64" s="364">
        <f>($AK64/$E64)*1000</f>
        <v>6.3781176848956056</v>
      </c>
      <c r="AN64" s="138">
        <v>2.9993679525000001</v>
      </c>
      <c r="AO64" s="365">
        <f>($AN64/$D64)</f>
        <v>4.176014135729158</v>
      </c>
      <c r="AP64" s="361">
        <f>($AN64/$E64)*1000</f>
        <v>10.976526001135484</v>
      </c>
      <c r="AQ64" s="362">
        <v>140.64172479999999</v>
      </c>
      <c r="AR64" s="138">
        <f>($AQ64/$D64)</f>
        <v>195.81519844825709</v>
      </c>
      <c r="AS64" s="364">
        <f>($AQ64/$E64)*1000</f>
        <v>514.69428678298891</v>
      </c>
      <c r="AT64" s="138">
        <v>1.198025957</v>
      </c>
      <c r="AU64" s="138">
        <f>($AT64/$D64)</f>
        <v>1.6680091974818994</v>
      </c>
      <c r="AV64" s="242">
        <f>($AT64/$E64)*1000</f>
        <v>4.3843113866989691</v>
      </c>
      <c r="AW64" s="138">
        <v>61.153229809999999</v>
      </c>
      <c r="AX64" s="138">
        <f>($AW64/$D64)</f>
        <v>85.143522294153641</v>
      </c>
      <c r="AY64" s="242">
        <f>($AW64/$E64)*1000</f>
        <v>223.79715583190975</v>
      </c>
      <c r="AZ64" s="138">
        <v>2.0278044739999999</v>
      </c>
      <c r="BA64" s="138">
        <f>($AZ64/$D64)</f>
        <v>2.8233082042703561</v>
      </c>
      <c r="BB64" s="242">
        <f>($AZ64/$E64)*1000</f>
        <v>7.4209796485714312</v>
      </c>
      <c r="BC64" s="138">
        <v>217.9659484</v>
      </c>
      <c r="BD64" s="138">
        <f>($BC64/$D64)</f>
        <v>303.47356377777135</v>
      </c>
      <c r="BE64" s="242">
        <f>($BC64/$E64)*1000</f>
        <v>797.67102198334078</v>
      </c>
      <c r="BF64" s="138">
        <v>44.593254860000002</v>
      </c>
      <c r="BG64" s="138">
        <f>($BF64/$D64)</f>
        <v>62.087101550283364</v>
      </c>
      <c r="BH64" s="242">
        <f>($BF64/$E64)*1000</f>
        <v>163.1940559470425</v>
      </c>
      <c r="BI64" s="138">
        <v>0.115227249</v>
      </c>
      <c r="BJ64" s="138">
        <f>($BI64/$D64)</f>
        <v>0.16043067348376075</v>
      </c>
      <c r="BK64" s="242">
        <f>($BI64/$E64)*1000</f>
        <v>0.42168714033021354</v>
      </c>
      <c r="BL64" s="138">
        <v>0.48945047800000002</v>
      </c>
      <c r="BM64" s="138">
        <f>($BL64/$D64)</f>
        <v>0.68146094351769715</v>
      </c>
      <c r="BN64" s="242">
        <f>($BL64/$E64)*1000</f>
        <v>1.7911993403667574</v>
      </c>
      <c r="BO64" s="138">
        <v>2.439568725</v>
      </c>
      <c r="BP64" s="138">
        <f>($BO64/$D64)</f>
        <v>3.3966067658325287</v>
      </c>
      <c r="BQ64" s="242">
        <f>($BO64/$E64)*1000</f>
        <v>8.9278774613830709</v>
      </c>
      <c r="BR64" s="138">
        <v>689.7475647</v>
      </c>
      <c r="BS64" s="138">
        <f>($BR64/$D64)</f>
        <v>960.33418569773221</v>
      </c>
      <c r="BT64" s="363">
        <f>($BR64/$E64)*1000</f>
        <v>2524.209166080776</v>
      </c>
    </row>
    <row r="65" spans="2:72" x14ac:dyDescent="0.35">
      <c r="B65" s="237">
        <v>57</v>
      </c>
      <c r="C65" s="239" t="s">
        <v>145</v>
      </c>
      <c r="D65" s="360">
        <v>1.3175637170000001</v>
      </c>
      <c r="E65" s="138">
        <v>283.4066527</v>
      </c>
      <c r="F65" s="361">
        <f>$E65/$D65</f>
        <v>215.0990111850507</v>
      </c>
      <c r="G65" s="362">
        <v>18.104303999999999</v>
      </c>
      <c r="H65" s="138">
        <f>$G65/$D65</f>
        <v>13.740742680150776</v>
      </c>
      <c r="I65" s="242">
        <f>($G65/$E65)*1000</f>
        <v>63.881012769182604</v>
      </c>
      <c r="J65" s="138">
        <v>6.5830861133333336</v>
      </c>
      <c r="K65" s="138">
        <f>($J65/$D65)</f>
        <v>4.9964081648533538</v>
      </c>
      <c r="L65" s="242">
        <f>($J65/$E65)*1000</f>
        <v>23.228410662264363</v>
      </c>
      <c r="M65" s="138">
        <v>20.4667114075</v>
      </c>
      <c r="N65" s="138">
        <f>($M65/$D65)</f>
        <v>15.533754567939425</v>
      </c>
      <c r="O65" s="242">
        <f>($M65/$E65)*1000</f>
        <v>72.216764188542285</v>
      </c>
      <c r="P65" s="138">
        <v>9.8480652499999994</v>
      </c>
      <c r="Q65" s="138">
        <f>($P65/$D65)</f>
        <v>7.474450854204874</v>
      </c>
      <c r="R65" s="363">
        <f>($P65/$E65)*1000</f>
        <v>34.748885236736712</v>
      </c>
      <c r="S65" s="362">
        <v>4.0797277E-2</v>
      </c>
      <c r="T65" s="138">
        <f>($S65/$D65)</f>
        <v>3.0964177651227776E-2</v>
      </c>
      <c r="U65" s="242">
        <f>($S65/$E65)*1000</f>
        <v>0.14395313804854801</v>
      </c>
      <c r="V65" s="138">
        <v>0</v>
      </c>
      <c r="W65" s="138">
        <f>($V65/$D65)</f>
        <v>0</v>
      </c>
      <c r="X65" s="242">
        <f>($V65/$E65)*1000</f>
        <v>0</v>
      </c>
      <c r="Y65" s="138">
        <v>1.1288189580000001</v>
      </c>
      <c r="Z65" s="138">
        <f>($Y65/$D65)</f>
        <v>0.85674714887431891</v>
      </c>
      <c r="AA65" s="242">
        <f>($Y65/$E65)*1000</f>
        <v>3.983036203440542</v>
      </c>
      <c r="AB65" s="138">
        <v>0</v>
      </c>
      <c r="AC65" s="138">
        <f>($AB65/$D65)</f>
        <v>0</v>
      </c>
      <c r="AD65" s="242">
        <f>($AB65/$E65)*1000</f>
        <v>0</v>
      </c>
      <c r="AE65" s="138">
        <v>8.0166525000000002E-2</v>
      </c>
      <c r="AF65" s="138">
        <f>($AE65/$D65)</f>
        <v>6.0844514740079167E-2</v>
      </c>
      <c r="AG65" s="242">
        <f>($AE65/$E65)*1000</f>
        <v>0.2828674776553684</v>
      </c>
      <c r="AH65" s="138">
        <v>1.0565462779999999</v>
      </c>
      <c r="AI65" s="138">
        <f>($AH65/$D65)</f>
        <v>0.80189387759225905</v>
      </c>
      <c r="AJ65" s="242">
        <f>($AH65/$E65)*1000</f>
        <v>3.7280221474490456</v>
      </c>
      <c r="AK65" s="138">
        <v>0.99242891099999997</v>
      </c>
      <c r="AL65" s="138">
        <f>($AK65/$D65)</f>
        <v>0.75323029785587203</v>
      </c>
      <c r="AM65" s="364">
        <f>($AK65/$E65)*1000</f>
        <v>3.5017841026143279</v>
      </c>
      <c r="AN65" s="138">
        <v>1.48842862175</v>
      </c>
      <c r="AO65" s="365">
        <f>($AN65/$D65)</f>
        <v>1.1296824605485094</v>
      </c>
      <c r="AP65" s="361">
        <f>($AN65/$E65)*1000</f>
        <v>5.2519184273545463</v>
      </c>
      <c r="AQ65" s="362">
        <v>70.493606589999999</v>
      </c>
      <c r="AR65" s="138">
        <f>($AQ65/$D65)</f>
        <v>53.502996234982078</v>
      </c>
      <c r="AS65" s="364">
        <f>($AQ65/$E65)*1000</f>
        <v>248.73659781240556</v>
      </c>
      <c r="AT65" s="138">
        <v>1.4812021909999999</v>
      </c>
      <c r="AU65" s="138">
        <f>($AT65/$D65)</f>
        <v>1.1241977688734426</v>
      </c>
      <c r="AV65" s="242">
        <f>($AT65/$E65)*1000</f>
        <v>5.2264199759909165</v>
      </c>
      <c r="AW65" s="138">
        <v>57.519315429999999</v>
      </c>
      <c r="AX65" s="138">
        <f>($AW65/$D65)</f>
        <v>43.655813140458541</v>
      </c>
      <c r="AY65" s="242">
        <f>($AW65/$E65)*1000</f>
        <v>202.95682857835752</v>
      </c>
      <c r="AZ65" s="138">
        <v>1.735559187</v>
      </c>
      <c r="BA65" s="138">
        <f>($AZ65/$D65)</f>
        <v>1.317248771051275</v>
      </c>
      <c r="BB65" s="242">
        <f>($AZ65/$E65)*1000</f>
        <v>6.1239183006659186</v>
      </c>
      <c r="BC65" s="138">
        <v>226.64480470000001</v>
      </c>
      <c r="BD65" s="138">
        <f>($BC65/$D65)</f>
        <v>172.01809808185541</v>
      </c>
      <c r="BE65" s="242">
        <f>($BC65/$E65)*1000</f>
        <v>799.71589424866045</v>
      </c>
      <c r="BF65" s="138">
        <v>47.925627429999999</v>
      </c>
      <c r="BG65" s="138">
        <f>($BF65/$D65)</f>
        <v>36.374428660743085</v>
      </c>
      <c r="BH65" s="242">
        <f>($BF65/$E65)*1000</f>
        <v>169.10551313250804</v>
      </c>
      <c r="BI65" s="138">
        <v>0.102979344</v>
      </c>
      <c r="BJ65" s="138">
        <f>($BI65/$D65)</f>
        <v>7.8158910018011674E-2</v>
      </c>
      <c r="BK65" s="242">
        <f>($BI65/$E65)*1000</f>
        <v>0.363362479387556</v>
      </c>
      <c r="BL65" s="138">
        <v>0.56469723100000002</v>
      </c>
      <c r="BM65" s="138">
        <f>($BL65/$D65)</f>
        <v>0.42859197146516442</v>
      </c>
      <c r="BN65" s="242">
        <f>($BL65/$E65)*1000</f>
        <v>1.9925334342724836</v>
      </c>
      <c r="BO65" s="138">
        <v>0.105274008</v>
      </c>
      <c r="BP65" s="138">
        <f>($BO65/$D65)</f>
        <v>7.9900506246256928E-2</v>
      </c>
      <c r="BQ65" s="242">
        <f>($BO65/$E65)*1000</f>
        <v>0.37145919828296259</v>
      </c>
      <c r="BR65" s="138">
        <v>660.86562909999998</v>
      </c>
      <c r="BS65" s="138">
        <f>($BR65/$D65)</f>
        <v>501.58153307738661</v>
      </c>
      <c r="BT65" s="363">
        <f>($BR65/$E65)*1000</f>
        <v>2331.8635000412605</v>
      </c>
    </row>
    <row r="66" spans="2:72" x14ac:dyDescent="0.35">
      <c r="B66" s="237">
        <v>58</v>
      </c>
      <c r="C66" s="239" t="s">
        <v>146</v>
      </c>
      <c r="D66" s="360">
        <v>1.6441063250000001</v>
      </c>
      <c r="E66" s="138">
        <v>235.8092551</v>
      </c>
      <c r="F66" s="361">
        <f>$E66/$D66</f>
        <v>143.42701047634495</v>
      </c>
      <c r="G66" s="362">
        <v>11.748127188888889</v>
      </c>
      <c r="H66" s="138">
        <f>$G66/$D66</f>
        <v>7.1456006282859406</v>
      </c>
      <c r="I66" s="242">
        <f>($G66/$E66)*1000</f>
        <v>49.820466901974832</v>
      </c>
      <c r="J66" s="138">
        <v>4.2821188211111112</v>
      </c>
      <c r="K66" s="138">
        <f>($J66/$D66)</f>
        <v>2.6045267000059202</v>
      </c>
      <c r="L66" s="242">
        <f>($J66/$E66)*1000</f>
        <v>18.159248326768118</v>
      </c>
      <c r="M66" s="138">
        <v>17.0070385675</v>
      </c>
      <c r="N66" s="138">
        <f>($M66/$D66)</f>
        <v>10.344244960860424</v>
      </c>
      <c r="O66" s="242">
        <f>($M66/$E66)*1000</f>
        <v>72.122014720278045</v>
      </c>
      <c r="P66" s="138">
        <v>14.752228990000001</v>
      </c>
      <c r="Q66" s="138">
        <f>($P66/$D66)</f>
        <v>8.9727949863583181</v>
      </c>
      <c r="R66" s="363">
        <f>($P66/$E66)*1000</f>
        <v>62.560008443027392</v>
      </c>
      <c r="S66" s="362">
        <v>0.13586001</v>
      </c>
      <c r="T66" s="138">
        <f>($S66/$D66)</f>
        <v>8.2634564403856303E-2</v>
      </c>
      <c r="U66" s="242">
        <f>($S66/$E66)*1000</f>
        <v>0.57614367147034007</v>
      </c>
      <c r="V66" s="138">
        <v>0</v>
      </c>
      <c r="W66" s="138">
        <f>($V66/$D66)</f>
        <v>0</v>
      </c>
      <c r="X66" s="242">
        <f>($V66/$E66)*1000</f>
        <v>0</v>
      </c>
      <c r="Y66" s="138">
        <v>0.98684760199999999</v>
      </c>
      <c r="Z66" s="138">
        <f>($Y66/$D66)</f>
        <v>0.60023344414784119</v>
      </c>
      <c r="AA66" s="242">
        <f>($Y66/$E66)*1000</f>
        <v>4.1849400761709115</v>
      </c>
      <c r="AB66" s="138">
        <v>1.6217810999999999E-2</v>
      </c>
      <c r="AC66" s="138">
        <f>($AB66/$D66)</f>
        <v>9.8642105765270362E-3</v>
      </c>
      <c r="AD66" s="242">
        <f>($AB66/$E66)*1000</f>
        <v>6.8775125018407296E-2</v>
      </c>
      <c r="AE66" s="138">
        <v>0.138783193</v>
      </c>
      <c r="AF66" s="138">
        <f>($AE66/$D66)</f>
        <v>8.441254126310839E-2</v>
      </c>
      <c r="AG66" s="242">
        <f>($AE66/$E66)*1000</f>
        <v>0.58854005938463261</v>
      </c>
      <c r="AH66" s="138">
        <v>1.292597255</v>
      </c>
      <c r="AI66" s="138">
        <f>($AH66/$D66)</f>
        <v>0.78620052447033795</v>
      </c>
      <c r="AJ66" s="242">
        <f>($AH66/$E66)*1000</f>
        <v>5.4815374165524009</v>
      </c>
      <c r="AK66" s="138">
        <v>2.330876103</v>
      </c>
      <c r="AL66" s="138">
        <f>($AK66/$D66)</f>
        <v>1.417716158351255</v>
      </c>
      <c r="AM66" s="364">
        <f>($AK66/$E66)*1000</f>
        <v>9.8845827828578727</v>
      </c>
      <c r="AN66" s="138">
        <v>2.4336334430000002</v>
      </c>
      <c r="AO66" s="365">
        <f>($AN66/$D66)</f>
        <v>1.4802165808832346</v>
      </c>
      <c r="AP66" s="361">
        <f>($AN66/$E66)*1000</f>
        <v>10.320347443394304</v>
      </c>
      <c r="AQ66" s="362">
        <v>109.4672899</v>
      </c>
      <c r="AR66" s="138">
        <f>($AQ66/$D66)</f>
        <v>66.581636622558449</v>
      </c>
      <c r="AS66" s="364">
        <f>($AQ66/$E66)*1000</f>
        <v>464.21965013026329</v>
      </c>
      <c r="AT66" s="138">
        <v>0.82152285999999997</v>
      </c>
      <c r="AU66" s="138">
        <f>($AT66/$D66)</f>
        <v>0.49967745242996975</v>
      </c>
      <c r="AV66" s="242">
        <f>($AT66/$E66)*1000</f>
        <v>3.4838448543998646</v>
      </c>
      <c r="AW66" s="138">
        <v>47.984383919999999</v>
      </c>
      <c r="AX66" s="138">
        <f>($AW66/$D66)</f>
        <v>29.185693887528835</v>
      </c>
      <c r="AY66" s="242">
        <f>($AW66/$E66)*1000</f>
        <v>203.48812814684135</v>
      </c>
      <c r="AZ66" s="138">
        <v>2.097323636</v>
      </c>
      <c r="BA66" s="138">
        <f>($AZ66/$D66)</f>
        <v>1.2756618012524219</v>
      </c>
      <c r="BB66" s="242">
        <f>($AZ66/$E66)*1000</f>
        <v>8.8941531794864659</v>
      </c>
      <c r="BC66" s="138">
        <v>208.18970379999999</v>
      </c>
      <c r="BD66" s="138">
        <f>($BC66/$D66)</f>
        <v>126.62788326661293</v>
      </c>
      <c r="BE66" s="242">
        <f>($BC66/$E66)*1000</f>
        <v>882.87333638246162</v>
      </c>
      <c r="BF66" s="138">
        <v>22.918285659999999</v>
      </c>
      <c r="BG66" s="138">
        <f>($BF66/$D66)</f>
        <v>13.939661511855078</v>
      </c>
      <c r="BH66" s="242">
        <f>($BF66/$E66)*1000</f>
        <v>97.189932813625177</v>
      </c>
      <c r="BI66" s="138">
        <v>0.18566601099999999</v>
      </c>
      <c r="BJ66" s="138">
        <f>($BI66/$D66)</f>
        <v>0.11292822622040578</v>
      </c>
      <c r="BK66" s="242">
        <f>($BI66/$E66)*1000</f>
        <v>0.7873567596880976</v>
      </c>
      <c r="BL66" s="138">
        <v>1.239099969</v>
      </c>
      <c r="BM66" s="138">
        <f>($BL66/$D66)</f>
        <v>0.75366170068106753</v>
      </c>
      <c r="BN66" s="242">
        <f>($BL66/$E66)*1000</f>
        <v>5.2546706382433248</v>
      </c>
      <c r="BO66" s="138">
        <v>1.801868821</v>
      </c>
      <c r="BP66" s="138">
        <f>($BO66/$D66)</f>
        <v>1.0959563828695811</v>
      </c>
      <c r="BQ66" s="242">
        <f>($BO66/$E66)*1000</f>
        <v>7.6412133197905172</v>
      </c>
      <c r="BR66" s="138">
        <v>462.48106189999999</v>
      </c>
      <c r="BS66" s="138">
        <f>($BR66/$D66)</f>
        <v>281.29632181787269</v>
      </c>
      <c r="BT66" s="363">
        <f>($BR66/$E66)*1000</f>
        <v>1961.2506799356747</v>
      </c>
    </row>
    <row r="67" spans="2:72" x14ac:dyDescent="0.35">
      <c r="B67" s="237">
        <v>59</v>
      </c>
      <c r="C67" s="239" t="s">
        <v>148</v>
      </c>
      <c r="D67" s="360">
        <v>0.62164729500000004</v>
      </c>
      <c r="E67" s="138">
        <v>323.19767940000003</v>
      </c>
      <c r="F67" s="361">
        <f>$E67/$D67</f>
        <v>519.90522921844297</v>
      </c>
      <c r="G67" s="362">
        <v>16.576845377777779</v>
      </c>
      <c r="H67" s="138">
        <f>$G67/$D67</f>
        <v>26.665997762891863</v>
      </c>
      <c r="I67" s="242">
        <f>($G67/$E67)*1000</f>
        <v>51.29011262875354</v>
      </c>
      <c r="J67" s="138">
        <v>4.814404721111111</v>
      </c>
      <c r="K67" s="138">
        <f>($J67/$D67)</f>
        <v>7.7445920859530331</v>
      </c>
      <c r="L67" s="242">
        <f>($J67/$E67)*1000</f>
        <v>14.896161166901962</v>
      </c>
      <c r="M67" s="138">
        <v>33.288262025000002</v>
      </c>
      <c r="N67" s="138">
        <f>($M67/$D67)</f>
        <v>53.548470801276466</v>
      </c>
      <c r="O67" s="242">
        <f>($M67/$E67)*1000</f>
        <v>102.9965997491008</v>
      </c>
      <c r="P67" s="138">
        <v>12.07004375</v>
      </c>
      <c r="Q67" s="138">
        <f>($P67/$D67)</f>
        <v>19.416224999418681</v>
      </c>
      <c r="R67" s="363">
        <f>($P67/$E67)*1000</f>
        <v>37.345700539705049</v>
      </c>
      <c r="S67" s="362">
        <v>2.4570859E-2</v>
      </c>
      <c r="T67" s="138">
        <f>($S67/$D67)</f>
        <v>3.9525401618613974E-2</v>
      </c>
      <c r="U67" s="242">
        <f>($S67/$E67)*1000</f>
        <v>7.6024243260702076E-2</v>
      </c>
      <c r="V67" s="138">
        <v>1.4091616E-2</v>
      </c>
      <c r="W67" s="138">
        <f>($V67/$D67)</f>
        <v>2.2668185180472793E-2</v>
      </c>
      <c r="X67" s="242">
        <f>($V67/$E67)*1000</f>
        <v>4.3600610085321047E-2</v>
      </c>
      <c r="Y67" s="138">
        <v>1.7609410050000001</v>
      </c>
      <c r="Z67" s="138">
        <f>($Y67/$D67)</f>
        <v>2.8327011460735143</v>
      </c>
      <c r="AA67" s="242">
        <f>($Y67/$E67)*1000</f>
        <v>5.448495200426863</v>
      </c>
      <c r="AB67" s="138">
        <v>0.50735033799999996</v>
      </c>
      <c r="AC67" s="138">
        <f>($AB67/$D67)</f>
        <v>0.81613857581411964</v>
      </c>
      <c r="AD67" s="242">
        <f>($AB67/$E67)*1000</f>
        <v>1.5697833565571075</v>
      </c>
      <c r="AE67" s="138">
        <v>0.18716576600000001</v>
      </c>
      <c r="AF67" s="138">
        <f>($AE67/$D67)</f>
        <v>0.30108031918646089</v>
      </c>
      <c r="AG67" s="242">
        <f>($AE67/$E67)*1000</f>
        <v>0.57910615678758492</v>
      </c>
      <c r="AH67" s="138">
        <v>1.2831226870000001</v>
      </c>
      <c r="AI67" s="138">
        <f>($AH67/$D67)</f>
        <v>2.0640686404016284</v>
      </c>
      <c r="AJ67" s="242">
        <f>($AH67/$E67)*1000</f>
        <v>3.9700863242027351</v>
      </c>
      <c r="AK67" s="138">
        <v>8.1218127080000002</v>
      </c>
      <c r="AL67" s="138">
        <f>($AK67/$D67)</f>
        <v>13.064985198721084</v>
      </c>
      <c r="AM67" s="364">
        <f>($AK67/$E67)*1000</f>
        <v>25.1295514345206</v>
      </c>
      <c r="AN67" s="138">
        <v>7.0892040424999996</v>
      </c>
      <c r="AO67" s="365">
        <f>($AN67/$D67)</f>
        <v>11.403900732005919</v>
      </c>
      <c r="AP67" s="361">
        <f>($AN67/$E67)*1000</f>
        <v>21.934575940213261</v>
      </c>
      <c r="AQ67" s="362">
        <v>146.93400489999999</v>
      </c>
      <c r="AR67" s="138">
        <f>($AQ67/$D67)</f>
        <v>236.36233292063145</v>
      </c>
      <c r="AS67" s="364">
        <f>($AQ67/$E67)*1000</f>
        <v>454.62580416039947</v>
      </c>
      <c r="AT67" s="138">
        <v>3.1290000820000001</v>
      </c>
      <c r="AU67" s="138">
        <f>($AT67/$D67)</f>
        <v>5.0334009448235433</v>
      </c>
      <c r="AV67" s="242">
        <f>($AT67/$E67)*1000</f>
        <v>9.6813816479401371</v>
      </c>
      <c r="AW67" s="138">
        <v>79.693420340000003</v>
      </c>
      <c r="AX67" s="138">
        <f>($AW67/$D67)</f>
        <v>128.19716418133854</v>
      </c>
      <c r="AY67" s="242">
        <f>($AW67/$E67)*1000</f>
        <v>246.57794724252588</v>
      </c>
      <c r="AZ67" s="138">
        <v>2.189539049</v>
      </c>
      <c r="BA67" s="138">
        <f>($AZ67/$D67)</f>
        <v>3.5221564810315789</v>
      </c>
      <c r="BB67" s="242">
        <f>($AZ67/$E67)*1000</f>
        <v>6.7746125314537133</v>
      </c>
      <c r="BC67" s="138">
        <v>217.81572929999999</v>
      </c>
      <c r="BD67" s="138">
        <f>($BC67/$D67)</f>
        <v>350.38474558149562</v>
      </c>
      <c r="BE67" s="242">
        <f>($BC67/$E67)*1000</f>
        <v>673.93964493917076</v>
      </c>
      <c r="BF67" s="138">
        <v>50.395297499999998</v>
      </c>
      <c r="BG67" s="138">
        <f>($BF67/$D67)</f>
        <v>81.067347843924892</v>
      </c>
      <c r="BH67" s="242">
        <f>($BF67/$E67)*1000</f>
        <v>155.92716381366441</v>
      </c>
      <c r="BI67" s="138">
        <v>0.185591067</v>
      </c>
      <c r="BJ67" s="138">
        <f>($BI67/$D67)</f>
        <v>0.29854721237064175</v>
      </c>
      <c r="BK67" s="242">
        <f>($BI67/$E67)*1000</f>
        <v>0.5742339095520127</v>
      </c>
      <c r="BL67" s="138">
        <v>0.16575936299999999</v>
      </c>
      <c r="BM67" s="138">
        <f>($BL67/$D67)</f>
        <v>0.26664535393820055</v>
      </c>
      <c r="BN67" s="242">
        <f>($BL67/$E67)*1000</f>
        <v>0.51287299867908642</v>
      </c>
      <c r="BO67" s="138">
        <v>0.464377504</v>
      </c>
      <c r="BP67" s="138">
        <f>($BO67/$D67)</f>
        <v>0.74701121960162309</v>
      </c>
      <c r="BQ67" s="242">
        <f>($BO67/$E67)*1000</f>
        <v>1.436821900646357</v>
      </c>
      <c r="BR67" s="138">
        <v>461.47862450000002</v>
      </c>
      <c r="BS67" s="138">
        <f>($BR67/$D67)</f>
        <v>742.34799734791739</v>
      </c>
      <c r="BT67" s="363">
        <f>($BR67/$E67)*1000</f>
        <v>1427.8525308619528</v>
      </c>
    </row>
    <row r="68" spans="2:72" x14ac:dyDescent="0.35">
      <c r="B68" s="237">
        <v>60</v>
      </c>
      <c r="C68" s="239" t="s">
        <v>149</v>
      </c>
      <c r="D68" s="360">
        <v>0.14602989699999999</v>
      </c>
      <c r="E68" s="138">
        <v>62.451667380000004</v>
      </c>
      <c r="F68" s="361">
        <f>$E68/$D68</f>
        <v>427.66357206976602</v>
      </c>
      <c r="G68" s="362">
        <v>2.2938239244444443</v>
      </c>
      <c r="H68" s="138">
        <f>$G68/$D68</f>
        <v>15.707906199813621</v>
      </c>
      <c r="I68" s="242">
        <f>($G68/$E68)*1000</f>
        <v>36.729586585530235</v>
      </c>
      <c r="J68" s="138">
        <v>0.99237571300000005</v>
      </c>
      <c r="K68" s="138">
        <f>($J68/$D68)</f>
        <v>6.7957023416924009</v>
      </c>
      <c r="L68" s="242">
        <f>($J68/$E68)*1000</f>
        <v>15.890299725092785</v>
      </c>
      <c r="M68" s="138">
        <v>8.1502234675</v>
      </c>
      <c r="N68" s="138">
        <f>($M68/$D68)</f>
        <v>55.812019558570263</v>
      </c>
      <c r="O68" s="242">
        <f>($M68/$E68)*1000</f>
        <v>130.50449746855099</v>
      </c>
      <c r="P68" s="138">
        <v>2.3163682677500002</v>
      </c>
      <c r="Q68" s="138">
        <f>($P68/$D68)</f>
        <v>15.862287896772264</v>
      </c>
      <c r="R68" s="363">
        <f>($P68/$E68)*1000</f>
        <v>37.090575238857618</v>
      </c>
      <c r="S68" s="362">
        <v>3.7015100000000002E-2</v>
      </c>
      <c r="T68" s="138">
        <f>($S68/$D68)</f>
        <v>0.25347617686808344</v>
      </c>
      <c r="U68" s="242">
        <f>($S68/$E68)*1000</f>
        <v>0.59269994786166424</v>
      </c>
      <c r="V68" s="138">
        <v>9.6800000000000005E-6</v>
      </c>
      <c r="W68" s="138">
        <f>($V68/$D68)</f>
        <v>6.6287795847722885E-5</v>
      </c>
      <c r="X68" s="242">
        <f>($V68/$E68)*1000</f>
        <v>1.549998647930415E-4</v>
      </c>
      <c r="Y68" s="138">
        <v>0.33606231399999997</v>
      </c>
      <c r="Z68" s="138">
        <f>($Y68/$D68)</f>
        <v>2.3013254196844364</v>
      </c>
      <c r="AA68" s="242">
        <f>($Y68/$E68)*1000</f>
        <v>5.3811583917393229</v>
      </c>
      <c r="AB68" s="138">
        <v>0</v>
      </c>
      <c r="AC68" s="138">
        <f>($AB68/$D68)</f>
        <v>0</v>
      </c>
      <c r="AD68" s="242">
        <f>($AB68/$E68)*1000</f>
        <v>0</v>
      </c>
      <c r="AE68" s="138">
        <v>3.5372020000000001E-3</v>
      </c>
      <c r="AF68" s="138">
        <f>($AE68/$D68)</f>
        <v>2.4222450831421188E-2</v>
      </c>
      <c r="AG68" s="242">
        <f>($AE68/$E68)*1000</f>
        <v>5.6639032205131813E-2</v>
      </c>
      <c r="AH68" s="138">
        <v>7.8307917000000005E-2</v>
      </c>
      <c r="AI68" s="138">
        <f>($AH68/$D68)</f>
        <v>0.53624578671037482</v>
      </c>
      <c r="AJ68" s="242">
        <f>($AH68/$E68)*1000</f>
        <v>1.2538963375232144</v>
      </c>
      <c r="AK68" s="138">
        <v>9.1537999999999994E-2</v>
      </c>
      <c r="AL68" s="138">
        <f>($AK68/$D68)</f>
        <v>0.62684424135422079</v>
      </c>
      <c r="AM68" s="364">
        <f>($AK68/$E68)*1000</f>
        <v>1.4657414900232881</v>
      </c>
      <c r="AN68" s="138">
        <v>1.6931063499999999E-2</v>
      </c>
      <c r="AO68" s="365">
        <f>($AN68/$D68)</f>
        <v>0.1159424463608298</v>
      </c>
      <c r="AP68" s="361">
        <f>($AN68/$E68)*1000</f>
        <v>0.27110666872958677</v>
      </c>
      <c r="AQ68" s="362">
        <v>9.0936050660000003</v>
      </c>
      <c r="AR68" s="138">
        <f>($AQ68/$D68)</f>
        <v>62.272214476738284</v>
      </c>
      <c r="AS68" s="364">
        <f>($AQ68/$E68)*1000</f>
        <v>145.61028468092118</v>
      </c>
      <c r="AT68" s="138">
        <v>0.520117206</v>
      </c>
      <c r="AU68" s="138">
        <f>($AT68/$D68)</f>
        <v>3.5617172694438044</v>
      </c>
      <c r="AV68" s="242">
        <f>($AT68/$E68)*1000</f>
        <v>8.3283157651378623</v>
      </c>
      <c r="AW68" s="138">
        <v>16.56740345</v>
      </c>
      <c r="AX68" s="138">
        <f>($AW68/$D68)</f>
        <v>113.4521340517004</v>
      </c>
      <c r="AY68" s="242">
        <f>($AW68/$E68)*1000</f>
        <v>265.28360482662907</v>
      </c>
      <c r="AZ68" s="138">
        <v>0.59725599299999999</v>
      </c>
      <c r="BA68" s="138">
        <f>($AZ68/$D68)</f>
        <v>4.0899569558691127</v>
      </c>
      <c r="BB68" s="242">
        <f>($AZ68/$E68)*1000</f>
        <v>9.5634915456439806</v>
      </c>
      <c r="BC68" s="138">
        <v>63.749353849999999</v>
      </c>
      <c r="BD68" s="138">
        <f>($BC68/$D68)</f>
        <v>436.55001585052139</v>
      </c>
      <c r="BE68" s="242">
        <f>($BC68/$E68)*1000</f>
        <v>1020.7790524167107</v>
      </c>
      <c r="BF68" s="138">
        <v>7.9978066400000003</v>
      </c>
      <c r="BG68" s="138">
        <f>($BF68/$D68)</f>
        <v>54.768282415483732</v>
      </c>
      <c r="BH68" s="242">
        <f>($BF68/$E68)*1000</f>
        <v>128.06394089265387</v>
      </c>
      <c r="BI68" s="138">
        <v>2.3005892E-2</v>
      </c>
      <c r="BJ68" s="138">
        <f>($BI68/$D68)</f>
        <v>0.15754234216846705</v>
      </c>
      <c r="BK68" s="242">
        <f>($BI68/$E68)*1000</f>
        <v>0.36837914766976387</v>
      </c>
      <c r="BL68" s="138">
        <v>6.7376675999999996E-2</v>
      </c>
      <c r="BM68" s="138">
        <f>($BL68/$D68)</f>
        <v>0.46138960161014153</v>
      </c>
      <c r="BN68" s="242">
        <f>($BL68/$E68)*1000</f>
        <v>1.0788611229550169</v>
      </c>
      <c r="BO68" s="138">
        <v>0.57661040100000005</v>
      </c>
      <c r="BP68" s="138">
        <f>($BO68/$D68)</f>
        <v>3.9485777422687636</v>
      </c>
      <c r="BQ68" s="242">
        <f>($BO68/$E68)*1000</f>
        <v>9.2329064249237032</v>
      </c>
      <c r="BR68" s="138">
        <v>268.616378</v>
      </c>
      <c r="BS68" s="138">
        <f>($BR68/$D68)</f>
        <v>1839.4615316341694</v>
      </c>
      <c r="BT68" s="363">
        <f>($BR68/$E68)*1000</f>
        <v>4301.1882511566655</v>
      </c>
    </row>
    <row r="69" spans="2:72" x14ac:dyDescent="0.35">
      <c r="B69" s="237">
        <v>61</v>
      </c>
      <c r="C69" s="239" t="s">
        <v>151</v>
      </c>
      <c r="D69" s="360">
        <v>0.57379009199999997</v>
      </c>
      <c r="E69" s="138">
        <v>74.556733640000004</v>
      </c>
      <c r="F69" s="361">
        <f>$E69/$D69</f>
        <v>129.93729706995362</v>
      </c>
      <c r="G69" s="362">
        <v>2.5244900855555557</v>
      </c>
      <c r="H69" s="138">
        <f>$G69/$D69</f>
        <v>4.3996752832664034</v>
      </c>
      <c r="I69" s="242">
        <f>($G69/$E69)*1000</f>
        <v>33.859987720829494</v>
      </c>
      <c r="J69" s="138">
        <v>0.80272809966666658</v>
      </c>
      <c r="K69" s="138">
        <f>($J69/$D69)</f>
        <v>1.3989926122089027</v>
      </c>
      <c r="L69" s="242">
        <f>($J69/$E69)*1000</f>
        <v>10.766674725084783</v>
      </c>
      <c r="M69" s="138">
        <v>8.0244311400000008</v>
      </c>
      <c r="N69" s="138">
        <f>($M69/$D69)</f>
        <v>13.984959398706385</v>
      </c>
      <c r="O69" s="242">
        <f>($M69/$E69)*1000</f>
        <v>107.6285232497747</v>
      </c>
      <c r="P69" s="138">
        <v>4.8703194774999998</v>
      </c>
      <c r="Q69" s="138">
        <f>($P69/$D69)</f>
        <v>8.4879811370113369</v>
      </c>
      <c r="R69" s="363">
        <f>($P69/$E69)*1000</f>
        <v>65.323670173327613</v>
      </c>
      <c r="S69" s="362">
        <v>0.16191623999999999</v>
      </c>
      <c r="T69" s="138">
        <f>($S69/$D69)</f>
        <v>0.28218723581584604</v>
      </c>
      <c r="U69" s="242">
        <f>($S69/$E69)*1000</f>
        <v>2.1717185302379076</v>
      </c>
      <c r="V69" s="138">
        <v>0</v>
      </c>
      <c r="W69" s="138">
        <f>($V69/$D69)</f>
        <v>0</v>
      </c>
      <c r="X69" s="242">
        <f>($V69/$E69)*1000</f>
        <v>0</v>
      </c>
      <c r="Y69" s="138">
        <v>0.25172130999999998</v>
      </c>
      <c r="Z69" s="138">
        <f>($Y69/$D69)</f>
        <v>0.43869929702445959</v>
      </c>
      <c r="AA69" s="242">
        <f>($Y69/$E69)*1000</f>
        <v>3.3762384389778366</v>
      </c>
      <c r="AB69" s="138">
        <v>0</v>
      </c>
      <c r="AC69" s="138">
        <f>($AB69/$D69)</f>
        <v>0</v>
      </c>
      <c r="AD69" s="242">
        <f>($AB69/$E69)*1000</f>
        <v>0</v>
      </c>
      <c r="AE69" s="138">
        <v>4.1877111000000002E-2</v>
      </c>
      <c r="AF69" s="138">
        <f>($AE69/$D69)</f>
        <v>7.2983328893033592E-2</v>
      </c>
      <c r="AG69" s="242">
        <f>($AE69/$E69)*1000</f>
        <v>0.56168113804723807</v>
      </c>
      <c r="AH69" s="138">
        <v>0.321859487</v>
      </c>
      <c r="AI69" s="138">
        <f>($AH69/$D69)</f>
        <v>0.56093594415011272</v>
      </c>
      <c r="AJ69" s="242">
        <f>($AH69/$E69)*1000</f>
        <v>4.3169740851860636</v>
      </c>
      <c r="AK69" s="138">
        <v>0.66242808900000005</v>
      </c>
      <c r="AL69" s="138">
        <f>($AK69/$D69)</f>
        <v>1.15447808917551</v>
      </c>
      <c r="AM69" s="364">
        <f>($AK69/$E69)*1000</f>
        <v>8.8848861351485571</v>
      </c>
      <c r="AN69" s="138">
        <v>0.26102830724999998</v>
      </c>
      <c r="AO69" s="365">
        <f>($AN69/$D69)</f>
        <v>0.45491950957215205</v>
      </c>
      <c r="AP69" s="361">
        <f>($AN69/$E69)*1000</f>
        <v>3.5010695145308399</v>
      </c>
      <c r="AQ69" s="362">
        <v>26.490867699999999</v>
      </c>
      <c r="AR69" s="138">
        <f>($AQ69/$D69)</f>
        <v>46.168220869174576</v>
      </c>
      <c r="AS69" s="364">
        <f>($AQ69/$E69)*1000</f>
        <v>355.3115380283711</v>
      </c>
      <c r="AT69" s="138">
        <v>0.79971868300000004</v>
      </c>
      <c r="AU69" s="138">
        <f>($AT69/$D69)</f>
        <v>1.3937478080398782</v>
      </c>
      <c r="AV69" s="242">
        <f>($AT69/$E69)*1000</f>
        <v>10.726310608797212</v>
      </c>
      <c r="AW69" s="138">
        <v>13.89614856</v>
      </c>
      <c r="AX69" s="138">
        <f>($AW69/$D69)</f>
        <v>24.218174474856568</v>
      </c>
      <c r="AY69" s="242">
        <f>($AW69/$E69)*1000</f>
        <v>186.38354822648319</v>
      </c>
      <c r="AZ69" s="138">
        <v>0.62742778099999996</v>
      </c>
      <c r="BA69" s="138">
        <f>($AZ69/$D69)</f>
        <v>1.0934796361035806</v>
      </c>
      <c r="BB69" s="242">
        <f>($AZ69/$E69)*1000</f>
        <v>8.4154408377056669</v>
      </c>
      <c r="BC69" s="138">
        <v>131.11881059999999</v>
      </c>
      <c r="BD69" s="138">
        <f>($BC69/$D69)</f>
        <v>228.51354951594388</v>
      </c>
      <c r="BE69" s="242">
        <f>($BC69/$E69)*1000</f>
        <v>1758.6447822823368</v>
      </c>
      <c r="BF69" s="138">
        <v>33.95134178</v>
      </c>
      <c r="BG69" s="138">
        <f>($BF69/$D69)</f>
        <v>59.170317252532833</v>
      </c>
      <c r="BH69" s="242">
        <f>($BF69/$E69)*1000</f>
        <v>455.37592813461129</v>
      </c>
      <c r="BI69" s="138">
        <v>7.0464830000000006E-2</v>
      </c>
      <c r="BJ69" s="138">
        <f>($BI69/$D69)</f>
        <v>0.12280593719279491</v>
      </c>
      <c r="BK69" s="242">
        <f>($BI69/$E69)*1000</f>
        <v>0.94511691378866047</v>
      </c>
      <c r="BL69" s="138">
        <v>0.244743346</v>
      </c>
      <c r="BM69" s="138">
        <f>($BL69/$D69)</f>
        <v>0.42653811805450276</v>
      </c>
      <c r="BN69" s="242">
        <f>($BL69/$E69)*1000</f>
        <v>3.2826457658640527</v>
      </c>
      <c r="BO69" s="138">
        <v>2.9697574040000001</v>
      </c>
      <c r="BP69" s="138">
        <f>($BO69/$D69)</f>
        <v>5.1756861009025581</v>
      </c>
      <c r="BQ69" s="242">
        <f>($BO69/$E69)*1000</f>
        <v>39.832182272624571</v>
      </c>
      <c r="BR69" s="138">
        <v>370.37901429999999</v>
      </c>
      <c r="BS69" s="138">
        <f>($BR69/$D69)</f>
        <v>645.4956602840748</v>
      </c>
      <c r="BT69" s="363">
        <f>($BR69/$E69)*1000</f>
        <v>4967.7473276711535</v>
      </c>
    </row>
    <row r="70" spans="2:72" x14ac:dyDescent="0.35">
      <c r="B70" s="237">
        <v>62</v>
      </c>
      <c r="C70" s="239" t="s">
        <v>153</v>
      </c>
      <c r="D70" s="360">
        <v>0.36315753000000001</v>
      </c>
      <c r="E70" s="138">
        <v>46.627614000000001</v>
      </c>
      <c r="F70" s="361">
        <f>$E70/$D70</f>
        <v>128.39500808368203</v>
      </c>
      <c r="G70" s="362">
        <v>1.6199075822222222</v>
      </c>
      <c r="H70" s="138">
        <f>$G70/$D70</f>
        <v>4.460619561495041</v>
      </c>
      <c r="I70" s="242">
        <f>($G70/$E70)*1000</f>
        <v>34.741378407701113</v>
      </c>
      <c r="J70" s="138">
        <v>0.41079176844444443</v>
      </c>
      <c r="K70" s="138">
        <f>($J70/$D70)</f>
        <v>1.1311668752798392</v>
      </c>
      <c r="L70" s="242">
        <f>($J70/$E70)*1000</f>
        <v>8.8100533826252487</v>
      </c>
      <c r="M70" s="138">
        <v>4.4992780075000001</v>
      </c>
      <c r="N70" s="138">
        <f>($M70/$D70)</f>
        <v>12.389328695731574</v>
      </c>
      <c r="O70" s="242">
        <f>($M70/$E70)*1000</f>
        <v>96.493850350138004</v>
      </c>
      <c r="P70" s="138">
        <v>3.5840193949999999</v>
      </c>
      <c r="Q70" s="138">
        <f>($P70/$D70)</f>
        <v>9.8690488257258497</v>
      </c>
      <c r="R70" s="363">
        <f>($P70/$E70)*1000</f>
        <v>76.864739315204929</v>
      </c>
      <c r="S70" s="362">
        <v>6.5412907000000006E-2</v>
      </c>
      <c r="T70" s="138">
        <f>($S70/$D70)</f>
        <v>0.18012267844205243</v>
      </c>
      <c r="U70" s="242">
        <f>($S70/$E70)*1000</f>
        <v>1.4028791393872311</v>
      </c>
      <c r="V70" s="138">
        <v>0</v>
      </c>
      <c r="W70" s="138">
        <f>($V70/$D70)</f>
        <v>0</v>
      </c>
      <c r="X70" s="242">
        <f>($V70/$E70)*1000</f>
        <v>0</v>
      </c>
      <c r="Y70" s="138">
        <v>0.13786949200000001</v>
      </c>
      <c r="Z70" s="138">
        <f>($Y70/$D70)</f>
        <v>0.3796410114365521</v>
      </c>
      <c r="AA70" s="242">
        <f>($Y70/$E70)*1000</f>
        <v>2.9568206513848212</v>
      </c>
      <c r="AB70" s="138">
        <v>0</v>
      </c>
      <c r="AC70" s="138">
        <f>($AB70/$D70)</f>
        <v>0</v>
      </c>
      <c r="AD70" s="242">
        <f>($AB70/$E70)*1000</f>
        <v>0</v>
      </c>
      <c r="AE70" s="138">
        <v>4.9081159999999997E-3</v>
      </c>
      <c r="AF70" s="138">
        <f>($AE70/$D70)</f>
        <v>1.3515115602862482E-2</v>
      </c>
      <c r="AG70" s="242">
        <f>($AE70/$E70)*1000</f>
        <v>0.10526200204025023</v>
      </c>
      <c r="AH70" s="138">
        <v>0.34102344099999998</v>
      </c>
      <c r="AI70" s="138">
        <f>($AH70/$D70)</f>
        <v>0.93905099806136461</v>
      </c>
      <c r="AJ70" s="242">
        <f>($AH70/$E70)*1000</f>
        <v>7.3137656368177018</v>
      </c>
      <c r="AK70" s="138">
        <v>0.34258539900000001</v>
      </c>
      <c r="AL70" s="138">
        <f>($AK70/$D70)</f>
        <v>0.94335204614922896</v>
      </c>
      <c r="AM70" s="364">
        <f>($AK70/$E70)*1000</f>
        <v>7.3472641984211329</v>
      </c>
      <c r="AN70" s="138">
        <v>2.1682812249999999E-2</v>
      </c>
      <c r="AO70" s="365">
        <f>($AN70/$D70)</f>
        <v>5.9706354567396688E-2</v>
      </c>
      <c r="AP70" s="361">
        <f>($AN70/$E70)*1000</f>
        <v>0.4650208404401735</v>
      </c>
      <c r="AQ70" s="362">
        <v>11.13180805</v>
      </c>
      <c r="AR70" s="138">
        <f>($AQ70/$D70)</f>
        <v>30.652835561471079</v>
      </c>
      <c r="AS70" s="364">
        <f>($AQ70/$E70)*1000</f>
        <v>238.73853056259753</v>
      </c>
      <c r="AT70" s="138">
        <v>0.51221411900000002</v>
      </c>
      <c r="AU70" s="138">
        <f>($AT70/$D70)</f>
        <v>1.4104460920857129</v>
      </c>
      <c r="AV70" s="242">
        <f>($AT70/$E70)*1000</f>
        <v>10.985209730011061</v>
      </c>
      <c r="AW70" s="138">
        <v>12.80733605</v>
      </c>
      <c r="AX70" s="138">
        <f>($AW70/$D70)</f>
        <v>35.266612948931552</v>
      </c>
      <c r="AY70" s="242">
        <f>($AW70/$E70)*1000</f>
        <v>274.6727733055352</v>
      </c>
      <c r="AZ70" s="138">
        <v>0.471187721</v>
      </c>
      <c r="BA70" s="138">
        <f>($AZ70/$D70)</f>
        <v>1.2974747377536133</v>
      </c>
      <c r="BB70" s="242">
        <f>($AZ70/$E70)*1000</f>
        <v>10.105336314227873</v>
      </c>
      <c r="BC70" s="138">
        <v>71.377346889999998</v>
      </c>
      <c r="BD70" s="138">
        <f>($BC70/$D70)</f>
        <v>196.54651492425339</v>
      </c>
      <c r="BE70" s="242">
        <f>($BC70/$E70)*1000</f>
        <v>1530.7956115875882</v>
      </c>
      <c r="BF70" s="138">
        <v>24.093955940000001</v>
      </c>
      <c r="BG70" s="138">
        <f>($BF70/$D70)</f>
        <v>66.345742411013759</v>
      </c>
      <c r="BH70" s="242">
        <f>($BF70/$E70)*1000</f>
        <v>516.73147890432483</v>
      </c>
      <c r="BI70" s="138">
        <v>4.2405757000000002E-2</v>
      </c>
      <c r="BJ70" s="138">
        <f>($BI70/$D70)</f>
        <v>0.11676959307438842</v>
      </c>
      <c r="BK70" s="242">
        <f>($BI70/$E70)*1000</f>
        <v>0.90945586450123739</v>
      </c>
      <c r="BL70" s="138">
        <v>0.200650259</v>
      </c>
      <c r="BM70" s="138">
        <f>($BL70/$D70)</f>
        <v>0.55251576086003229</v>
      </c>
      <c r="BN70" s="242">
        <f>($BL70/$E70)*1000</f>
        <v>4.3032495507919402</v>
      </c>
      <c r="BO70" s="138">
        <v>0.99133359600000004</v>
      </c>
      <c r="BP70" s="138">
        <f>($BO70/$D70)</f>
        <v>2.7297619190217537</v>
      </c>
      <c r="BQ70" s="242">
        <f>($BO70/$E70)*1000</f>
        <v>21.260654598367399</v>
      </c>
      <c r="BR70" s="138">
        <v>357.62830760000003</v>
      </c>
      <c r="BS70" s="138">
        <f>($BR70/$D70)</f>
        <v>984.77458969389954</v>
      </c>
      <c r="BT70" s="363">
        <f>($BR70/$E70)*1000</f>
        <v>7669.8822204370144</v>
      </c>
    </row>
    <row r="71" spans="2:72" x14ac:dyDescent="0.35">
      <c r="B71" s="237">
        <v>63</v>
      </c>
      <c r="C71" s="239" t="s">
        <v>154</v>
      </c>
      <c r="D71" s="360">
        <v>0.52231955900000004</v>
      </c>
      <c r="E71" s="138">
        <v>56.37866219</v>
      </c>
      <c r="F71" s="361">
        <f>$E71/$D71</f>
        <v>107.93902165551491</v>
      </c>
      <c r="G71" s="362">
        <v>1.6453280555555556</v>
      </c>
      <c r="H71" s="138">
        <f>$G71/$D71</f>
        <v>3.1500410566772503</v>
      </c>
      <c r="I71" s="242">
        <f>($G71/$E71)*1000</f>
        <v>29.183524256228111</v>
      </c>
      <c r="J71" s="138">
        <v>0.40750428766666663</v>
      </c>
      <c r="K71" s="138">
        <f>($J71/$D71)</f>
        <v>0.78018194158160292</v>
      </c>
      <c r="L71" s="242">
        <f>($J71/$E71)*1000</f>
        <v>7.2279878918259701</v>
      </c>
      <c r="M71" s="138">
        <v>6.5465813224999998</v>
      </c>
      <c r="N71" s="138">
        <f>($M71/$D71)</f>
        <v>12.533670642228428</v>
      </c>
      <c r="O71" s="242">
        <f>($M71/$E71)*1000</f>
        <v>116.11806786825781</v>
      </c>
      <c r="P71" s="138">
        <v>4.1460993300000002</v>
      </c>
      <c r="Q71" s="138">
        <f>($P71/$D71)</f>
        <v>7.9378596082786164</v>
      </c>
      <c r="R71" s="363">
        <f>($P71/$E71)*1000</f>
        <v>73.540221937642968</v>
      </c>
      <c r="S71" s="362">
        <v>0.27299169699999998</v>
      </c>
      <c r="T71" s="138">
        <f>($S71/$D71)</f>
        <v>0.52265264108174048</v>
      </c>
      <c r="U71" s="242">
        <f>($S71/$E71)*1000</f>
        <v>4.8421102309948223</v>
      </c>
      <c r="V71" s="138">
        <v>0</v>
      </c>
      <c r="W71" s="138">
        <f>($V71/$D71)</f>
        <v>0</v>
      </c>
      <c r="X71" s="242">
        <f>($V71/$E71)*1000</f>
        <v>0</v>
      </c>
      <c r="Y71" s="138">
        <v>3.6647461999999999E-2</v>
      </c>
      <c r="Z71" s="138">
        <f>($Y71/$D71)</f>
        <v>7.0162913428252441E-2</v>
      </c>
      <c r="AA71" s="242">
        <f>($Y71/$E71)*1000</f>
        <v>0.65002361844797796</v>
      </c>
      <c r="AB71" s="138">
        <v>0</v>
      </c>
      <c r="AC71" s="138">
        <f>($AB71/$D71)</f>
        <v>0</v>
      </c>
      <c r="AD71" s="242">
        <f>($AB71/$E71)*1000</f>
        <v>0</v>
      </c>
      <c r="AE71" s="138">
        <v>1.366787E-2</v>
      </c>
      <c r="AF71" s="138">
        <f>($AE71/$D71)</f>
        <v>2.616763964605813E-2</v>
      </c>
      <c r="AG71" s="242">
        <f>($AE71/$E71)*1000</f>
        <v>0.24242983903978302</v>
      </c>
      <c r="AH71" s="138">
        <v>0.284702593</v>
      </c>
      <c r="AI71" s="138">
        <f>($AH71/$D71)</f>
        <v>0.54507358205209389</v>
      </c>
      <c r="AJ71" s="242">
        <f>($AH71/$E71)*1000</f>
        <v>5.0498288171601606</v>
      </c>
      <c r="AK71" s="138">
        <v>0.57237862500000003</v>
      </c>
      <c r="AL71" s="138">
        <f>($AK71/$D71)</f>
        <v>1.0958399223950945</v>
      </c>
      <c r="AM71" s="364">
        <f>($AK71/$E71)*1000</f>
        <v>10.152398137278327</v>
      </c>
      <c r="AN71" s="138">
        <v>0.174126327</v>
      </c>
      <c r="AO71" s="365">
        <f>($AN71/$D71)</f>
        <v>0.33337125520126271</v>
      </c>
      <c r="AP71" s="361">
        <f>($AN71/$E71)*1000</f>
        <v>3.0885147010615861</v>
      </c>
      <c r="AQ71" s="362">
        <v>20.526951619999998</v>
      </c>
      <c r="AR71" s="138">
        <f>($AQ71/$D71)</f>
        <v>39.299603597651213</v>
      </c>
      <c r="AS71" s="364">
        <f>($AQ71/$E71)*1000</f>
        <v>364.09078936323016</v>
      </c>
      <c r="AT71" s="138">
        <v>1.144561806</v>
      </c>
      <c r="AU71" s="138">
        <f>($AT71/$D71)</f>
        <v>2.1913056600662353</v>
      </c>
      <c r="AV71" s="242">
        <f>($AT71/$E71)*1000</f>
        <v>20.301329643877455</v>
      </c>
      <c r="AW71" s="138">
        <v>15.185574280000001</v>
      </c>
      <c r="AX71" s="138">
        <f>($AW71/$D71)</f>
        <v>29.073340292049068</v>
      </c>
      <c r="AY71" s="242">
        <f>($AW71/$E71)*1000</f>
        <v>269.34967397458928</v>
      </c>
      <c r="AZ71" s="138">
        <v>0.59561460200000005</v>
      </c>
      <c r="BA71" s="138">
        <f>($AZ71/$D71)</f>
        <v>1.1403260546863803</v>
      </c>
      <c r="BB71" s="242">
        <f>($AZ71/$E71)*1000</f>
        <v>10.564539470495728</v>
      </c>
      <c r="BC71" s="138">
        <v>185.56170700000001</v>
      </c>
      <c r="BD71" s="138">
        <f>($BC71/$D71)</f>
        <v>355.26471065962897</v>
      </c>
      <c r="BE71" s="242">
        <f>($BC71/$E71)*1000</f>
        <v>3291.3464029111615</v>
      </c>
      <c r="BF71" s="138">
        <v>32.212870010000003</v>
      </c>
      <c r="BG71" s="138">
        <f>($BF71/$D71)</f>
        <v>61.672724015299607</v>
      </c>
      <c r="BH71" s="242">
        <f>($BF71/$E71)*1000</f>
        <v>571.36634249036263</v>
      </c>
      <c r="BI71" s="138">
        <v>8.5007189999999996E-2</v>
      </c>
      <c r="BJ71" s="138">
        <f>($BI71/$D71)</f>
        <v>0.16274939074222949</v>
      </c>
      <c r="BK71" s="242">
        <f>($BI71/$E71)*1000</f>
        <v>1.5077901230348438</v>
      </c>
      <c r="BL71" s="138">
        <v>0.26345015500000002</v>
      </c>
      <c r="BM71" s="138">
        <f>($BL71/$D71)</f>
        <v>0.50438500810573705</v>
      </c>
      <c r="BN71" s="242">
        <f>($BL71/$E71)*1000</f>
        <v>4.6728699257203852</v>
      </c>
      <c r="BO71" s="138">
        <v>4.7173397479999997</v>
      </c>
      <c r="BP71" s="138">
        <f>($BO71/$D71)</f>
        <v>9.0315203915233795</v>
      </c>
      <c r="BQ71" s="242">
        <f>($BO71/$E71)*1000</f>
        <v>83.672431461786687</v>
      </c>
      <c r="BR71" s="138">
        <v>252.2749115</v>
      </c>
      <c r="BS71" s="138">
        <f>($BR71/$D71)</f>
        <v>482.98959354114476</v>
      </c>
      <c r="BT71" s="363">
        <f>($BR71/$E71)*1000</f>
        <v>4474.6523188119663</v>
      </c>
    </row>
    <row r="72" spans="2:72" x14ac:dyDescent="0.35">
      <c r="B72" s="237">
        <v>64</v>
      </c>
      <c r="C72" s="239" t="s">
        <v>155</v>
      </c>
      <c r="D72" s="360">
        <v>0.79517867499999995</v>
      </c>
      <c r="E72" s="138">
        <v>139.9724272</v>
      </c>
      <c r="F72" s="361">
        <f>$E72/$D72</f>
        <v>176.02638451037436</v>
      </c>
      <c r="G72" s="362">
        <v>8.4268507366666672</v>
      </c>
      <c r="H72" s="138">
        <f>$G72/$D72</f>
        <v>10.597430491539109</v>
      </c>
      <c r="I72" s="242">
        <f>($G72/$E72)*1000</f>
        <v>60.203647998658603</v>
      </c>
      <c r="J72" s="138">
        <v>2.6653708177777777</v>
      </c>
      <c r="K72" s="138">
        <f>($J72/$D72)</f>
        <v>3.3519143578363417</v>
      </c>
      <c r="L72" s="242">
        <f>($J72/$E72)*1000</f>
        <v>19.042113301138624</v>
      </c>
      <c r="M72" s="138">
        <v>13.372198900000001</v>
      </c>
      <c r="N72" s="138">
        <f>($M72/$D72)</f>
        <v>16.816596471227051</v>
      </c>
      <c r="O72" s="242">
        <f>($M72/$E72)*1000</f>
        <v>95.534521816165238</v>
      </c>
      <c r="P72" s="138">
        <v>3.1811219524999998</v>
      </c>
      <c r="Q72" s="138">
        <f>($P72/$D72)</f>
        <v>4.0005121521901978</v>
      </c>
      <c r="R72" s="363">
        <f>($P72/$E72)*1000</f>
        <v>22.726775666715021</v>
      </c>
      <c r="S72" s="362">
        <v>0.44110408099999998</v>
      </c>
      <c r="T72" s="138">
        <f>($S72/$D72)</f>
        <v>0.55472322745576652</v>
      </c>
      <c r="U72" s="242">
        <f>($S72/$E72)*1000</f>
        <v>3.1513640923703292</v>
      </c>
      <c r="V72" s="138">
        <v>2.1753599999999999E-3</v>
      </c>
      <c r="W72" s="138">
        <f>($V72/$D72)</f>
        <v>2.735687045430387E-3</v>
      </c>
      <c r="X72" s="242">
        <f>($V72/$E72)*1000</f>
        <v>1.5541346560288837E-2</v>
      </c>
      <c r="Y72" s="138">
        <v>2.3465482999999999E-2</v>
      </c>
      <c r="Z72" s="138">
        <f>($Y72/$D72)</f>
        <v>2.9509698559257766E-2</v>
      </c>
      <c r="AA72" s="242">
        <f>($Y72/$E72)*1000</f>
        <v>0.16764361002664671</v>
      </c>
      <c r="AB72" s="138">
        <v>0</v>
      </c>
      <c r="AC72" s="138">
        <f>($AB72/$D72)</f>
        <v>0</v>
      </c>
      <c r="AD72" s="242">
        <f>($AB72/$E72)*1000</f>
        <v>0</v>
      </c>
      <c r="AE72" s="138">
        <v>8.9054663000000006E-2</v>
      </c>
      <c r="AF72" s="138">
        <f>($AE72/$D72)</f>
        <v>0.1119932737129803</v>
      </c>
      <c r="AG72" s="242">
        <f>($AE72/$E72)*1000</f>
        <v>0.63623004031182517</v>
      </c>
      <c r="AH72" s="138">
        <v>0.168288668</v>
      </c>
      <c r="AI72" s="138">
        <f>($AH72/$D72)</f>
        <v>0.21163629419513799</v>
      </c>
      <c r="AJ72" s="242">
        <f>($AH72/$E72)*1000</f>
        <v>1.2022987052981533</v>
      </c>
      <c r="AK72" s="138">
        <v>4.103826239</v>
      </c>
      <c r="AL72" s="138">
        <f>($AK72/$D72)</f>
        <v>5.160885682705211</v>
      </c>
      <c r="AM72" s="364">
        <f>($AK72/$E72)*1000</f>
        <v>29.318818863776908</v>
      </c>
      <c r="AN72" s="138">
        <v>0.14633113249999999</v>
      </c>
      <c r="AO72" s="365">
        <f>($AN72/$D72)</f>
        <v>0.18402295873943048</v>
      </c>
      <c r="AP72" s="361">
        <f>($AN72/$E72)*1000</f>
        <v>1.0454282706044267</v>
      </c>
      <c r="AQ72" s="362">
        <v>45.798174320000001</v>
      </c>
      <c r="AR72" s="138">
        <f>($AQ72/$D72)</f>
        <v>57.594822094543723</v>
      </c>
      <c r="AS72" s="364">
        <f>($AQ72/$E72)*1000</f>
        <v>327.19425701292693</v>
      </c>
      <c r="AT72" s="138">
        <v>1.9365938</v>
      </c>
      <c r="AU72" s="138">
        <f>($AT72/$D72)</f>
        <v>2.4354196872797176</v>
      </c>
      <c r="AV72" s="242">
        <f>($AT72/$E72)*1000</f>
        <v>13.835537746536984</v>
      </c>
      <c r="AW72" s="138">
        <v>19.477183409999999</v>
      </c>
      <c r="AX72" s="138">
        <f>($AW72/$D72)</f>
        <v>24.49409676384996</v>
      </c>
      <c r="AY72" s="242">
        <f>($AW72/$E72)*1000</f>
        <v>139.15014406494481</v>
      </c>
      <c r="AZ72" s="138">
        <v>0.58246659700000003</v>
      </c>
      <c r="BA72" s="138">
        <f>($AZ72/$D72)</f>
        <v>0.73249775844403786</v>
      </c>
      <c r="BB72" s="242">
        <f>($AZ72/$E72)*1000</f>
        <v>4.1612952540127131</v>
      </c>
      <c r="BC72" s="138">
        <v>242.4533227</v>
      </c>
      <c r="BD72" s="138">
        <f>($BC72/$D72)</f>
        <v>304.90420621503716</v>
      </c>
      <c r="BE72" s="242">
        <f>($BC72/$E72)*1000</f>
        <v>1732.1505924418234</v>
      </c>
      <c r="BF72" s="138">
        <v>43.552182190000003</v>
      </c>
      <c r="BG72" s="138">
        <f>($BF72/$D72)</f>
        <v>54.770309565960133</v>
      </c>
      <c r="BH72" s="242">
        <f>($BF72/$E72)*1000</f>
        <v>311.1482958552283</v>
      </c>
      <c r="BI72" s="138">
        <v>0.149778309</v>
      </c>
      <c r="BJ72" s="138">
        <f>($BI72/$D72)</f>
        <v>0.18835805550243159</v>
      </c>
      <c r="BK72" s="242">
        <f>($BI72/$E72)*1000</f>
        <v>1.0700558102488917</v>
      </c>
      <c r="BL72" s="138">
        <v>0.14468199300000001</v>
      </c>
      <c r="BM72" s="138">
        <f>($BL72/$D72)</f>
        <v>0.1819490355422321</v>
      </c>
      <c r="BN72" s="242">
        <f>($BL72/$E72)*1000</f>
        <v>1.0336463823212176</v>
      </c>
      <c r="BO72" s="138">
        <v>5.2715514109999999</v>
      </c>
      <c r="BP72" s="138">
        <f>($BO72/$D72)</f>
        <v>6.6293923324842687</v>
      </c>
      <c r="BQ72" s="242">
        <f>($BO72/$E72)*1000</f>
        <v>37.661356000262309</v>
      </c>
      <c r="BR72" s="138">
        <v>329.3345693</v>
      </c>
      <c r="BS72" s="138">
        <f>($BR72/$D72)</f>
        <v>414.16423711312433</v>
      </c>
      <c r="BT72" s="363">
        <f>($BR72/$E72)*1000</f>
        <v>2352.8531717852502</v>
      </c>
    </row>
    <row r="73" spans="2:72" x14ac:dyDescent="0.35">
      <c r="B73" s="237">
        <v>65</v>
      </c>
      <c r="C73" s="239" t="s">
        <v>157</v>
      </c>
      <c r="D73" s="360">
        <v>0.44490851599999998</v>
      </c>
      <c r="E73" s="138">
        <v>121.43791779999999</v>
      </c>
      <c r="F73" s="361">
        <f>$E73/$D73</f>
        <v>272.95031098033644</v>
      </c>
      <c r="G73" s="362">
        <v>5.4800249777777772</v>
      </c>
      <c r="H73" s="138">
        <f>$G73/$D73</f>
        <v>12.317195065283437</v>
      </c>
      <c r="I73" s="242">
        <f>($G73/$E73)*1000</f>
        <v>45.12614409943199</v>
      </c>
      <c r="J73" s="138">
        <v>2.642093621111111</v>
      </c>
      <c r="K73" s="138">
        <f>($J73/$D73)</f>
        <v>5.9385098870777995</v>
      </c>
      <c r="L73" s="242">
        <f>($J73/$E73)*1000</f>
        <v>21.756743437107179</v>
      </c>
      <c r="M73" s="138">
        <v>15.6606334025</v>
      </c>
      <c r="N73" s="138">
        <f>($M73/$D73)</f>
        <v>35.199671031920644</v>
      </c>
      <c r="O73" s="242">
        <f>($M73/$E73)*1000</f>
        <v>128.95999607216584</v>
      </c>
      <c r="P73" s="138">
        <v>3.0669906299999998</v>
      </c>
      <c r="Q73" s="138">
        <f>($P73/$D73)</f>
        <v>6.8935309613178992</v>
      </c>
      <c r="R73" s="363">
        <f>($P73/$E73)*1000</f>
        <v>25.255625965615824</v>
      </c>
      <c r="S73" s="362">
        <v>0.61830553700000002</v>
      </c>
      <c r="T73" s="138">
        <f>($S73/$D73)</f>
        <v>1.3897363497533053</v>
      </c>
      <c r="U73" s="242">
        <f>($S73/$E73)*1000</f>
        <v>5.0915360556354994</v>
      </c>
      <c r="V73" s="138">
        <v>0</v>
      </c>
      <c r="W73" s="138">
        <f>($V73/$D73)</f>
        <v>0</v>
      </c>
      <c r="X73" s="242">
        <f>($V73/$E73)*1000</f>
        <v>0</v>
      </c>
      <c r="Y73" s="138">
        <v>2.2281974999999999E-2</v>
      </c>
      <c r="Z73" s="138">
        <f>($Y73/$D73)</f>
        <v>5.0082149922255029E-2</v>
      </c>
      <c r="AA73" s="242">
        <f>($Y73/$E73)*1000</f>
        <v>0.1834844948239058</v>
      </c>
      <c r="AB73" s="138">
        <v>0</v>
      </c>
      <c r="AC73" s="138">
        <f>($AB73/$D73)</f>
        <v>0</v>
      </c>
      <c r="AD73" s="242">
        <f>($AB73/$E73)*1000</f>
        <v>0</v>
      </c>
      <c r="AE73" s="138">
        <v>0.11846968200000001</v>
      </c>
      <c r="AF73" s="138">
        <f>($AE73/$D73)</f>
        <v>0.26627874661765299</v>
      </c>
      <c r="AG73" s="242">
        <f>($AE73/$E73)*1000</f>
        <v>0.97555758651191249</v>
      </c>
      <c r="AH73" s="138">
        <v>1.4769470999999999E-2</v>
      </c>
      <c r="AI73" s="138">
        <f>($AH73/$D73)</f>
        <v>3.3196647105761402E-2</v>
      </c>
      <c r="AJ73" s="242">
        <f>($AH73/$E73)*1000</f>
        <v>0.12162157642001335</v>
      </c>
      <c r="AK73" s="138">
        <v>1.1247579299999999</v>
      </c>
      <c r="AL73" s="138">
        <f>($AK73/$D73)</f>
        <v>2.5280656349585362</v>
      </c>
      <c r="AM73" s="364">
        <f>($AK73/$E73)*1000</f>
        <v>9.2619994675172208</v>
      </c>
      <c r="AN73" s="138">
        <v>0.22195751250000001</v>
      </c>
      <c r="AO73" s="365">
        <f>($AN73/$D73)</f>
        <v>0.4988834884428241</v>
      </c>
      <c r="AP73" s="361">
        <f>($AN73/$E73)*1000</f>
        <v>1.8277447153330557</v>
      </c>
      <c r="AQ73" s="362">
        <v>50.572651980000003</v>
      </c>
      <c r="AR73" s="138">
        <f>($AQ73/$D73)</f>
        <v>113.66977740655341</v>
      </c>
      <c r="AS73" s="364">
        <f>($AQ73/$E73)*1000</f>
        <v>416.44860926625677</v>
      </c>
      <c r="AT73" s="138">
        <v>1.67035515</v>
      </c>
      <c r="AU73" s="138">
        <f>($AT73/$D73)</f>
        <v>3.7543789114614299</v>
      </c>
      <c r="AV73" s="242">
        <f>($AT73/$E73)*1000</f>
        <v>13.754807232045607</v>
      </c>
      <c r="AW73" s="138">
        <v>20.833654549999999</v>
      </c>
      <c r="AX73" s="138">
        <f>($AW73/$D73)</f>
        <v>46.826827989959178</v>
      </c>
      <c r="AY73" s="242">
        <f>($AW73/$E73)*1000</f>
        <v>171.55806792003477</v>
      </c>
      <c r="AZ73" s="138">
        <v>0.62974788500000001</v>
      </c>
      <c r="BA73" s="138">
        <f>($AZ73/$D73)</f>
        <v>1.4154547785729505</v>
      </c>
      <c r="BB73" s="242">
        <f>($AZ73/$E73)*1000</f>
        <v>5.1857599043912463</v>
      </c>
      <c r="BC73" s="138">
        <v>344.88266420000002</v>
      </c>
      <c r="BD73" s="138">
        <f>($BC73/$D73)</f>
        <v>775.1765852915255</v>
      </c>
      <c r="BE73" s="242">
        <f>($BC73/$E73)*1000</f>
        <v>2839.9915812785785</v>
      </c>
      <c r="BF73" s="138">
        <v>54.18607926</v>
      </c>
      <c r="BG73" s="138">
        <f>($BF73/$D73)</f>
        <v>121.7915083918061</v>
      </c>
      <c r="BH73" s="242">
        <f>($BF73/$E73)*1000</f>
        <v>446.20395541729226</v>
      </c>
      <c r="BI73" s="138">
        <v>0.21946580099999999</v>
      </c>
      <c r="BJ73" s="138">
        <f>($BI73/$D73)</f>
        <v>0.49328298539468729</v>
      </c>
      <c r="BK73" s="242">
        <f>($BI73/$E73)*1000</f>
        <v>1.8072263175777212</v>
      </c>
      <c r="BL73" s="138">
        <v>6.3294307999999994E-2</v>
      </c>
      <c r="BM73" s="138">
        <f>($BL73/$D73)</f>
        <v>0.14226364684824327</v>
      </c>
      <c r="BN73" s="242">
        <f>($BL73/$E73)*1000</f>
        <v>0.52120712497921307</v>
      </c>
      <c r="BO73" s="138">
        <v>8.9179489830000005</v>
      </c>
      <c r="BP73" s="138">
        <f>($BO73/$D73)</f>
        <v>20.044455572974471</v>
      </c>
      <c r="BQ73" s="242">
        <f>($BO73/$E73)*1000</f>
        <v>73.43628040203437</v>
      </c>
      <c r="BR73" s="138">
        <v>279.4909442</v>
      </c>
      <c r="BS73" s="138">
        <f>($BR73/$D73)</f>
        <v>628.198683884037</v>
      </c>
      <c r="BT73" s="363">
        <f>($BR73/$E73)*1000</f>
        <v>2301.51298098097</v>
      </c>
    </row>
    <row r="74" spans="2:72" x14ac:dyDescent="0.35">
      <c r="B74" s="237">
        <v>66</v>
      </c>
      <c r="C74" s="239" t="s">
        <v>158</v>
      </c>
      <c r="D74" s="360">
        <v>0.77493231500000004</v>
      </c>
      <c r="E74" s="138">
        <v>110.776674</v>
      </c>
      <c r="F74" s="361">
        <f>$E74/$D74</f>
        <v>142.9501284896088</v>
      </c>
      <c r="G74" s="362">
        <v>5.8499493677777785</v>
      </c>
      <c r="H74" s="138">
        <f>$G74/$D74</f>
        <v>7.5489810587880548</v>
      </c>
      <c r="I74" s="242">
        <f>($G74/$E74)*1000</f>
        <v>52.808494392761588</v>
      </c>
      <c r="J74" s="138">
        <v>1.9606511866666665</v>
      </c>
      <c r="K74" s="138">
        <f>($J74/$D74)</f>
        <v>2.5300934658618108</v>
      </c>
      <c r="L74" s="242">
        <f>($J74/$E74)*1000</f>
        <v>17.699133904910944</v>
      </c>
      <c r="M74" s="138">
        <v>12.852494650000001</v>
      </c>
      <c r="N74" s="138">
        <f>($M74/$D74)</f>
        <v>16.585312550812905</v>
      </c>
      <c r="O74" s="242">
        <f>($M74/$E74)*1000</f>
        <v>116.02166941751655</v>
      </c>
      <c r="P74" s="138">
        <v>2.4419507935000002</v>
      </c>
      <c r="Q74" s="138">
        <f>($P74/$D74)</f>
        <v>3.1511794594602756</v>
      </c>
      <c r="R74" s="363">
        <f>($P74/$E74)*1000</f>
        <v>22.043907849228262</v>
      </c>
      <c r="S74" s="362">
        <v>0.57274694699999995</v>
      </c>
      <c r="T74" s="138">
        <f>($S74/$D74)</f>
        <v>0.73909286774290728</v>
      </c>
      <c r="U74" s="242">
        <f>($S74/$E74)*1000</f>
        <v>5.1702847388250701</v>
      </c>
      <c r="V74" s="138">
        <v>1.764091E-3</v>
      </c>
      <c r="W74" s="138">
        <f>($V74/$D74)</f>
        <v>2.2764452660617202E-3</v>
      </c>
      <c r="X74" s="242">
        <f>($V74/$E74)*1000</f>
        <v>1.592475145083341E-2</v>
      </c>
      <c r="Y74" s="138">
        <v>2.8043176999999999E-2</v>
      </c>
      <c r="Z74" s="138">
        <f>($Y74/$D74)</f>
        <v>3.6187905004322861E-2</v>
      </c>
      <c r="AA74" s="242">
        <f>($Y74/$E74)*1000</f>
        <v>0.25315055947608606</v>
      </c>
      <c r="AB74" s="138">
        <v>0</v>
      </c>
      <c r="AC74" s="138">
        <f>($AB74/$D74)</f>
        <v>0</v>
      </c>
      <c r="AD74" s="242">
        <f>($AB74/$E74)*1000</f>
        <v>0</v>
      </c>
      <c r="AE74" s="138">
        <v>5.5748689999999997E-2</v>
      </c>
      <c r="AF74" s="138">
        <f>($AE74/$D74)</f>
        <v>7.1940076469775294E-2</v>
      </c>
      <c r="AG74" s="242">
        <f>($AE74/$E74)*1000</f>
        <v>0.50325296821964527</v>
      </c>
      <c r="AH74" s="138">
        <v>6.3781660000000004E-2</v>
      </c>
      <c r="AI74" s="138">
        <f>($AH74/$D74)</f>
        <v>8.230610437248316E-2</v>
      </c>
      <c r="AJ74" s="242">
        <f>($AH74/$E74)*1000</f>
        <v>0.57576796356965909</v>
      </c>
      <c r="AK74" s="138">
        <v>2.8542118470000002</v>
      </c>
      <c r="AL74" s="138">
        <f>($AK74/$D74)</f>
        <v>3.6831756680581837</v>
      </c>
      <c r="AM74" s="364">
        <f>($AK74/$E74)*1000</f>
        <v>25.765458953931045</v>
      </c>
      <c r="AN74" s="138">
        <v>0.73115953950000001</v>
      </c>
      <c r="AO74" s="365">
        <f>($AN74/$D74)</f>
        <v>0.94351406612847211</v>
      </c>
      <c r="AP74" s="361">
        <f>($AN74/$E74)*1000</f>
        <v>6.6003023298930241</v>
      </c>
      <c r="AQ74" s="362">
        <v>39.421996610000001</v>
      </c>
      <c r="AR74" s="138">
        <f>($AQ74/$D74)</f>
        <v>50.871535290149822</v>
      </c>
      <c r="AS74" s="364">
        <f>($AQ74/$E74)*1000</f>
        <v>355.86911202984845</v>
      </c>
      <c r="AT74" s="138">
        <v>1.74805945</v>
      </c>
      <c r="AU74" s="138">
        <f>($AT74/$D74)</f>
        <v>2.2557575883256331</v>
      </c>
      <c r="AV74" s="242">
        <f>($AT74/$E74)*1000</f>
        <v>15.78003190455059</v>
      </c>
      <c r="AW74" s="138">
        <v>23.964079890000001</v>
      </c>
      <c r="AX74" s="138">
        <f>($AW74/$D74)</f>
        <v>30.924094177179846</v>
      </c>
      <c r="AY74" s="242">
        <f>($AW74/$E74)*1000</f>
        <v>216.32785156557418</v>
      </c>
      <c r="AZ74" s="138">
        <v>0.44628911199999999</v>
      </c>
      <c r="BA74" s="138">
        <f>($AZ74/$D74)</f>
        <v>0.57590721584503801</v>
      </c>
      <c r="BB74" s="242">
        <f>($AZ74/$E74)*1000</f>
        <v>4.0287282140281633</v>
      </c>
      <c r="BC74" s="138">
        <v>258.12382400000001</v>
      </c>
      <c r="BD74" s="138">
        <f>($BC74/$D74)</f>
        <v>333.09208946848474</v>
      </c>
      <c r="BE74" s="242">
        <f>($BC74/$E74)*1000</f>
        <v>2330.1279473330283</v>
      </c>
      <c r="BF74" s="138">
        <v>58.148721109999997</v>
      </c>
      <c r="BG74" s="138">
        <f>($BF74/$D74)</f>
        <v>75.037161290660578</v>
      </c>
      <c r="BH74" s="242">
        <f>($BF74/$E74)*1000</f>
        <v>524.9184599097099</v>
      </c>
      <c r="BI74" s="138">
        <v>0.19066375499999999</v>
      </c>
      <c r="BJ74" s="138">
        <f>($BI74/$D74)</f>
        <v>0.24603923634285399</v>
      </c>
      <c r="BK74" s="242">
        <f>($BI74/$E74)*1000</f>
        <v>1.7211543560154188</v>
      </c>
      <c r="BL74" s="138">
        <v>3.4520387999999999E-2</v>
      </c>
      <c r="BM74" s="138">
        <f>($BL74/$D74)</f>
        <v>4.4546326604020893E-2</v>
      </c>
      <c r="BN74" s="242">
        <f>($BL74/$E74)*1000</f>
        <v>0.31162145200351477</v>
      </c>
      <c r="BO74" s="138">
        <v>11.18086124</v>
      </c>
      <c r="BP74" s="138">
        <f>($BO74/$D74)</f>
        <v>14.428177820923624</v>
      </c>
      <c r="BQ74" s="242">
        <f>($BO74/$E74)*1000</f>
        <v>100.93154845938054</v>
      </c>
      <c r="BR74" s="138">
        <v>234.41318369999999</v>
      </c>
      <c r="BS74" s="138">
        <f>($BR74/$D74)</f>
        <v>302.49504267995326</v>
      </c>
      <c r="BT74" s="363">
        <f>($BR74/$E74)*1000</f>
        <v>2116.0879383325773</v>
      </c>
    </row>
    <row r="75" spans="2:72" x14ac:dyDescent="0.35">
      <c r="B75" s="237">
        <v>67</v>
      </c>
      <c r="C75" s="239" t="s">
        <v>160</v>
      </c>
      <c r="D75" s="360">
        <v>0.38013771800000001</v>
      </c>
      <c r="E75" s="138">
        <v>121.1122463</v>
      </c>
      <c r="F75" s="361">
        <f>$E75/$D75</f>
        <v>318.60097160892622</v>
      </c>
      <c r="G75" s="362">
        <v>5.6426992188888896</v>
      </c>
      <c r="H75" s="138">
        <f>$G75/$D75</f>
        <v>14.843828832814978</v>
      </c>
      <c r="I75" s="242">
        <f>($G75/$E75)*1000</f>
        <v>46.590657768097977</v>
      </c>
      <c r="J75" s="138">
        <v>2.1699998188888889</v>
      </c>
      <c r="K75" s="138">
        <f>($J75/$D75)</f>
        <v>5.7084570042294223</v>
      </c>
      <c r="L75" s="242">
        <f>($J75/$E75)*1000</f>
        <v>17.917261756616341</v>
      </c>
      <c r="M75" s="138">
        <v>16.178804015000001</v>
      </c>
      <c r="N75" s="138">
        <f>($M75/$D75)</f>
        <v>42.560375487391127</v>
      </c>
      <c r="O75" s="242">
        <f>($M75/$E75)*1000</f>
        <v>133.58520305968432</v>
      </c>
      <c r="P75" s="138">
        <v>2.1180430170000002</v>
      </c>
      <c r="Q75" s="138">
        <f>($P75/$D75)</f>
        <v>5.5717781127943748</v>
      </c>
      <c r="R75" s="363">
        <f>($P75/$E75)*1000</f>
        <v>17.488264661143521</v>
      </c>
      <c r="S75" s="362">
        <v>0.58693107899999997</v>
      </c>
      <c r="T75" s="138">
        <f>($S75/$D75)</f>
        <v>1.5439959025586616</v>
      </c>
      <c r="U75" s="242">
        <f>($S75/$E75)*1000</f>
        <v>4.8461744945771024</v>
      </c>
      <c r="V75" s="138">
        <v>0</v>
      </c>
      <c r="W75" s="138">
        <f>($V75/$D75)</f>
        <v>0</v>
      </c>
      <c r="X75" s="242">
        <f>($V75/$E75)*1000</f>
        <v>0</v>
      </c>
      <c r="Y75" s="138">
        <v>6.3224910000000004E-3</v>
      </c>
      <c r="Z75" s="138">
        <f>($Y75/$D75)</f>
        <v>1.6632106472528465E-2</v>
      </c>
      <c r="AA75" s="242">
        <f>($Y75/$E75)*1000</f>
        <v>5.2203564818201216E-2</v>
      </c>
      <c r="AB75" s="138">
        <v>0</v>
      </c>
      <c r="AC75" s="138">
        <f>($AB75/$D75)</f>
        <v>0</v>
      </c>
      <c r="AD75" s="242">
        <f>($AB75/$E75)*1000</f>
        <v>0</v>
      </c>
      <c r="AE75" s="138">
        <v>3.2360329E-2</v>
      </c>
      <c r="AF75" s="138">
        <f>($AE75/$D75)</f>
        <v>8.5127908828031632E-2</v>
      </c>
      <c r="AG75" s="242">
        <f>($AE75/$E75)*1000</f>
        <v>0.26719287263355795</v>
      </c>
      <c r="AH75" s="138">
        <v>2.7497510999999999E-2</v>
      </c>
      <c r="AI75" s="138">
        <f>($AH75/$D75)</f>
        <v>7.2335655468947699E-2</v>
      </c>
      <c r="AJ75" s="242">
        <f>($AH75/$E75)*1000</f>
        <v>0.22704154071989993</v>
      </c>
      <c r="AK75" s="138">
        <v>2.629842311</v>
      </c>
      <c r="AL75" s="138">
        <f>($AK75/$D75)</f>
        <v>6.9181304208281693</v>
      </c>
      <c r="AM75" s="364">
        <f>($AK75/$E75)*1000</f>
        <v>21.714090782246519</v>
      </c>
      <c r="AN75" s="138">
        <v>0.97396168299999997</v>
      </c>
      <c r="AO75" s="365">
        <f>($AN75/$D75)</f>
        <v>2.5621285047015512</v>
      </c>
      <c r="AP75" s="361">
        <f>($AN75/$E75)*1000</f>
        <v>8.0418100791183154</v>
      </c>
      <c r="AQ75" s="362">
        <v>25.511052459999998</v>
      </c>
      <c r="AR75" s="138">
        <f>($AQ75/$D75)</f>
        <v>67.110026845586518</v>
      </c>
      <c r="AS75" s="364">
        <f>($AQ75/$E75)*1000</f>
        <v>210.63974320819776</v>
      </c>
      <c r="AT75" s="138">
        <v>1.344535896</v>
      </c>
      <c r="AU75" s="138">
        <f>($AT75/$D75)</f>
        <v>3.5369705039372072</v>
      </c>
      <c r="AV75" s="242">
        <f>($AT75/$E75)*1000</f>
        <v>11.101568479454418</v>
      </c>
      <c r="AW75" s="138">
        <v>12.128177519999999</v>
      </c>
      <c r="AX75" s="138">
        <f>($AW75/$D75)</f>
        <v>31.904693866763306</v>
      </c>
      <c r="AY75" s="242">
        <f>($AW75/$E75)*1000</f>
        <v>100.13997667880759</v>
      </c>
      <c r="AZ75" s="138">
        <v>0.39360526299999998</v>
      </c>
      <c r="BA75" s="138">
        <f>($AZ75/$D75)</f>
        <v>1.0354280682034294</v>
      </c>
      <c r="BB75" s="242">
        <f>($AZ75/$E75)*1000</f>
        <v>3.2499212509445461</v>
      </c>
      <c r="BC75" s="138">
        <v>286.80252890000003</v>
      </c>
      <c r="BD75" s="138">
        <f>($BC75/$D75)</f>
        <v>754.47006524093467</v>
      </c>
      <c r="BE75" s="242">
        <f>($BC75/$E75)*1000</f>
        <v>2368.0720790990731</v>
      </c>
      <c r="BF75" s="138">
        <v>52.700262109999997</v>
      </c>
      <c r="BG75" s="138">
        <f>($BF75/$D75)</f>
        <v>138.63465690084453</v>
      </c>
      <c r="BH75" s="242">
        <f>($BF75/$E75)*1000</f>
        <v>435.13570031109231</v>
      </c>
      <c r="BI75" s="138">
        <v>0.22829316199999999</v>
      </c>
      <c r="BJ75" s="138">
        <f>($BI75/$D75)</f>
        <v>0.60055382875739782</v>
      </c>
      <c r="BK75" s="242">
        <f>($BI75/$E75)*1000</f>
        <v>1.8849717429442145</v>
      </c>
      <c r="BL75" s="138">
        <v>4.8640751000000003E-2</v>
      </c>
      <c r="BM75" s="138">
        <f>($BL75/$D75)</f>
        <v>0.12795560318484367</v>
      </c>
      <c r="BN75" s="242">
        <f>($BL75/$E75)*1000</f>
        <v>0.40161711541139178</v>
      </c>
      <c r="BO75" s="138">
        <v>10.918047469999999</v>
      </c>
      <c r="BP75" s="138">
        <f>($BO75/$D75)</f>
        <v>28.721294817684992</v>
      </c>
      <c r="BQ75" s="242">
        <f>($BO75/$E75)*1000</f>
        <v>90.148170837782558</v>
      </c>
      <c r="BR75" s="138">
        <v>225.21832749999999</v>
      </c>
      <c r="BS75" s="138">
        <f>($BR75/$D75)</f>
        <v>592.46509050701457</v>
      </c>
      <c r="BT75" s="363">
        <f>($BR75/$E75)*1000</f>
        <v>1859.5834391686944</v>
      </c>
    </row>
    <row r="76" spans="2:72" x14ac:dyDescent="0.35">
      <c r="B76" s="237">
        <v>68</v>
      </c>
      <c r="C76" s="239" t="s">
        <v>161</v>
      </c>
      <c r="D76" s="360">
        <v>1.4000764530000001</v>
      </c>
      <c r="E76" s="138">
        <v>533.75688339999999</v>
      </c>
      <c r="F76" s="361">
        <f>$E76/$D76</f>
        <v>381.23409779251534</v>
      </c>
      <c r="G76" s="362">
        <v>38.601439133333336</v>
      </c>
      <c r="H76" s="138">
        <f>$G76/$D76</f>
        <v>27.570950893874748</v>
      </c>
      <c r="I76" s="242">
        <f>($G76/$E76)*1000</f>
        <v>72.320264775686709</v>
      </c>
      <c r="J76" s="138">
        <v>6.6760022466666662</v>
      </c>
      <c r="K76" s="138">
        <f>($J76/$D76)</f>
        <v>4.7683126391860444</v>
      </c>
      <c r="L76" s="242">
        <f>($J76/$E76)*1000</f>
        <v>12.507571245059967</v>
      </c>
      <c r="M76" s="138">
        <v>38.859898074999997</v>
      </c>
      <c r="N76" s="138">
        <f>($M76/$D76)</f>
        <v>27.755554342574172</v>
      </c>
      <c r="O76" s="242">
        <f>($M76/$E76)*1000</f>
        <v>72.804490740175055</v>
      </c>
      <c r="P76" s="138">
        <v>16.084609685</v>
      </c>
      <c r="Q76" s="138">
        <f>($P76/$D76)</f>
        <v>11.488379545656139</v>
      </c>
      <c r="R76" s="363">
        <f>($P76/$E76)*1000</f>
        <v>30.134711486139498</v>
      </c>
      <c r="S76" s="362">
        <v>0</v>
      </c>
      <c r="T76" s="138">
        <f>($S76/$D76)</f>
        <v>0</v>
      </c>
      <c r="U76" s="242">
        <f>($S76/$E76)*1000</f>
        <v>0</v>
      </c>
      <c r="V76" s="138">
        <v>0.16826107300000001</v>
      </c>
      <c r="W76" s="138">
        <f>($V76/$D76)</f>
        <v>0.12017991777481883</v>
      </c>
      <c r="X76" s="242">
        <f>($V76/$E76)*1000</f>
        <v>0.31523916268430463</v>
      </c>
      <c r="Y76" s="138">
        <v>0.23080266199999999</v>
      </c>
      <c r="Z76" s="138">
        <f>($Y76/$D76)</f>
        <v>0.1648500419426738</v>
      </c>
      <c r="AA76" s="242">
        <f>($Y76/$E76)*1000</f>
        <v>0.43241158883010672</v>
      </c>
      <c r="AB76" s="138">
        <v>0</v>
      </c>
      <c r="AC76" s="138">
        <f>($AB76/$D76)</f>
        <v>0</v>
      </c>
      <c r="AD76" s="242">
        <f>($AB76/$E76)*1000</f>
        <v>0</v>
      </c>
      <c r="AE76" s="138">
        <v>2.1991589999999998E-2</v>
      </c>
      <c r="AF76" s="138">
        <f>($AE76/$D76)</f>
        <v>1.5707420800398247E-2</v>
      </c>
      <c r="AG76" s="242">
        <f>($AE76/$E76)*1000</f>
        <v>4.1201510807532565E-2</v>
      </c>
      <c r="AH76" s="138">
        <v>4.8135228369999998</v>
      </c>
      <c r="AI76" s="138">
        <f>($AH76/$D76)</f>
        <v>3.4380428487929149</v>
      </c>
      <c r="AJ76" s="242">
        <f>($AH76/$E76)*1000</f>
        <v>9.018193463544943</v>
      </c>
      <c r="AK76" s="138">
        <v>23.856976889999999</v>
      </c>
      <c r="AL76" s="138">
        <f>($AK76/$D76)</f>
        <v>17.03976724905322</v>
      </c>
      <c r="AM76" s="364">
        <f>($AK76/$E76)*1000</f>
        <v>44.696335788744229</v>
      </c>
      <c r="AN76" s="138">
        <v>13.668022445</v>
      </c>
      <c r="AO76" s="365">
        <f>($AN76/$D76)</f>
        <v>9.7623400605823907</v>
      </c>
      <c r="AP76" s="361">
        <f>($AN76/$E76)*1000</f>
        <v>25.607205958517106</v>
      </c>
      <c r="AQ76" s="362">
        <v>60.331769180000002</v>
      </c>
      <c r="AR76" s="138">
        <f>($AQ76/$D76)</f>
        <v>43.091767632206583</v>
      </c>
      <c r="AS76" s="364">
        <f>($AQ76/$E76)*1000</f>
        <v>113.03230188937363</v>
      </c>
      <c r="AT76" s="138">
        <v>6.7973093200000001</v>
      </c>
      <c r="AU76" s="138">
        <f>($AT76/$D76)</f>
        <v>4.8549558171877916</v>
      </c>
      <c r="AV76" s="242">
        <f>($AT76/$E76)*1000</f>
        <v>12.734841519422735</v>
      </c>
      <c r="AW76" s="138">
        <v>86.966743980000004</v>
      </c>
      <c r="AX76" s="138">
        <f>($AW76/$D76)</f>
        <v>62.115710748261549</v>
      </c>
      <c r="AY76" s="242">
        <f>($AW76/$E76)*1000</f>
        <v>162.93325048292954</v>
      </c>
      <c r="AZ76" s="138">
        <v>2.0706098260000001</v>
      </c>
      <c r="BA76" s="138">
        <f>($AZ76/$D76)</f>
        <v>1.4789262554649936</v>
      </c>
      <c r="BB76" s="242">
        <f>($AZ76/$E76)*1000</f>
        <v>3.8793126428840359</v>
      </c>
      <c r="BC76" s="138">
        <v>526.91223779999996</v>
      </c>
      <c r="BD76" s="138">
        <f>($BC76/$D76)</f>
        <v>376.34533219308412</v>
      </c>
      <c r="BE76" s="242">
        <f>($BC76/$E76)*1000</f>
        <v>987.17647338541087</v>
      </c>
      <c r="BF76" s="138">
        <v>4.1275355390000001</v>
      </c>
      <c r="BG76" s="138">
        <f>($BF76/$D76)</f>
        <v>2.9480786782434372</v>
      </c>
      <c r="BH76" s="242">
        <f>($BF76/$E76)*1000</f>
        <v>7.7329879339594481</v>
      </c>
      <c r="BI76" s="138">
        <v>0.342770411</v>
      </c>
      <c r="BJ76" s="138">
        <f>($BI76/$D76)</f>
        <v>0.24482263826774037</v>
      </c>
      <c r="BK76" s="242">
        <f>($BI76/$E76)*1000</f>
        <v>0.64218452568999695</v>
      </c>
      <c r="BL76" s="138">
        <v>3.5736334000000002E-2</v>
      </c>
      <c r="BM76" s="138">
        <f>($BL76/$D76)</f>
        <v>2.5524558979208831E-2</v>
      </c>
      <c r="BN76" s="242">
        <f>($BL76/$E76)*1000</f>
        <v>6.695245553061846E-2</v>
      </c>
      <c r="BO76" s="138">
        <v>0.52464294300000003</v>
      </c>
      <c r="BP76" s="138">
        <f>($BO76/$D76)</f>
        <v>0.37472449584865636</v>
      </c>
      <c r="BQ76" s="242">
        <f>($BO76/$E76)*1000</f>
        <v>0.98292492203202197</v>
      </c>
      <c r="BR76" s="138">
        <v>326.49618190000001</v>
      </c>
      <c r="BS76" s="138">
        <f>($BR76/$D76)</f>
        <v>233.19882367880948</v>
      </c>
      <c r="BT76" s="363">
        <f>($BR76/$E76)*1000</f>
        <v>611.69455992818018</v>
      </c>
    </row>
    <row r="77" spans="2:72" x14ac:dyDescent="0.35">
      <c r="B77" s="237">
        <v>69</v>
      </c>
      <c r="C77" s="239" t="s">
        <v>163</v>
      </c>
      <c r="D77" s="360">
        <v>1.8560895150000001</v>
      </c>
      <c r="E77" s="138">
        <v>576.60102189999998</v>
      </c>
      <c r="F77" s="361">
        <f>$E77/$D77</f>
        <v>310.65367119430118</v>
      </c>
      <c r="G77" s="362">
        <v>48.95006872222222</v>
      </c>
      <c r="H77" s="138">
        <f>$G77/$D77</f>
        <v>26.372687484429985</v>
      </c>
      <c r="I77" s="242">
        <f>($G77/$E77)*1000</f>
        <v>84.894176151341682</v>
      </c>
      <c r="J77" s="138">
        <v>6.6235238755555557</v>
      </c>
      <c r="K77" s="138">
        <f>($J77/$D77)</f>
        <v>3.5685368739101762</v>
      </c>
      <c r="L77" s="242">
        <f>($J77/$E77)*1000</f>
        <v>11.487187195280891</v>
      </c>
      <c r="M77" s="138">
        <v>24.449723272500002</v>
      </c>
      <c r="N77" s="138">
        <f>($M77/$D77)</f>
        <v>13.17270695993345</v>
      </c>
      <c r="O77" s="242">
        <f>($M77/$E77)*1000</f>
        <v>42.403191017480232</v>
      </c>
      <c r="P77" s="138">
        <v>19.687867390000001</v>
      </c>
      <c r="Q77" s="138">
        <f>($P77/$D77)</f>
        <v>10.607175586571858</v>
      </c>
      <c r="R77" s="363">
        <f>($P77/$E77)*1000</f>
        <v>34.144697359579901</v>
      </c>
      <c r="S77" s="362">
        <v>0</v>
      </c>
      <c r="T77" s="138">
        <f>($S77/$D77)</f>
        <v>0</v>
      </c>
      <c r="U77" s="242">
        <f>($S77/$E77)*1000</f>
        <v>0</v>
      </c>
      <c r="V77" s="138">
        <v>7.6406976000000001E-2</v>
      </c>
      <c r="W77" s="138">
        <f>($V77/$D77)</f>
        <v>4.1165566306213416E-2</v>
      </c>
      <c r="X77" s="242">
        <f>($V77/$E77)*1000</f>
        <v>0.13251273081033713</v>
      </c>
      <c r="Y77" s="138">
        <v>0</v>
      </c>
      <c r="Z77" s="138">
        <f>($Y77/$D77)</f>
        <v>0</v>
      </c>
      <c r="AA77" s="242">
        <f>($Y77/$E77)*1000</f>
        <v>0</v>
      </c>
      <c r="AB77" s="138">
        <v>0</v>
      </c>
      <c r="AC77" s="138">
        <f>($AB77/$D77)</f>
        <v>0</v>
      </c>
      <c r="AD77" s="242">
        <f>($AB77/$E77)*1000</f>
        <v>0</v>
      </c>
      <c r="AE77" s="138">
        <v>0</v>
      </c>
      <c r="AF77" s="138">
        <f>($AE77/$D77)</f>
        <v>0</v>
      </c>
      <c r="AG77" s="242">
        <f>($AE77/$E77)*1000</f>
        <v>0</v>
      </c>
      <c r="AH77" s="138">
        <v>6.6373657030000004</v>
      </c>
      <c r="AI77" s="138">
        <f>($AH77/$D77)</f>
        <v>3.5759943953996207</v>
      </c>
      <c r="AJ77" s="242">
        <f>($AH77/$E77)*1000</f>
        <v>11.511193096968046</v>
      </c>
      <c r="AK77" s="138">
        <v>31.164275409999998</v>
      </c>
      <c r="AL77" s="138">
        <f>($AK77/$D77)</f>
        <v>16.790286868249453</v>
      </c>
      <c r="AM77" s="364">
        <f>($AK77/$E77)*1000</f>
        <v>54.048248661281121</v>
      </c>
      <c r="AN77" s="138">
        <v>1.30832253425</v>
      </c>
      <c r="AO77" s="365">
        <f>($AN77/$D77)</f>
        <v>0.7048811620758495</v>
      </c>
      <c r="AP77" s="361">
        <f>($AN77/$E77)*1000</f>
        <v>2.2690256946455825</v>
      </c>
      <c r="AQ77" s="362">
        <v>110.17668879999999</v>
      </c>
      <c r="AR77" s="138">
        <f>($AQ77/$D77)</f>
        <v>59.35957716996208</v>
      </c>
      <c r="AS77" s="364">
        <f>($AQ77/$E77)*1000</f>
        <v>191.07959336760933</v>
      </c>
      <c r="AT77" s="138">
        <v>9.0003887700000007</v>
      </c>
      <c r="AU77" s="138">
        <f>($AT77/$D77)</f>
        <v>4.8491135245704999</v>
      </c>
      <c r="AV77" s="242">
        <f>($AT77/$E77)*1000</f>
        <v>15.60938747618269</v>
      </c>
      <c r="AW77" s="138">
        <v>80.111313879999997</v>
      </c>
      <c r="AX77" s="138">
        <f>($AW77/$D77)</f>
        <v>43.16134175242081</v>
      </c>
      <c r="AY77" s="242">
        <f>($AW77/$E77)*1000</f>
        <v>138.93716944173872</v>
      </c>
      <c r="AZ77" s="138">
        <v>3.0701639360000001</v>
      </c>
      <c r="BA77" s="138">
        <f>($AZ77/$D77)</f>
        <v>1.6541033776595628</v>
      </c>
      <c r="BB77" s="242">
        <f>($AZ77/$E77)*1000</f>
        <v>5.3245898279598594</v>
      </c>
      <c r="BC77" s="138">
        <v>659.50992799999995</v>
      </c>
      <c r="BD77" s="138">
        <f>($BC77/$D77)</f>
        <v>355.32226364631981</v>
      </c>
      <c r="BE77" s="242">
        <f>($BC77/$E77)*1000</f>
        <v>1143.7890377419048</v>
      </c>
      <c r="BF77" s="138">
        <v>1.2454765329999999</v>
      </c>
      <c r="BG77" s="138">
        <f>($BF77/$D77)</f>
        <v>0.67102180306212222</v>
      </c>
      <c r="BH77" s="242">
        <f>($BF77/$E77)*1000</f>
        <v>2.1600317822815152</v>
      </c>
      <c r="BI77" s="138">
        <v>0.404116959</v>
      </c>
      <c r="BJ77" s="138">
        <f>($BI77/$D77)</f>
        <v>0.21772492960825759</v>
      </c>
      <c r="BK77" s="242">
        <f>($BI77/$E77)*1000</f>
        <v>0.70086063612645844</v>
      </c>
      <c r="BL77" s="138">
        <v>0</v>
      </c>
      <c r="BM77" s="138">
        <f>($BL77/$D77)</f>
        <v>0</v>
      </c>
      <c r="BN77" s="242">
        <f>($BL77/$E77)*1000</f>
        <v>0</v>
      </c>
      <c r="BO77" s="138">
        <v>0.75775430200000005</v>
      </c>
      <c r="BP77" s="138">
        <f>($BO77/$D77)</f>
        <v>0.40825310195235925</v>
      </c>
      <c r="BQ77" s="242">
        <f>($BO77/$E77)*1000</f>
        <v>1.314174400008985</v>
      </c>
      <c r="BR77" s="138">
        <v>192.68066880000001</v>
      </c>
      <c r="BS77" s="138">
        <f>($BR77/$D77)</f>
        <v>103.81000875380732</v>
      </c>
      <c r="BT77" s="363">
        <f>($BR77/$E77)*1000</f>
        <v>334.16636717896182</v>
      </c>
    </row>
    <row r="78" spans="2:72" x14ac:dyDescent="0.35">
      <c r="B78" s="237">
        <v>70</v>
      </c>
      <c r="C78" s="239" t="s">
        <v>165</v>
      </c>
      <c r="D78" s="360">
        <v>0.78085469399999996</v>
      </c>
      <c r="E78" s="138">
        <v>596.19245560000002</v>
      </c>
      <c r="F78" s="361">
        <f>$E78/$D78</f>
        <v>763.51267422873434</v>
      </c>
      <c r="G78" s="362">
        <v>50.992851366666663</v>
      </c>
      <c r="H78" s="138">
        <f>$G78/$D78</f>
        <v>65.303892975850729</v>
      </c>
      <c r="I78" s="242">
        <f>($G78/$E78)*1000</f>
        <v>85.530856500604571</v>
      </c>
      <c r="J78" s="138">
        <v>10.071974826666667</v>
      </c>
      <c r="K78" s="138">
        <f>($J78/$D78)</f>
        <v>12.898654389937837</v>
      </c>
      <c r="L78" s="242">
        <f>($J78/$E78)*1000</f>
        <v>16.893831399678426</v>
      </c>
      <c r="M78" s="138">
        <v>22.588046562500001</v>
      </c>
      <c r="N78" s="138">
        <f>($M78/$D78)</f>
        <v>28.927336591639932</v>
      </c>
      <c r="O78" s="242">
        <f>($M78/$E78)*1000</f>
        <v>37.88717275827937</v>
      </c>
      <c r="P78" s="138">
        <v>22.248566207500001</v>
      </c>
      <c r="Q78" s="138">
        <f>($P78/$D78)</f>
        <v>28.492581754909708</v>
      </c>
      <c r="R78" s="363">
        <f>($P78/$E78)*1000</f>
        <v>37.317758717878014</v>
      </c>
      <c r="S78" s="362">
        <v>0</v>
      </c>
      <c r="T78" s="138">
        <f>($S78/$D78)</f>
        <v>0</v>
      </c>
      <c r="U78" s="242">
        <f>($S78/$E78)*1000</f>
        <v>0</v>
      </c>
      <c r="V78" s="138">
        <v>0</v>
      </c>
      <c r="W78" s="138">
        <f>($V78/$D78)</f>
        <v>0</v>
      </c>
      <c r="X78" s="242">
        <f>($V78/$E78)*1000</f>
        <v>0</v>
      </c>
      <c r="Y78" s="138">
        <v>0</v>
      </c>
      <c r="Z78" s="138">
        <f>($Y78/$D78)</f>
        <v>0</v>
      </c>
      <c r="AA78" s="242">
        <f>($Y78/$E78)*1000</f>
        <v>0</v>
      </c>
      <c r="AB78" s="138">
        <v>0</v>
      </c>
      <c r="AC78" s="138">
        <f>($AB78/$D78)</f>
        <v>0</v>
      </c>
      <c r="AD78" s="242">
        <f>($AB78/$E78)*1000</f>
        <v>0</v>
      </c>
      <c r="AE78" s="138">
        <v>0</v>
      </c>
      <c r="AF78" s="138">
        <f>($AE78/$D78)</f>
        <v>0</v>
      </c>
      <c r="AG78" s="242">
        <f>($AE78/$E78)*1000</f>
        <v>0</v>
      </c>
      <c r="AH78" s="138">
        <v>6.25</v>
      </c>
      <c r="AI78" s="138">
        <f>($AH78/$D78)</f>
        <v>8.0040499826975502</v>
      </c>
      <c r="AJ78" s="242">
        <f>($AH78/$E78)*1000</f>
        <v>10.483192031858378</v>
      </c>
      <c r="AK78" s="138">
        <v>34.552851369999999</v>
      </c>
      <c r="AL78" s="138">
        <f>($AK78/$D78)</f>
        <v>44.250039905631915</v>
      </c>
      <c r="AM78" s="364">
        <f>($AK78/$E78)*1000</f>
        <v>57.955868185595328</v>
      </c>
      <c r="AN78" s="138">
        <v>5.5643376924999997</v>
      </c>
      <c r="AO78" s="365">
        <f>($AN78/$D78)</f>
        <v>7.1259579218204712</v>
      </c>
      <c r="AP78" s="361">
        <f>($AN78/$E78)*1000</f>
        <v>9.3331232896936385</v>
      </c>
      <c r="AQ78" s="362">
        <v>59.223981440000003</v>
      </c>
      <c r="AR78" s="138">
        <f>($AQ78/$D78)</f>
        <v>75.845073219217923</v>
      </c>
      <c r="AS78" s="364">
        <f>($AQ78/$E78)*1000</f>
        <v>99.337019252277841</v>
      </c>
      <c r="AT78" s="138">
        <v>5.1797569890000004</v>
      </c>
      <c r="AU78" s="138">
        <f>($AT78/$D78)</f>
        <v>6.633445414109274</v>
      </c>
      <c r="AV78" s="242">
        <f>($AT78/$E78)*1000</f>
        <v>8.688061951047608</v>
      </c>
      <c r="AW78" s="138">
        <v>85.350025840000001</v>
      </c>
      <c r="AX78" s="138">
        <f>($AW78/$D78)</f>
        <v>109.30333965566199</v>
      </c>
      <c r="AY78" s="242">
        <f>($AW78/$E78)*1000</f>
        <v>143.15851372876713</v>
      </c>
      <c r="AZ78" s="138">
        <v>1.8380048520000001</v>
      </c>
      <c r="BA78" s="138">
        <f>($AZ78/$D78)</f>
        <v>2.3538372326157782</v>
      </c>
      <c r="BB78" s="242">
        <f>($AZ78/$E78)*1000</f>
        <v>3.0829052510405504</v>
      </c>
      <c r="BC78" s="138">
        <v>565.56578909999996</v>
      </c>
      <c r="BD78" s="138">
        <f>($BC78/$D78)</f>
        <v>724.29069511362889</v>
      </c>
      <c r="BE78" s="242">
        <f>($BC78/$E78)*1000</f>
        <v>948.62956380557046</v>
      </c>
      <c r="BF78" s="138">
        <v>1.8631702E-2</v>
      </c>
      <c r="BG78" s="138">
        <f>($BF78/$D78)</f>
        <v>2.3860651851316143E-2</v>
      </c>
      <c r="BH78" s="242">
        <f>($BF78/$E78)*1000</f>
        <v>3.1251153591417571E-2</v>
      </c>
      <c r="BI78" s="138">
        <v>0.42603971000000002</v>
      </c>
      <c r="BJ78" s="138">
        <f>($BI78/$D78)</f>
        <v>0.54560690135263501</v>
      </c>
      <c r="BK78" s="242">
        <f>($BI78/$E78)*1000</f>
        <v>0.71460097490036067</v>
      </c>
      <c r="BL78" s="138">
        <v>0</v>
      </c>
      <c r="BM78" s="138">
        <f>($BL78/$D78)</f>
        <v>0</v>
      </c>
      <c r="BN78" s="242">
        <f>($BL78/$E78)*1000</f>
        <v>0</v>
      </c>
      <c r="BO78" s="138">
        <v>0</v>
      </c>
      <c r="BP78" s="138">
        <f>($BO78/$D78)</f>
        <v>0</v>
      </c>
      <c r="BQ78" s="242">
        <f>($BO78/$E78)*1000</f>
        <v>0</v>
      </c>
      <c r="BR78" s="138">
        <v>413.04361790000002</v>
      </c>
      <c r="BS78" s="138">
        <f>($BR78/$D78)</f>
        <v>528.96348203293257</v>
      </c>
      <c r="BT78" s="363">
        <f>($BR78/$E78)*1000</f>
        <v>692.80249023667784</v>
      </c>
    </row>
    <row r="79" spans="2:72" x14ac:dyDescent="0.35">
      <c r="B79" s="237">
        <v>71</v>
      </c>
      <c r="C79" s="239" t="s">
        <v>167</v>
      </c>
      <c r="D79" s="360">
        <v>1.002708792</v>
      </c>
      <c r="E79" s="138">
        <v>190.93206259999999</v>
      </c>
      <c r="F79" s="361">
        <f>$E79/$D79</f>
        <v>190.4162645459281</v>
      </c>
      <c r="G79" s="362">
        <v>7.742762062222222</v>
      </c>
      <c r="H79" s="138">
        <f>$G79/$D79</f>
        <v>7.7218451897469969</v>
      </c>
      <c r="I79" s="242">
        <f>($G79/$E79)*1000</f>
        <v>40.552445497031059</v>
      </c>
      <c r="J79" s="138">
        <v>1.7429274488888888</v>
      </c>
      <c r="K79" s="138">
        <f>($J79/$D79)</f>
        <v>1.7382189752345254</v>
      </c>
      <c r="L79" s="242">
        <f>($J79/$E79)*1000</f>
        <v>9.1285215544981444</v>
      </c>
      <c r="M79" s="138">
        <v>7.4186222700000002</v>
      </c>
      <c r="N79" s="138">
        <f>($M79/$D79)</f>
        <v>7.3985810528327356</v>
      </c>
      <c r="O79" s="242">
        <f>($M79/$E79)*1000</f>
        <v>38.854774672087999</v>
      </c>
      <c r="P79" s="138">
        <v>21.479888805000002</v>
      </c>
      <c r="Q79" s="138">
        <f>($P79/$D79)</f>
        <v>21.421861438111339</v>
      </c>
      <c r="R79" s="363">
        <f>($P79/$E79)*1000</f>
        <v>112.50016635498287</v>
      </c>
      <c r="S79" s="362">
        <v>1.9654209999999998E-2</v>
      </c>
      <c r="T79" s="138">
        <f>($S79/$D79)</f>
        <v>1.9601114657424885E-2</v>
      </c>
      <c r="U79" s="242">
        <f>($S79/$E79)*1000</f>
        <v>0.10293823746708949</v>
      </c>
      <c r="V79" s="138">
        <v>0</v>
      </c>
      <c r="W79" s="138">
        <f>($V79/$D79)</f>
        <v>0</v>
      </c>
      <c r="X79" s="242">
        <f>($V79/$E79)*1000</f>
        <v>0</v>
      </c>
      <c r="Y79" s="138">
        <v>1.6781962000000001E-2</v>
      </c>
      <c r="Z79" s="138">
        <f>($Y79/$D79)</f>
        <v>1.6736625961488529E-2</v>
      </c>
      <c r="AA79" s="242">
        <f>($Y79/$E79)*1000</f>
        <v>8.7894939024243293E-2</v>
      </c>
      <c r="AB79" s="138">
        <v>0</v>
      </c>
      <c r="AC79" s="138">
        <f>($AB79/$D79)</f>
        <v>0</v>
      </c>
      <c r="AD79" s="242">
        <f>($AB79/$E79)*1000</f>
        <v>0</v>
      </c>
      <c r="AE79" s="138">
        <v>1.3888600000000001E-4</v>
      </c>
      <c r="AF79" s="138">
        <f>($AE79/$D79)</f>
        <v>1.3851080304479868E-4</v>
      </c>
      <c r="AG79" s="242">
        <f>($AE79/$E79)*1000</f>
        <v>7.2741056744861257E-4</v>
      </c>
      <c r="AH79" s="138">
        <v>2.7601351740000002</v>
      </c>
      <c r="AI79" s="138">
        <f>($AH79/$D79)</f>
        <v>2.7526787398509223</v>
      </c>
      <c r="AJ79" s="242">
        <f>($AH79/$E79)*1000</f>
        <v>14.456111437828255</v>
      </c>
      <c r="AK79" s="138">
        <v>2.1327953439999998</v>
      </c>
      <c r="AL79" s="138">
        <f>($AK79/$D79)</f>
        <v>2.1270336522590299</v>
      </c>
      <c r="AM79" s="364">
        <f>($AK79/$E79)*1000</f>
        <v>11.170441019474953</v>
      </c>
      <c r="AN79" s="138">
        <v>5.3961664200000001</v>
      </c>
      <c r="AO79" s="365">
        <f>($AN79/$D79)</f>
        <v>5.3815888152699074</v>
      </c>
      <c r="AP79" s="361">
        <f>($AN79/$E79)*1000</f>
        <v>28.262232893303484</v>
      </c>
      <c r="AQ79" s="362">
        <v>13.2914425</v>
      </c>
      <c r="AR79" s="138">
        <f>($AQ79/$D79)</f>
        <v>13.25553601010013</v>
      </c>
      <c r="AS79" s="364">
        <f>($AQ79/$E79)*1000</f>
        <v>69.613465224253019</v>
      </c>
      <c r="AT79" s="138">
        <v>0.20267733399999999</v>
      </c>
      <c r="AU79" s="138">
        <f>($AT79/$D79)</f>
        <v>0.20212980639746897</v>
      </c>
      <c r="AV79" s="242">
        <f>($AT79/$E79)*1000</f>
        <v>1.0615154481654878</v>
      </c>
      <c r="AW79" s="138">
        <v>5.7953157229999999</v>
      </c>
      <c r="AX79" s="138">
        <f>($AW79/$D79)</f>
        <v>5.7796598266987171</v>
      </c>
      <c r="AY79" s="242">
        <f>($AW79/$E79)*1000</f>
        <v>30.352763407480207</v>
      </c>
      <c r="AZ79" s="138">
        <v>0.765147613</v>
      </c>
      <c r="BA79" s="138">
        <f>($AZ79/$D79)</f>
        <v>0.76308058641217147</v>
      </c>
      <c r="BB79" s="242">
        <f>($AZ79/$E79)*1000</f>
        <v>4.0074338619751551</v>
      </c>
      <c r="BC79" s="138">
        <v>282.58901179999998</v>
      </c>
      <c r="BD79" s="138">
        <f>($BC79/$D79)</f>
        <v>281.82560485617046</v>
      </c>
      <c r="BE79" s="242">
        <f>($BC79/$E79)*1000</f>
        <v>1480.0500657242676</v>
      </c>
      <c r="BF79" s="138">
        <v>9.7117766020000005</v>
      </c>
      <c r="BG79" s="138">
        <f>($BF79/$D79)</f>
        <v>9.6855404874120232</v>
      </c>
      <c r="BH79" s="242">
        <f>($BF79/$E79)*1000</f>
        <v>50.865090282641724</v>
      </c>
      <c r="BI79" s="138">
        <v>0.50986647699999998</v>
      </c>
      <c r="BJ79" s="138">
        <f>($BI79/$D79)</f>
        <v>0.50848908583221042</v>
      </c>
      <c r="BK79" s="242">
        <f>($BI79/$E79)*1000</f>
        <v>2.6704078406577691</v>
      </c>
      <c r="BL79" s="138">
        <v>0.242416356</v>
      </c>
      <c r="BM79" s="138">
        <f>($BL79/$D79)</f>
        <v>0.24176147445209598</v>
      </c>
      <c r="BN79" s="242">
        <f>($BL79/$E79)*1000</f>
        <v>1.2696471860143201</v>
      </c>
      <c r="BO79" s="138">
        <v>9.8271048999999999E-2</v>
      </c>
      <c r="BP79" s="138">
        <f>($BO79/$D79)</f>
        <v>9.8005572289825899E-2</v>
      </c>
      <c r="BQ79" s="242">
        <f>($BO79/$E79)*1000</f>
        <v>0.51469118209798259</v>
      </c>
      <c r="BR79" s="138">
        <v>533.68778110000005</v>
      </c>
      <c r="BS79" s="138">
        <f>($BR79/$D79)</f>
        <v>532.24603729215141</v>
      </c>
      <c r="BT79" s="363">
        <f>($BR79/$E79)*1000</f>
        <v>2795.1710877290866</v>
      </c>
    </row>
    <row r="80" spans="2:72" x14ac:dyDescent="0.35">
      <c r="B80" s="237">
        <v>72</v>
      </c>
      <c r="C80" s="239" t="s">
        <v>169</v>
      </c>
      <c r="D80" s="360">
        <v>1.223952253</v>
      </c>
      <c r="E80" s="138">
        <v>199.86684009999999</v>
      </c>
      <c r="F80" s="361">
        <f>$E80/$D80</f>
        <v>163.29627206462604</v>
      </c>
      <c r="G80" s="362">
        <v>8.9634852455555549</v>
      </c>
      <c r="H80" s="138">
        <f>$G80/$D80</f>
        <v>7.3233945389498416</v>
      </c>
      <c r="I80" s="242">
        <f>($G80/$E80)*1000</f>
        <v>44.847285528058713</v>
      </c>
      <c r="J80" s="138">
        <v>1.9109723733333333</v>
      </c>
      <c r="K80" s="138">
        <f>($J80/$D80)</f>
        <v>1.5613128442301525</v>
      </c>
      <c r="L80" s="242">
        <f>($J80/$E80)*1000</f>
        <v>9.5612277273068944</v>
      </c>
      <c r="M80" s="138">
        <v>4.4040001049999997</v>
      </c>
      <c r="N80" s="138">
        <f>($M80/$D80)</f>
        <v>3.5981796628140197</v>
      </c>
      <c r="O80" s="242">
        <f>($M80/$E80)*1000</f>
        <v>22.034671198066338</v>
      </c>
      <c r="P80" s="138">
        <v>24.285293452499999</v>
      </c>
      <c r="Q80" s="138">
        <f>($P80/$D80)</f>
        <v>19.841700027901332</v>
      </c>
      <c r="R80" s="363">
        <f>($P80/$E80)*1000</f>
        <v>121.50736680656613</v>
      </c>
      <c r="S80" s="362">
        <v>0</v>
      </c>
      <c r="T80" s="138">
        <f>($S80/$D80)</f>
        <v>0</v>
      </c>
      <c r="U80" s="242">
        <f>($S80/$E80)*1000</f>
        <v>0</v>
      </c>
      <c r="V80" s="138">
        <v>0</v>
      </c>
      <c r="W80" s="138">
        <f>($V80/$D80)</f>
        <v>0</v>
      </c>
      <c r="X80" s="242">
        <f>($V80/$E80)*1000</f>
        <v>0</v>
      </c>
      <c r="Y80" s="138">
        <v>0.33875962500000001</v>
      </c>
      <c r="Z80" s="138">
        <f>($Y80/$D80)</f>
        <v>0.27677519622981567</v>
      </c>
      <c r="AA80" s="242">
        <f>($Y80/$E80)*1000</f>
        <v>1.6949266062870025</v>
      </c>
      <c r="AB80" s="138">
        <v>0</v>
      </c>
      <c r="AC80" s="138">
        <f>($AB80/$D80)</f>
        <v>0</v>
      </c>
      <c r="AD80" s="242">
        <f>($AB80/$E80)*1000</f>
        <v>0</v>
      </c>
      <c r="AE80" s="138">
        <v>1.8993600000000001E-5</v>
      </c>
      <c r="AF80" s="138">
        <f>($AE80/$D80)</f>
        <v>1.5518252410128944E-5</v>
      </c>
      <c r="AG80" s="242">
        <f>($AE80/$E80)*1000</f>
        <v>9.5031271773230987E-5</v>
      </c>
      <c r="AH80" s="138">
        <v>3.0477106539999999</v>
      </c>
      <c r="AI80" s="138">
        <f>($AH80/$D80)</f>
        <v>2.4900568192344346</v>
      </c>
      <c r="AJ80" s="242">
        <f>($AH80/$E80)*1000</f>
        <v>15.248705850731064</v>
      </c>
      <c r="AK80" s="138">
        <v>3.3134497340000002</v>
      </c>
      <c r="AL80" s="138">
        <f>($AK80/$D80)</f>
        <v>2.7071723801957823</v>
      </c>
      <c r="AM80" s="364">
        <f>($AK80/$E80)*1000</f>
        <v>16.578286484852473</v>
      </c>
      <c r="AN80" s="138">
        <v>0</v>
      </c>
      <c r="AO80" s="365">
        <f>($AN80/$D80)</f>
        <v>0</v>
      </c>
      <c r="AP80" s="361">
        <f>($AN80/$E80)*1000</f>
        <v>0</v>
      </c>
      <c r="AQ80" s="362">
        <v>13.60624421</v>
      </c>
      <c r="AR80" s="138">
        <f>($AQ80/$D80)</f>
        <v>11.116646238977102</v>
      </c>
      <c r="AS80" s="364">
        <f>($AQ80/$E80)*1000</f>
        <v>68.076546380541885</v>
      </c>
      <c r="AT80" s="138">
        <v>0.35463560799999999</v>
      </c>
      <c r="AU80" s="138">
        <f>($AT80/$D80)</f>
        <v>0.28974627656492413</v>
      </c>
      <c r="AV80" s="242">
        <f>($AT80/$E80)*1000</f>
        <v>1.7743594076064046</v>
      </c>
      <c r="AW80" s="138">
        <v>13.710223750000001</v>
      </c>
      <c r="AX80" s="138">
        <f>($AW80/$D80)</f>
        <v>11.201600157518564</v>
      </c>
      <c r="AY80" s="242">
        <f>($AW80/$E80)*1000</f>
        <v>68.596790458789087</v>
      </c>
      <c r="AZ80" s="138">
        <v>0.74032560300000005</v>
      </c>
      <c r="BA80" s="138">
        <f>($AZ80/$D80)</f>
        <v>0.60486477408363415</v>
      </c>
      <c r="BB80" s="242">
        <f>($AZ80/$E80)*1000</f>
        <v>3.704094199065691</v>
      </c>
      <c r="BC80" s="138">
        <v>304.09238240000002</v>
      </c>
      <c r="BD80" s="138">
        <f>($BC80/$D80)</f>
        <v>248.45118071774979</v>
      </c>
      <c r="BE80" s="242">
        <f>($BC80/$E80)*1000</f>
        <v>1521.4749092338307</v>
      </c>
      <c r="BF80" s="138">
        <v>8.3112836530000003</v>
      </c>
      <c r="BG80" s="138">
        <f>($BF80/$D80)</f>
        <v>6.7905293140548677</v>
      </c>
      <c r="BH80" s="242">
        <f>($BF80/$E80)*1000</f>
        <v>41.58410494127785</v>
      </c>
      <c r="BI80" s="138">
        <v>0.53725270800000002</v>
      </c>
      <c r="BJ80" s="138">
        <f>($BI80/$D80)</f>
        <v>0.43894907393907956</v>
      </c>
      <c r="BK80" s="242">
        <f>($BI80/$E80)*1000</f>
        <v>2.688053244506166</v>
      </c>
      <c r="BL80" s="138">
        <v>0.25911057500000001</v>
      </c>
      <c r="BM80" s="138">
        <f>($BL80/$D80)</f>
        <v>0.21169990444063508</v>
      </c>
      <c r="BN80" s="242">
        <f>($BL80/$E80)*1000</f>
        <v>1.2964160281433299</v>
      </c>
      <c r="BO80" s="138">
        <v>0.18205600499999999</v>
      </c>
      <c r="BP80" s="138">
        <f>($BO80/$D80)</f>
        <v>0.14874436854359874</v>
      </c>
      <c r="BQ80" s="242">
        <f>($BO80/$E80)*1000</f>
        <v>0.91088649277144396</v>
      </c>
      <c r="BR80" s="138">
        <v>348.79704850000002</v>
      </c>
      <c r="BS80" s="138">
        <f>($BR80/$D80)</f>
        <v>284.97602553128354</v>
      </c>
      <c r="BT80" s="363">
        <f>($BR80/$E80)*1000</f>
        <v>1745.1471606069586</v>
      </c>
    </row>
    <row r="81" spans="2:72" x14ac:dyDescent="0.35">
      <c r="B81" s="237">
        <v>73</v>
      </c>
      <c r="C81" s="239" t="s">
        <v>171</v>
      </c>
      <c r="D81" s="360">
        <v>1.868284922</v>
      </c>
      <c r="E81" s="138">
        <v>252.57337089999999</v>
      </c>
      <c r="F81" s="361">
        <f>$E81/$D81</f>
        <v>135.18996376078445</v>
      </c>
      <c r="G81" s="362">
        <v>16.870452266666668</v>
      </c>
      <c r="H81" s="138">
        <f>$G81/$D81</f>
        <v>9.0299140500512305</v>
      </c>
      <c r="I81" s="242">
        <f>($G81/$E81)*1000</f>
        <v>66.79426341166463</v>
      </c>
      <c r="J81" s="138">
        <v>4.6907744099999995</v>
      </c>
      <c r="K81" s="138">
        <f>($J81/$D81)</f>
        <v>2.5107382470220458</v>
      </c>
      <c r="L81" s="242">
        <f>($J81/$E81)*1000</f>
        <v>18.571927805711525</v>
      </c>
      <c r="M81" s="138">
        <v>4.659291305</v>
      </c>
      <c r="N81" s="138">
        <f>($M81/$D81)</f>
        <v>2.4938869067209652</v>
      </c>
      <c r="O81" s="242">
        <f>($M81/$E81)*1000</f>
        <v>18.447278461689962</v>
      </c>
      <c r="P81" s="138">
        <v>20.018374957500001</v>
      </c>
      <c r="Q81" s="138">
        <f>($P81/$D81)</f>
        <v>10.714840505199989</v>
      </c>
      <c r="R81" s="363">
        <f>($P81/$E81)*1000</f>
        <v>79.257662382095575</v>
      </c>
      <c r="S81" s="362">
        <v>1.3176795999999999E-2</v>
      </c>
      <c r="T81" s="138">
        <f>($S81/$D81)</f>
        <v>7.0528835537002742E-3</v>
      </c>
      <c r="U81" s="242">
        <f>($S81/$E81)*1000</f>
        <v>5.2170171198360482E-2</v>
      </c>
      <c r="V81" s="138">
        <v>0</v>
      </c>
      <c r="W81" s="138">
        <f>($V81/$D81)</f>
        <v>0</v>
      </c>
      <c r="X81" s="242">
        <f>($V81/$E81)*1000</f>
        <v>0</v>
      </c>
      <c r="Y81" s="138">
        <v>2.6912149999999999E-2</v>
      </c>
      <c r="Z81" s="138">
        <f>($Y81/$D81)</f>
        <v>1.44047354250392E-2</v>
      </c>
      <c r="AA81" s="242">
        <f>($Y81/$E81)*1000</f>
        <v>0.10655181068417216</v>
      </c>
      <c r="AB81" s="138">
        <v>0</v>
      </c>
      <c r="AC81" s="138">
        <f>($AB81/$D81)</f>
        <v>0</v>
      </c>
      <c r="AD81" s="242">
        <f>($AB81/$E81)*1000</f>
        <v>0</v>
      </c>
      <c r="AE81" s="138">
        <v>0</v>
      </c>
      <c r="AF81" s="138">
        <f>($AE81/$D81)</f>
        <v>0</v>
      </c>
      <c r="AG81" s="242">
        <f>($AE81/$E81)*1000</f>
        <v>0</v>
      </c>
      <c r="AH81" s="138">
        <v>2.6716904399999999</v>
      </c>
      <c r="AI81" s="138">
        <f>($AH81/$D81)</f>
        <v>1.4300230165856898</v>
      </c>
      <c r="AJ81" s="242">
        <f>($AH81/$E81)*1000</f>
        <v>10.577878540718325</v>
      </c>
      <c r="AK81" s="138">
        <v>1.9020871699999999</v>
      </c>
      <c r="AL81" s="138">
        <f>($AK81/$D81)</f>
        <v>1.0180926622069051</v>
      </c>
      <c r="AM81" s="364">
        <f>($AK81/$E81)*1000</f>
        <v>7.5308302028129601</v>
      </c>
      <c r="AN81" s="138">
        <v>3.0481834000000001</v>
      </c>
      <c r="AO81" s="365">
        <f>($AN81/$D81)</f>
        <v>1.6315409732777366</v>
      </c>
      <c r="AP81" s="361">
        <f>($AN81/$E81)*1000</f>
        <v>12.068506624979285</v>
      </c>
      <c r="AQ81" s="362">
        <v>25.064949200000001</v>
      </c>
      <c r="AR81" s="138">
        <f>($AQ81/$D81)</f>
        <v>13.416020706931553</v>
      </c>
      <c r="AS81" s="364">
        <f>($AQ81/$E81)*1000</f>
        <v>99.238289098670791</v>
      </c>
      <c r="AT81" s="138">
        <v>9.3462938999999995E-2</v>
      </c>
      <c r="AU81" s="138">
        <f>($AT81/$D81)</f>
        <v>5.0026062887639146E-2</v>
      </c>
      <c r="AV81" s="242">
        <f>($AT81/$E81)*1000</f>
        <v>0.37004272725569426</v>
      </c>
      <c r="AW81" s="138">
        <v>8.2828151660000007</v>
      </c>
      <c r="AX81" s="138">
        <f>($AW81/$D81)</f>
        <v>4.4333790143385849</v>
      </c>
      <c r="AY81" s="242">
        <f>($AW81/$E81)*1000</f>
        <v>32.793699258499309</v>
      </c>
      <c r="AZ81" s="138">
        <v>0.82611023400000005</v>
      </c>
      <c r="BA81" s="138">
        <f>($AZ81/$D81)</f>
        <v>0.44217572184634912</v>
      </c>
      <c r="BB81" s="242">
        <f>($AZ81/$E81)*1000</f>
        <v>3.2707732848332509</v>
      </c>
      <c r="BC81" s="138">
        <v>231.42634820000001</v>
      </c>
      <c r="BD81" s="138">
        <f>($BC81/$D81)</f>
        <v>123.87101425207564</v>
      </c>
      <c r="BE81" s="242">
        <f>($BC81/$E81)*1000</f>
        <v>916.27374404258705</v>
      </c>
      <c r="BF81" s="138">
        <v>31.497254649999999</v>
      </c>
      <c r="BG81" s="138">
        <f>($BF81/$D81)</f>
        <v>16.858913904995909</v>
      </c>
      <c r="BH81" s="242">
        <f>($BF81/$E81)*1000</f>
        <v>124.70536596065203</v>
      </c>
      <c r="BI81" s="138">
        <v>0.35684323400000001</v>
      </c>
      <c r="BJ81" s="138">
        <f>($BI81/$D81)</f>
        <v>0.19100043563912036</v>
      </c>
      <c r="BK81" s="242">
        <f>($BI81/$E81)*1000</f>
        <v>1.4128299936309716</v>
      </c>
      <c r="BL81" s="138">
        <v>0.32276758799999999</v>
      </c>
      <c r="BM81" s="138">
        <f>($BL81/$D81)</f>
        <v>0.17276143708020569</v>
      </c>
      <c r="BN81" s="242">
        <f>($BL81/$E81)*1000</f>
        <v>1.2779161431384294</v>
      </c>
      <c r="BO81" s="138">
        <v>8.8980039999999996E-2</v>
      </c>
      <c r="BP81" s="138">
        <f>($BO81/$D81)</f>
        <v>4.7626590008951537E-2</v>
      </c>
      <c r="BQ81" s="242">
        <f>($BO81/$E81)*1000</f>
        <v>0.35229382924627228</v>
      </c>
      <c r="BR81" s="138">
        <v>483.38259429999999</v>
      </c>
      <c r="BS81" s="138">
        <f>($BR81/$D81)</f>
        <v>258.73066179998858</v>
      </c>
      <c r="BT81" s="363">
        <f>($BR81/$E81)*1000</f>
        <v>1913.8303954116486</v>
      </c>
    </row>
    <row r="82" spans="2:72" x14ac:dyDescent="0.35">
      <c r="B82" s="237">
        <v>74</v>
      </c>
      <c r="C82" s="239" t="s">
        <v>172</v>
      </c>
      <c r="D82" s="360">
        <v>0.88827157499999998</v>
      </c>
      <c r="E82" s="138">
        <v>232.54865150000001</v>
      </c>
      <c r="F82" s="361">
        <f>$E82/$D82</f>
        <v>261.79904664854325</v>
      </c>
      <c r="G82" s="362">
        <v>13.215154277777778</v>
      </c>
      <c r="H82" s="138">
        <f>$G82/$D82</f>
        <v>14.87738057786863</v>
      </c>
      <c r="I82" s="242">
        <f>($G82/$E82)*1000</f>
        <v>56.827481873305025</v>
      </c>
      <c r="J82" s="138">
        <v>2.8051706366666669</v>
      </c>
      <c r="K82" s="138">
        <f>($J82/$D82)</f>
        <v>3.1580101352074301</v>
      </c>
      <c r="L82" s="242">
        <f>($J82/$E82)*1000</f>
        <v>12.062725879391595</v>
      </c>
      <c r="M82" s="138">
        <v>6.5371010350000001</v>
      </c>
      <c r="N82" s="138">
        <f>($M82/$D82)</f>
        <v>7.3593495716667512</v>
      </c>
      <c r="O82" s="242">
        <f>($M82/$E82)*1000</f>
        <v>28.110681325537591</v>
      </c>
      <c r="P82" s="138">
        <v>20.9264230625</v>
      </c>
      <c r="Q82" s="138">
        <f>($P82/$D82)</f>
        <v>23.55858686854862</v>
      </c>
      <c r="R82" s="363">
        <f>($P82/$E82)*1000</f>
        <v>89.987290519721626</v>
      </c>
      <c r="S82" s="362">
        <v>0</v>
      </c>
      <c r="T82" s="138">
        <f>($S82/$D82)</f>
        <v>0</v>
      </c>
      <c r="U82" s="242">
        <f>($S82/$E82)*1000</f>
        <v>0</v>
      </c>
      <c r="V82" s="138">
        <v>0</v>
      </c>
      <c r="W82" s="138">
        <f>($V82/$D82)</f>
        <v>0</v>
      </c>
      <c r="X82" s="242">
        <f>($V82/$E82)*1000</f>
        <v>0</v>
      </c>
      <c r="Y82" s="138">
        <v>0.42980238700000001</v>
      </c>
      <c r="Z82" s="138">
        <f>($Y82/$D82)</f>
        <v>0.48386371814273132</v>
      </c>
      <c r="AA82" s="242">
        <f>($Y82/$E82)*1000</f>
        <v>1.8482256690273691</v>
      </c>
      <c r="AB82" s="138">
        <v>5.2190270000000002E-3</v>
      </c>
      <c r="AC82" s="138">
        <f>($AB82/$D82)</f>
        <v>5.8754857713419458E-3</v>
      </c>
      <c r="AD82" s="242">
        <f>($AB82/$E82)*1000</f>
        <v>2.2442731730912661E-2</v>
      </c>
      <c r="AE82" s="138">
        <v>1.7064099999999999E-4</v>
      </c>
      <c r="AF82" s="138">
        <f>($AE82/$D82)</f>
        <v>1.9210453739893681E-4</v>
      </c>
      <c r="AG82" s="242">
        <f>($AE82/$E82)*1000</f>
        <v>7.3378623741449643E-4</v>
      </c>
      <c r="AH82" s="138">
        <v>2.763594559</v>
      </c>
      <c r="AI82" s="138">
        <f>($AH82/$D82)</f>
        <v>3.1112045423720782</v>
      </c>
      <c r="AJ82" s="242">
        <f>($AH82/$E82)*1000</f>
        <v>11.883941451279497</v>
      </c>
      <c r="AK82" s="138">
        <v>4.3111573249999999</v>
      </c>
      <c r="AL82" s="138">
        <f>($AK82/$D82)</f>
        <v>4.8534225864426652</v>
      </c>
      <c r="AM82" s="364">
        <f>($AK82/$E82)*1000</f>
        <v>18.538732850919153</v>
      </c>
      <c r="AN82" s="138">
        <v>0</v>
      </c>
      <c r="AO82" s="365">
        <f>($AN82/$D82)</f>
        <v>0</v>
      </c>
      <c r="AP82" s="361">
        <f>($AN82/$E82)*1000</f>
        <v>0</v>
      </c>
      <c r="AQ82" s="362">
        <v>20.239970020000001</v>
      </c>
      <c r="AR82" s="138">
        <f>($AQ82/$D82)</f>
        <v>22.785790505566951</v>
      </c>
      <c r="AS82" s="364">
        <f>($AQ82/$E82)*1000</f>
        <v>87.035422005016443</v>
      </c>
      <c r="AT82" s="138">
        <v>0.42282844600000002</v>
      </c>
      <c r="AU82" s="138">
        <f>($AT82/$D82)</f>
        <v>0.4760125820754762</v>
      </c>
      <c r="AV82" s="242">
        <f>($AT82/$E82)*1000</f>
        <v>1.8182364992127249</v>
      </c>
      <c r="AW82" s="138">
        <v>13.537378390000001</v>
      </c>
      <c r="AX82" s="138">
        <f>($AW82/$D82)</f>
        <v>15.240134628871807</v>
      </c>
      <c r="AY82" s="242">
        <f>($AW82/$E82)*1000</f>
        <v>58.213102087156159</v>
      </c>
      <c r="AZ82" s="138">
        <v>0.91026144499999995</v>
      </c>
      <c r="BA82" s="138">
        <f>($AZ82/$D82)</f>
        <v>1.0247557961088645</v>
      </c>
      <c r="BB82" s="242">
        <f>($AZ82/$E82)*1000</f>
        <v>3.9142839106078409</v>
      </c>
      <c r="BC82" s="138">
        <v>254.9038903</v>
      </c>
      <c r="BD82" s="138">
        <f>($BC82/$D82)</f>
        <v>286.96616831400917</v>
      </c>
      <c r="BE82" s="242">
        <f>($BC82/$E82)*1000</f>
        <v>1096.1314488637231</v>
      </c>
      <c r="BF82" s="138">
        <v>11.97520812</v>
      </c>
      <c r="BG82" s="138">
        <f>($BF82/$D82)</f>
        <v>13.481471722203876</v>
      </c>
      <c r="BH82" s="242">
        <f>($BF82/$E82)*1000</f>
        <v>51.495495857562517</v>
      </c>
      <c r="BI82" s="138">
        <v>0.41517786800000001</v>
      </c>
      <c r="BJ82" s="138">
        <f>($BI82/$D82)</f>
        <v>0.46739970036753681</v>
      </c>
      <c r="BK82" s="242">
        <f>($BI82/$E82)*1000</f>
        <v>1.7853376715882612</v>
      </c>
      <c r="BL82" s="138">
        <v>0.30880811899999999</v>
      </c>
      <c r="BM82" s="138">
        <f>($BL82/$D82)</f>
        <v>0.34765056959072455</v>
      </c>
      <c r="BN82" s="242">
        <f>($BL82/$E82)*1000</f>
        <v>1.3279290892813453</v>
      </c>
      <c r="BO82" s="138">
        <v>7.2370304999999996E-2</v>
      </c>
      <c r="BP82" s="138">
        <f>($BO82/$D82)</f>
        <v>8.1473174462438472E-2</v>
      </c>
      <c r="BQ82" s="242">
        <f>($BO82/$E82)*1000</f>
        <v>0.31120500821308783</v>
      </c>
      <c r="BR82" s="138">
        <v>350.97894209999998</v>
      </c>
      <c r="BS82" s="138">
        <f>($BR82/$D82)</f>
        <v>395.12571602890705</v>
      </c>
      <c r="BT82" s="363">
        <f>($BR82/$E82)*1000</f>
        <v>1509.2710270994626</v>
      </c>
    </row>
    <row r="83" spans="2:72" x14ac:dyDescent="0.35">
      <c r="B83" s="237">
        <v>75</v>
      </c>
      <c r="C83" s="239" t="s">
        <v>173</v>
      </c>
      <c r="D83" s="360">
        <v>1.017764822</v>
      </c>
      <c r="E83" s="138">
        <v>369.2776164</v>
      </c>
      <c r="F83" s="361">
        <f>$E83/$D83</f>
        <v>362.83197101893938</v>
      </c>
      <c r="G83" s="362">
        <v>22.548766466666667</v>
      </c>
      <c r="H83" s="138">
        <f>$G83/$D83</f>
        <v>22.155183574095538</v>
      </c>
      <c r="I83" s="242">
        <f>($G83/$E83)*1000</f>
        <v>61.061828459816354</v>
      </c>
      <c r="J83" s="138">
        <v>3.041315391111111</v>
      </c>
      <c r="K83" s="138">
        <f>($J83/$D83)</f>
        <v>2.9882300167681675</v>
      </c>
      <c r="L83" s="242">
        <f>($J83/$E83)*1000</f>
        <v>8.2358509046938018</v>
      </c>
      <c r="M83" s="138">
        <v>40.628197024999999</v>
      </c>
      <c r="N83" s="138">
        <f>($M83/$D83)</f>
        <v>39.919042343359749</v>
      </c>
      <c r="O83" s="242">
        <f>($M83/$E83)*1000</f>
        <v>110.02074109195858</v>
      </c>
      <c r="P83" s="138">
        <v>4.3086155625</v>
      </c>
      <c r="Q83" s="138">
        <f>($P83/$D83)</f>
        <v>4.2334097911079107</v>
      </c>
      <c r="R83" s="363">
        <f>($P83/$E83)*1000</f>
        <v>11.667686778591326</v>
      </c>
      <c r="S83" s="362">
        <v>1.2512865980000001</v>
      </c>
      <c r="T83" s="138">
        <f>($S83/$D83)</f>
        <v>1.2294457137368029</v>
      </c>
      <c r="U83" s="242">
        <f>($S83/$E83)*1000</f>
        <v>3.3884712813045552</v>
      </c>
      <c r="V83" s="138">
        <v>0</v>
      </c>
      <c r="W83" s="138">
        <f>($V83/$D83)</f>
        <v>0</v>
      </c>
      <c r="X83" s="242">
        <f>($V83/$E83)*1000</f>
        <v>0</v>
      </c>
      <c r="Y83" s="138">
        <v>0</v>
      </c>
      <c r="Z83" s="138">
        <f>($Y83/$D83)</f>
        <v>0</v>
      </c>
      <c r="AA83" s="242">
        <f>($Y83/$E83)*1000</f>
        <v>0</v>
      </c>
      <c r="AB83" s="138">
        <v>0</v>
      </c>
      <c r="AC83" s="138">
        <f>($AB83/$D83)</f>
        <v>0</v>
      </c>
      <c r="AD83" s="242">
        <f>($AB83/$E83)*1000</f>
        <v>0</v>
      </c>
      <c r="AE83" s="138">
        <v>0</v>
      </c>
      <c r="AF83" s="138">
        <f>($AE83/$D83)</f>
        <v>0</v>
      </c>
      <c r="AG83" s="242">
        <f>($AE83/$E83)*1000</f>
        <v>0</v>
      </c>
      <c r="AH83" s="138">
        <v>0</v>
      </c>
      <c r="AI83" s="138">
        <f>($AH83/$D83)</f>
        <v>0</v>
      </c>
      <c r="AJ83" s="242">
        <f>($AH83/$E83)*1000</f>
        <v>0</v>
      </c>
      <c r="AK83" s="138">
        <v>22.057865769999999</v>
      </c>
      <c r="AL83" s="138">
        <f>($AK83/$D83)</f>
        <v>21.672851422251259</v>
      </c>
      <c r="AM83" s="364">
        <f>($AK83/$E83)*1000</f>
        <v>59.732474405128876</v>
      </c>
      <c r="AN83" s="138">
        <v>0</v>
      </c>
      <c r="AO83" s="365">
        <f>($AN83/$D83)</f>
        <v>0</v>
      </c>
      <c r="AP83" s="361">
        <f>($AN83/$E83)*1000</f>
        <v>0</v>
      </c>
      <c r="AQ83" s="362">
        <v>21.678703939999998</v>
      </c>
      <c r="AR83" s="138">
        <f>($AQ83/$D83)</f>
        <v>21.300307764026844</v>
      </c>
      <c r="AS83" s="364">
        <f>($AQ83/$E83)*1000</f>
        <v>58.705708056016363</v>
      </c>
      <c r="AT83" s="138">
        <v>2.8281466110000002</v>
      </c>
      <c r="AU83" s="138">
        <f>($AT83/$D83)</f>
        <v>2.7787820426357794</v>
      </c>
      <c r="AV83" s="242">
        <f>($AT83/$E83)*1000</f>
        <v>7.6585920331996604</v>
      </c>
      <c r="AW83" s="138">
        <v>28.39490769</v>
      </c>
      <c r="AX83" s="138">
        <f>($AW83/$D83)</f>
        <v>27.899281912889695</v>
      </c>
      <c r="AY83" s="242">
        <f>($AW83/$E83)*1000</f>
        <v>76.89311896782489</v>
      </c>
      <c r="AZ83" s="138">
        <v>0.94835587700000001</v>
      </c>
      <c r="BA83" s="138">
        <f>($AZ83/$D83)</f>
        <v>0.93180257020123269</v>
      </c>
      <c r="BB83" s="242">
        <f>($AZ83/$E83)*1000</f>
        <v>2.5681379939713023</v>
      </c>
      <c r="BC83" s="138">
        <v>792.64918150000005</v>
      </c>
      <c r="BD83" s="138">
        <f>($BC83/$D83)</f>
        <v>778.81369484000504</v>
      </c>
      <c r="BE83" s="242">
        <f>($BC83/$E83)*1000</f>
        <v>2146.4858585996876</v>
      </c>
      <c r="BF83" s="138">
        <v>4.544322062</v>
      </c>
      <c r="BG83" s="138">
        <f>($BF83/$D83)</f>
        <v>4.4650020945605053</v>
      </c>
      <c r="BH83" s="242">
        <f>($BF83/$E83)*1000</f>
        <v>12.305977563171901</v>
      </c>
      <c r="BI83" s="138">
        <v>0.37922001399999999</v>
      </c>
      <c r="BJ83" s="138">
        <f>($BI83/$D83)</f>
        <v>0.37260082663772792</v>
      </c>
      <c r="BK83" s="242">
        <f>($BI83/$E83)*1000</f>
        <v>1.0269239107881112</v>
      </c>
      <c r="BL83" s="138">
        <v>0</v>
      </c>
      <c r="BM83" s="138">
        <f>($BL83/$D83)</f>
        <v>0</v>
      </c>
      <c r="BN83" s="242">
        <f>($BL83/$E83)*1000</f>
        <v>0</v>
      </c>
      <c r="BO83" s="138">
        <v>20.410759349999999</v>
      </c>
      <c r="BP83" s="138">
        <f>($BO83/$D83)</f>
        <v>20.054494819236343</v>
      </c>
      <c r="BQ83" s="242">
        <f>($BO83/$E83)*1000</f>
        <v>55.272127103125442</v>
      </c>
      <c r="BR83" s="138">
        <v>425.72865059999998</v>
      </c>
      <c r="BS83" s="138">
        <f>($BR83/$D83)</f>
        <v>418.29766700268209</v>
      </c>
      <c r="BT83" s="363">
        <f>($BR83/$E83)*1000</f>
        <v>1152.8688219728228</v>
      </c>
    </row>
    <row r="84" spans="2:72" x14ac:dyDescent="0.35">
      <c r="B84" s="237">
        <v>76</v>
      </c>
      <c r="C84" s="239" t="s">
        <v>175</v>
      </c>
      <c r="D84" s="360">
        <v>1.5572245229999999</v>
      </c>
      <c r="E84" s="138">
        <v>176.02831889999999</v>
      </c>
      <c r="F84" s="361">
        <f>$E84/$D84</f>
        <v>113.03978090512</v>
      </c>
      <c r="G84" s="362">
        <v>9.0439617966666663</v>
      </c>
      <c r="H84" s="138">
        <f>$G84/$D84</f>
        <v>5.8077442675019233</v>
      </c>
      <c r="I84" s="242">
        <f>($G84/$E84)*1000</f>
        <v>51.377879725162039</v>
      </c>
      <c r="J84" s="138">
        <v>1.3027910688888888</v>
      </c>
      <c r="K84" s="138">
        <f>($J84/$D84)</f>
        <v>0.83661093801621877</v>
      </c>
      <c r="L84" s="242">
        <f>($J84/$E84)*1000</f>
        <v>7.4010311353878917</v>
      </c>
      <c r="M84" s="138">
        <v>8.2987910750000005</v>
      </c>
      <c r="N84" s="138">
        <f>($M84/$D84)</f>
        <v>5.3292193594616295</v>
      </c>
      <c r="O84" s="242">
        <f>($M84/$E84)*1000</f>
        <v>47.144636311129375</v>
      </c>
      <c r="P84" s="138">
        <v>16.117340522500001</v>
      </c>
      <c r="Q84" s="138">
        <f>($P84/$D84)</f>
        <v>10.350042838684478</v>
      </c>
      <c r="R84" s="363">
        <f>($P84/$E84)*1000</f>
        <v>91.561065987661394</v>
      </c>
      <c r="S84" s="362">
        <v>8.1897095000000003E-2</v>
      </c>
      <c r="T84" s="138">
        <f>($S84/$D84)</f>
        <v>5.259170645619226E-2</v>
      </c>
      <c r="U84" s="242">
        <f>($S84/$E84)*1000</f>
        <v>0.46524954343582048</v>
      </c>
      <c r="V84" s="138">
        <v>0</v>
      </c>
      <c r="W84" s="138">
        <f>($V84/$D84)</f>
        <v>0</v>
      </c>
      <c r="X84" s="242">
        <f>($V84/$E84)*1000</f>
        <v>0</v>
      </c>
      <c r="Y84" s="138">
        <v>0.35051578900000002</v>
      </c>
      <c r="Z84" s="138">
        <f>($Y84/$D84)</f>
        <v>0.22509007777807777</v>
      </c>
      <c r="AA84" s="242">
        <f>($Y84/$E84)*1000</f>
        <v>1.9912465857219526</v>
      </c>
      <c r="AB84" s="138">
        <v>0.17655641899999999</v>
      </c>
      <c r="AC84" s="138">
        <f>($AB84/$D84)</f>
        <v>0.1133789099723804</v>
      </c>
      <c r="AD84" s="242">
        <f>($AB84/$E84)*1000</f>
        <v>1.0030000860276354</v>
      </c>
      <c r="AE84" s="138">
        <v>0</v>
      </c>
      <c r="AF84" s="138">
        <f>($AE84/$D84)</f>
        <v>0</v>
      </c>
      <c r="AG84" s="242">
        <f>($AE84/$E84)*1000</f>
        <v>0</v>
      </c>
      <c r="AH84" s="138">
        <v>1.7505343760000001</v>
      </c>
      <c r="AI84" s="138">
        <f>($AH84/$D84)</f>
        <v>1.1241374317863861</v>
      </c>
      <c r="AJ84" s="242">
        <f>($AH84/$E84)*1000</f>
        <v>9.9446179281781468</v>
      </c>
      <c r="AK84" s="138">
        <v>4.4909923020000004</v>
      </c>
      <c r="AL84" s="138">
        <f>($AK84/$D84)</f>
        <v>2.8839722439947733</v>
      </c>
      <c r="AM84" s="364">
        <f>($AK84/$E84)*1000</f>
        <v>25.512896618363381</v>
      </c>
      <c r="AN84" s="138">
        <v>7.4837289999999997E-3</v>
      </c>
      <c r="AO84" s="365">
        <f>($AN84/$D84)</f>
        <v>4.805812449949454E-3</v>
      </c>
      <c r="AP84" s="361">
        <f>($AN84/$E84)*1000</f>
        <v>4.2514346820817138E-2</v>
      </c>
      <c r="AQ84" s="362">
        <v>78.4446978</v>
      </c>
      <c r="AR84" s="138">
        <f>($AQ84/$D84)</f>
        <v>50.374686913404076</v>
      </c>
      <c r="AS84" s="364">
        <f>($AQ84/$E84)*1000</f>
        <v>445.63680599917382</v>
      </c>
      <c r="AT84" s="138">
        <v>3.1851319409999999</v>
      </c>
      <c r="AU84" s="138">
        <f>($AT84/$D84)</f>
        <v>2.0453903043241506</v>
      </c>
      <c r="AV84" s="242">
        <f>($AT84/$E84)*1000</f>
        <v>18.09442912881218</v>
      </c>
      <c r="AW84" s="138">
        <v>74.732170289999999</v>
      </c>
      <c r="AX84" s="138">
        <f>($AW84/$D84)</f>
        <v>47.990619969192458</v>
      </c>
      <c r="AY84" s="242">
        <f>($AW84/$E84)*1000</f>
        <v>424.54629321577875</v>
      </c>
      <c r="AZ84" s="138">
        <v>2.1824703699999999</v>
      </c>
      <c r="BA84" s="138">
        <f>($AZ84/$D84)</f>
        <v>1.4015129724488675</v>
      </c>
      <c r="BB84" s="242">
        <f>($AZ84/$E84)*1000</f>
        <v>12.398404890975755</v>
      </c>
      <c r="BC84" s="138">
        <v>160.2715365</v>
      </c>
      <c r="BD84" s="138">
        <f>($BC84/$D84)</f>
        <v>102.92127701099658</v>
      </c>
      <c r="BE84" s="242">
        <f>($BC84/$E84)*1000</f>
        <v>910.48723013169672</v>
      </c>
      <c r="BF84" s="138">
        <v>0.21083422399999999</v>
      </c>
      <c r="BG84" s="138">
        <f>($BF84/$D84)</f>
        <v>0.1353910247918694</v>
      </c>
      <c r="BH84" s="242">
        <f>($BF84/$E84)*1000</f>
        <v>1.1977290092724961</v>
      </c>
      <c r="BI84" s="138">
        <v>0.31537014400000002</v>
      </c>
      <c r="BJ84" s="138">
        <f>($BI84/$D84)</f>
        <v>0.2025206637463158</v>
      </c>
      <c r="BK84" s="242">
        <f>($BI84/$E84)*1000</f>
        <v>1.7915875466558242</v>
      </c>
      <c r="BL84" s="138">
        <v>1.405399998</v>
      </c>
      <c r="BM84" s="138">
        <f>($BL84/$D84)</f>
        <v>0.9025031247854296</v>
      </c>
      <c r="BN84" s="242">
        <f>($BL84/$E84)*1000</f>
        <v>7.9839426223140517</v>
      </c>
      <c r="BO84" s="138">
        <v>1.0030817889999999</v>
      </c>
      <c r="BP84" s="138">
        <f>($BO84/$D84)</f>
        <v>0.64414718249334935</v>
      </c>
      <c r="BQ84" s="242">
        <f>($BO84/$E84)*1000</f>
        <v>5.6984114559989703</v>
      </c>
      <c r="BR84" s="138">
        <v>434.48766139999998</v>
      </c>
      <c r="BS84" s="138">
        <f>($BR84/$D84)</f>
        <v>279.01414021078836</v>
      </c>
      <c r="BT84" s="363">
        <f>($BR84/$E84)*1000</f>
        <v>2468.2827406130505</v>
      </c>
    </row>
    <row r="85" spans="2:72" x14ac:dyDescent="0.35">
      <c r="B85" s="237">
        <v>77</v>
      </c>
      <c r="C85" s="239" t="s">
        <v>177</v>
      </c>
      <c r="D85" s="360">
        <v>1.253553581</v>
      </c>
      <c r="E85" s="138">
        <v>156.36026039999999</v>
      </c>
      <c r="F85" s="361">
        <f>$E85/$D85</f>
        <v>124.7336075377539</v>
      </c>
      <c r="G85" s="362">
        <v>6.4059118355555551</v>
      </c>
      <c r="H85" s="138">
        <f>$G85/$D85</f>
        <v>5.1102018554686373</v>
      </c>
      <c r="I85" s="242">
        <f>($G85/$E85)*1000</f>
        <v>40.968925346939088</v>
      </c>
      <c r="J85" s="138">
        <v>1.2981586555555555</v>
      </c>
      <c r="K85" s="138">
        <f>($J85/$D85)</f>
        <v>1.0355829022641159</v>
      </c>
      <c r="L85" s="242">
        <f>($J85/$E85)*1000</f>
        <v>8.3023567000631289</v>
      </c>
      <c r="M85" s="138">
        <v>3.8890115125000002</v>
      </c>
      <c r="N85" s="138">
        <f>($M85/$D85)</f>
        <v>3.1023895359922395</v>
      </c>
      <c r="O85" s="242">
        <f>($M85/$E85)*1000</f>
        <v>24.872122255048385</v>
      </c>
      <c r="P85" s="138">
        <v>20.74551026</v>
      </c>
      <c r="Q85" s="138">
        <f>($P85/$D85)</f>
        <v>16.549360613250084</v>
      </c>
      <c r="R85" s="363">
        <f>($P85/$E85)*1000</f>
        <v>132.67763949055177</v>
      </c>
      <c r="S85" s="362">
        <v>0</v>
      </c>
      <c r="T85" s="138">
        <f>($S85/$D85)</f>
        <v>0</v>
      </c>
      <c r="U85" s="242">
        <f>($S85/$E85)*1000</f>
        <v>0</v>
      </c>
      <c r="V85" s="138">
        <v>0</v>
      </c>
      <c r="W85" s="138">
        <f>($V85/$D85)</f>
        <v>0</v>
      </c>
      <c r="X85" s="242">
        <f>($V85/$E85)*1000</f>
        <v>0</v>
      </c>
      <c r="Y85" s="138">
        <v>0.21322169699999999</v>
      </c>
      <c r="Z85" s="138">
        <f>($Y85/$D85)</f>
        <v>0.17009380391216</v>
      </c>
      <c r="AA85" s="242">
        <f>($Y85/$E85)*1000</f>
        <v>1.3636565739564348</v>
      </c>
      <c r="AB85" s="138">
        <v>0</v>
      </c>
      <c r="AC85" s="138">
        <f>($AB85/$D85)</f>
        <v>0</v>
      </c>
      <c r="AD85" s="242">
        <f>($AB85/$E85)*1000</f>
        <v>0</v>
      </c>
      <c r="AE85" s="138">
        <v>1.308046E-3</v>
      </c>
      <c r="AF85" s="138">
        <f>($AE85/$D85)</f>
        <v>1.0434703548583297E-3</v>
      </c>
      <c r="AG85" s="242">
        <f>($AE85/$E85)*1000</f>
        <v>8.365591082118715E-3</v>
      </c>
      <c r="AH85" s="138">
        <v>3.095126622</v>
      </c>
      <c r="AI85" s="138">
        <f>($AH85/$D85)</f>
        <v>2.4690820312051742</v>
      </c>
      <c r="AJ85" s="242">
        <f>($AH85/$E85)*1000</f>
        <v>19.794841822865116</v>
      </c>
      <c r="AK85" s="138">
        <v>3.8267518680000001</v>
      </c>
      <c r="AL85" s="138">
        <f>($AK85/$D85)</f>
        <v>3.0527230155948155</v>
      </c>
      <c r="AM85" s="364">
        <f>($AK85/$E85)*1000</f>
        <v>24.473941513082824</v>
      </c>
      <c r="AN85" s="138">
        <v>0.39171497775000003</v>
      </c>
      <c r="AO85" s="365">
        <f>($AN85/$D85)</f>
        <v>0.31248363347780983</v>
      </c>
      <c r="AP85" s="361">
        <f>($AN85/$E85)*1000</f>
        <v>2.5052080160772108</v>
      </c>
      <c r="AQ85" s="362">
        <v>21.109934719999998</v>
      </c>
      <c r="AR85" s="138">
        <f>($AQ85/$D85)</f>
        <v>16.840073723182957</v>
      </c>
      <c r="AS85" s="364">
        <f>($AQ85/$E85)*1000</f>
        <v>135.00831135735305</v>
      </c>
      <c r="AT85" s="138">
        <v>0.236073591</v>
      </c>
      <c r="AU85" s="138">
        <f>($AT85/$D85)</f>
        <v>0.18832349456628453</v>
      </c>
      <c r="AV85" s="242">
        <f>($AT85/$E85)*1000</f>
        <v>1.5098055631020171</v>
      </c>
      <c r="AW85" s="138">
        <v>20.319816599999999</v>
      </c>
      <c r="AX85" s="138">
        <f>($AW85/$D85)</f>
        <v>16.209771092345512</v>
      </c>
      <c r="AY85" s="242">
        <f>($AW85/$E85)*1000</f>
        <v>129.95512125662844</v>
      </c>
      <c r="AZ85" s="138">
        <v>1.090782505</v>
      </c>
      <c r="BA85" s="138">
        <f>($AZ85/$D85)</f>
        <v>0.87015227871619782</v>
      </c>
      <c r="BB85" s="242">
        <f>($AZ85/$E85)*1000</f>
        <v>6.9760852419250643</v>
      </c>
      <c r="BC85" s="138">
        <v>283.0923502</v>
      </c>
      <c r="BD85" s="138">
        <f>($BC85/$D85)</f>
        <v>225.83187068411397</v>
      </c>
      <c r="BE85" s="242">
        <f>($BC85/$E85)*1000</f>
        <v>1810.5134225013098</v>
      </c>
      <c r="BF85" s="138">
        <v>9.3902738140000004</v>
      </c>
      <c r="BG85" s="138">
        <f>($BF85/$D85)</f>
        <v>7.490923368835241</v>
      </c>
      <c r="BH85" s="242">
        <f>($BF85/$E85)*1000</f>
        <v>60.055373340885033</v>
      </c>
      <c r="BI85" s="138">
        <v>0.210076599</v>
      </c>
      <c r="BJ85" s="138">
        <f>($BI85/$D85)</f>
        <v>0.16758485810587781</v>
      </c>
      <c r="BK85" s="242">
        <f>($BI85/$E85)*1000</f>
        <v>1.3435421408392589</v>
      </c>
      <c r="BL85" s="138">
        <v>1.939175557</v>
      </c>
      <c r="BM85" s="138">
        <f>($BL85/$D85)</f>
        <v>1.5469426966600481</v>
      </c>
      <c r="BN85" s="242">
        <f>($BL85/$E85)*1000</f>
        <v>12.401971907946503</v>
      </c>
      <c r="BO85" s="138">
        <v>0.20887241600000001</v>
      </c>
      <c r="BP85" s="138">
        <f>($BO85/$D85)</f>
        <v>0.16662424260586911</v>
      </c>
      <c r="BQ85" s="242">
        <f>($BO85/$E85)*1000</f>
        <v>1.3358408042149821</v>
      </c>
      <c r="BR85" s="138">
        <v>223.559451</v>
      </c>
      <c r="BS85" s="138">
        <f>($BR85/$D85)</f>
        <v>178.34056269191097</v>
      </c>
      <c r="BT85" s="363">
        <f>($BR85/$E85)*1000</f>
        <v>1429.7715444326543</v>
      </c>
    </row>
    <row r="86" spans="2:72" x14ac:dyDescent="0.35">
      <c r="B86" s="237">
        <v>78</v>
      </c>
      <c r="C86" s="239" t="s">
        <v>179</v>
      </c>
      <c r="D86" s="360">
        <v>2.2905427189999998</v>
      </c>
      <c r="E86" s="138">
        <v>179.164683</v>
      </c>
      <c r="F86" s="361">
        <f>$E86/$D86</f>
        <v>78.219315236442881</v>
      </c>
      <c r="G86" s="362">
        <v>8.5659870955555562</v>
      </c>
      <c r="H86" s="138">
        <f>$G86/$D86</f>
        <v>3.739719423043669</v>
      </c>
      <c r="I86" s="242">
        <f>($G86/$E86)*1000</f>
        <v>47.810689875501609</v>
      </c>
      <c r="J86" s="138">
        <v>1.4620945477777778</v>
      </c>
      <c r="K86" s="138">
        <f>($J86/$D86)</f>
        <v>0.6383179565479119</v>
      </c>
      <c r="L86" s="242">
        <f>($J86/$E86)*1000</f>
        <v>8.1606180598537819</v>
      </c>
      <c r="M86" s="138">
        <v>2.6751467524999999</v>
      </c>
      <c r="N86" s="138">
        <f>($M86/$D86)</f>
        <v>1.1679095658464338</v>
      </c>
      <c r="O86" s="242">
        <f>($M86/$E86)*1000</f>
        <v>14.931216954738785</v>
      </c>
      <c r="P86" s="138">
        <v>21.654028085</v>
      </c>
      <c r="Q86" s="138">
        <f>($P86/$D86)</f>
        <v>9.453666987033392</v>
      </c>
      <c r="R86" s="363">
        <f>($P86/$E86)*1000</f>
        <v>120.86102976555932</v>
      </c>
      <c r="S86" s="362">
        <v>1.02775E-3</v>
      </c>
      <c r="T86" s="138">
        <f>($S86/$D86)</f>
        <v>4.4869278860194882E-4</v>
      </c>
      <c r="U86" s="242">
        <f>($S86/$E86)*1000</f>
        <v>5.7363425804180393E-3</v>
      </c>
      <c r="V86" s="138">
        <v>0</v>
      </c>
      <c r="W86" s="138">
        <f>($V86/$D86)</f>
        <v>0</v>
      </c>
      <c r="X86" s="242">
        <f>($V86/$E86)*1000</f>
        <v>0</v>
      </c>
      <c r="Y86" s="138">
        <v>0.15227358499999999</v>
      </c>
      <c r="Z86" s="138">
        <f>($Y86/$D86)</f>
        <v>6.647926001855109E-2</v>
      </c>
      <c r="AA86" s="242">
        <f>($Y86/$E86)*1000</f>
        <v>0.8499084889403119</v>
      </c>
      <c r="AB86" s="138">
        <v>0</v>
      </c>
      <c r="AC86" s="138">
        <f>($AB86/$D86)</f>
        <v>0</v>
      </c>
      <c r="AD86" s="242">
        <f>($AB86/$E86)*1000</f>
        <v>0</v>
      </c>
      <c r="AE86" s="138">
        <v>2.2602450000000001E-3</v>
      </c>
      <c r="AF86" s="138">
        <f>($AE86/$D86)</f>
        <v>9.8677268983080697E-4</v>
      </c>
      <c r="AG86" s="242">
        <f>($AE86/$E86)*1000</f>
        <v>1.261546060391824E-2</v>
      </c>
      <c r="AH86" s="138">
        <v>3.184908246</v>
      </c>
      <c r="AI86" s="138">
        <f>($AH86/$D86)</f>
        <v>1.3904600947108554</v>
      </c>
      <c r="AJ86" s="242">
        <f>($AH86/$E86)*1000</f>
        <v>17.776428884703801</v>
      </c>
      <c r="AK86" s="138">
        <v>4.3459344240000002</v>
      </c>
      <c r="AL86" s="138">
        <f>($AK86/$D86)</f>
        <v>1.8973382980158251</v>
      </c>
      <c r="AM86" s="364">
        <f>($AK86/$E86)*1000</f>
        <v>24.256646741032107</v>
      </c>
      <c r="AN86" s="138">
        <v>0.17174400925</v>
      </c>
      <c r="AO86" s="365">
        <f>($AN86/$D86)</f>
        <v>7.4979614143577122E-2</v>
      </c>
      <c r="AP86" s="361">
        <f>($AN86/$E86)*1000</f>
        <v>0.95858182747991683</v>
      </c>
      <c r="AQ86" s="362">
        <v>42.03746203</v>
      </c>
      <c r="AR86" s="138">
        <f>($AQ86/$D86)</f>
        <v>18.352620835795904</v>
      </c>
      <c r="AS86" s="364">
        <f>($AQ86/$E86)*1000</f>
        <v>234.63029279046026</v>
      </c>
      <c r="AT86" s="138">
        <v>0.13195710799999999</v>
      </c>
      <c r="AU86" s="138">
        <f>($AT86/$D86)</f>
        <v>5.7609538082577016E-2</v>
      </c>
      <c r="AV86" s="242">
        <f>($AT86/$E86)*1000</f>
        <v>0.73651294323446537</v>
      </c>
      <c r="AW86" s="138">
        <v>15.169030680000001</v>
      </c>
      <c r="AX86" s="138">
        <f>($AW86/$D86)</f>
        <v>6.6224613730943478</v>
      </c>
      <c r="AY86" s="242">
        <f>($AW86/$E86)*1000</f>
        <v>84.665294666360126</v>
      </c>
      <c r="AZ86" s="138">
        <v>0.65962521600000001</v>
      </c>
      <c r="BA86" s="138">
        <f>($AZ86/$D86)</f>
        <v>0.28797769652075195</v>
      </c>
      <c r="BB86" s="242">
        <f>($AZ86/$E86)*1000</f>
        <v>3.681669874637068</v>
      </c>
      <c r="BC86" s="138">
        <v>337.54740170000002</v>
      </c>
      <c r="BD86" s="138">
        <f>($BC86/$D86)</f>
        <v>147.36568713608875</v>
      </c>
      <c r="BE86" s="242">
        <f>($BC86/$E86)*1000</f>
        <v>1884.006356877823</v>
      </c>
      <c r="BF86" s="138">
        <v>36.199410479999997</v>
      </c>
      <c r="BG86" s="138">
        <f>($BF86/$D86)</f>
        <v>15.803857391406286</v>
      </c>
      <c r="BH86" s="242">
        <f>($BF86/$E86)*1000</f>
        <v>202.04545825585501</v>
      </c>
      <c r="BI86" s="138">
        <v>0.39464853599999999</v>
      </c>
      <c r="BJ86" s="138">
        <f>($BI86/$D86)</f>
        <v>0.1722947722067785</v>
      </c>
      <c r="BK86" s="242">
        <f>($BI86/$E86)*1000</f>
        <v>2.2027138908843993</v>
      </c>
      <c r="BL86" s="138">
        <v>3.227214939</v>
      </c>
      <c r="BM86" s="138">
        <f>($BL86/$D86)</f>
        <v>1.4089302557993464</v>
      </c>
      <c r="BN86" s="242">
        <f>($BL86/$E86)*1000</f>
        <v>18.01256187861533</v>
      </c>
      <c r="BO86" s="138">
        <v>0.46196399100000002</v>
      </c>
      <c r="BP86" s="138">
        <f>($BO86/$D86)</f>
        <v>0.20168320248647589</v>
      </c>
      <c r="BQ86" s="242">
        <f>($BO86/$E86)*1000</f>
        <v>2.5784322181397772</v>
      </c>
      <c r="BR86" s="138">
        <v>156.76817510000001</v>
      </c>
      <c r="BS86" s="138">
        <f>($BR86/$D86)</f>
        <v>68.441498077993288</v>
      </c>
      <c r="BT86" s="363">
        <f>($BR86/$E86)*1000</f>
        <v>874.99485096624778</v>
      </c>
    </row>
    <row r="87" spans="2:72" x14ac:dyDescent="0.35">
      <c r="B87" s="237">
        <v>79</v>
      </c>
      <c r="C87" s="239" t="s">
        <v>180</v>
      </c>
      <c r="D87" s="360">
        <v>1.131284704</v>
      </c>
      <c r="E87" s="138">
        <v>400.3738869</v>
      </c>
      <c r="F87" s="361">
        <f>$E87/$D87</f>
        <v>353.9108108545592</v>
      </c>
      <c r="G87" s="362">
        <v>17.919693911111111</v>
      </c>
      <c r="H87" s="138">
        <f>$G87/$D87</f>
        <v>15.840127465482915</v>
      </c>
      <c r="I87" s="242">
        <f>($G87/$E87)*1000</f>
        <v>44.757399264619998</v>
      </c>
      <c r="J87" s="138">
        <v>6.2560009422222222</v>
      </c>
      <c r="K87" s="138">
        <f>($J87/$D87)</f>
        <v>5.5299969318971911</v>
      </c>
      <c r="L87" s="242">
        <f>($J87/$E87)*1000</f>
        <v>15.62539702741593</v>
      </c>
      <c r="M87" s="138">
        <v>56.435180525</v>
      </c>
      <c r="N87" s="138">
        <f>($M87/$D87)</f>
        <v>49.88592201897216</v>
      </c>
      <c r="O87" s="242">
        <f>($M87/$E87)*1000</f>
        <v>140.9561971235542</v>
      </c>
      <c r="P87" s="138">
        <v>5.0650502025000002</v>
      </c>
      <c r="Q87" s="138">
        <f>($P87/$D87)</f>
        <v>4.4772550928965797</v>
      </c>
      <c r="R87" s="363">
        <f>($P87/$E87)*1000</f>
        <v>12.650800584717155</v>
      </c>
      <c r="S87" s="362">
        <v>8.9023169999999999E-3</v>
      </c>
      <c r="T87" s="138">
        <f>($S87/$D87)</f>
        <v>7.8692100834769178E-3</v>
      </c>
      <c r="U87" s="242">
        <f>($S87/$E87)*1000</f>
        <v>2.2235009053483804E-2</v>
      </c>
      <c r="V87" s="138">
        <v>2.8192627000000001E-2</v>
      </c>
      <c r="W87" s="138">
        <f>($V87/$D87)</f>
        <v>2.4920894714050693E-2</v>
      </c>
      <c r="X87" s="242">
        <f>($V87/$E87)*1000</f>
        <v>7.0415748685032434E-2</v>
      </c>
      <c r="Y87" s="138">
        <v>1.850274492</v>
      </c>
      <c r="Z87" s="138">
        <f>($Y87/$D87)</f>
        <v>1.6355515861372416</v>
      </c>
      <c r="AA87" s="242">
        <f>($Y87/$E87)*1000</f>
        <v>4.6213665589587682</v>
      </c>
      <c r="AB87" s="138">
        <v>4.1009706E-2</v>
      </c>
      <c r="AC87" s="138">
        <f>($AB87/$D87)</f>
        <v>3.625056173304364E-2</v>
      </c>
      <c r="AD87" s="242">
        <f>($AB87/$E87)*1000</f>
        <v>0.10242852329238658</v>
      </c>
      <c r="AE87" s="138">
        <v>4.6211782999999999E-2</v>
      </c>
      <c r="AF87" s="138">
        <f>($AE87/$D87)</f>
        <v>4.0848941770894834E-2</v>
      </c>
      <c r="AG87" s="242">
        <f>($AE87/$E87)*1000</f>
        <v>0.11542157096659542</v>
      </c>
      <c r="AH87" s="138">
        <v>0.168935684</v>
      </c>
      <c r="AI87" s="138">
        <f>($AH87/$D87)</f>
        <v>0.14933083016386298</v>
      </c>
      <c r="AJ87" s="242">
        <f>($AH87/$E87)*1000</f>
        <v>0.42194481090669755</v>
      </c>
      <c r="AK87" s="138">
        <v>2.4023859299999999</v>
      </c>
      <c r="AL87" s="138">
        <f>($AK87/$D87)</f>
        <v>2.1235909241110007</v>
      </c>
      <c r="AM87" s="364">
        <f>($AK87/$E87)*1000</f>
        <v>6.000356188564405</v>
      </c>
      <c r="AN87" s="138">
        <v>26.495180824999998</v>
      </c>
      <c r="AO87" s="365">
        <f>($AN87/$D87)</f>
        <v>23.420435838404121</v>
      </c>
      <c r="AP87" s="361">
        <f>($AN87/$E87)*1000</f>
        <v>66.176096123915315</v>
      </c>
      <c r="AQ87" s="362">
        <v>50.475813950000003</v>
      </c>
      <c r="AR87" s="138">
        <f>($AQ87/$D87)</f>
        <v>44.618135268272837</v>
      </c>
      <c r="AS87" s="364">
        <f>($AQ87/$E87)*1000</f>
        <v>126.07169348835973</v>
      </c>
      <c r="AT87" s="138">
        <v>1.8900304370000001</v>
      </c>
      <c r="AU87" s="138">
        <f>($AT87/$D87)</f>
        <v>1.6706938848525261</v>
      </c>
      <c r="AV87" s="242">
        <f>($AT87/$E87)*1000</f>
        <v>4.7206636067952816</v>
      </c>
      <c r="AW87" s="138">
        <v>80.57653182</v>
      </c>
      <c r="AX87" s="138">
        <f>($AW87/$D87)</f>
        <v>71.225688401069377</v>
      </c>
      <c r="AY87" s="242">
        <f>($AW87/$E87)*1000</f>
        <v>201.25321469860327</v>
      </c>
      <c r="AZ87" s="138">
        <v>2.8766263969999999</v>
      </c>
      <c r="BA87" s="138">
        <f>($AZ87/$D87)</f>
        <v>2.5427961562892305</v>
      </c>
      <c r="BB87" s="242">
        <f>($AZ87/$E87)*1000</f>
        <v>7.1848501890895919</v>
      </c>
      <c r="BC87" s="138">
        <v>143.1315816</v>
      </c>
      <c r="BD87" s="138">
        <f>($BC87/$D87)</f>
        <v>126.5212736404151</v>
      </c>
      <c r="BE87" s="242">
        <f>($BC87/$E87)*1000</f>
        <v>357.49479744604196</v>
      </c>
      <c r="BF87" s="138">
        <v>52.15578927</v>
      </c>
      <c r="BG87" s="138">
        <f>($BF87/$D87)</f>
        <v>46.103150767960884</v>
      </c>
      <c r="BH87" s="242">
        <f>($BF87/$E87)*1000</f>
        <v>130.26770969962575</v>
      </c>
      <c r="BI87" s="138">
        <v>7.5618616999999999E-2</v>
      </c>
      <c r="BJ87" s="138">
        <f>($BI87/$D87)</f>
        <v>6.6843135713430452E-2</v>
      </c>
      <c r="BK87" s="242">
        <f>($BI87/$E87)*1000</f>
        <v>0.18887000245070179</v>
      </c>
      <c r="BL87" s="138">
        <v>9.0472153999999999E-2</v>
      </c>
      <c r="BM87" s="138">
        <f>($BL87/$D87)</f>
        <v>7.9972931376255926E-2</v>
      </c>
      <c r="BN87" s="242">
        <f>($BL87/$E87)*1000</f>
        <v>0.22596916772096307</v>
      </c>
      <c r="BO87" s="138">
        <v>0.55484645399999999</v>
      </c>
      <c r="BP87" s="138">
        <f>($BO87/$D87)</f>
        <v>0.49045695750872625</v>
      </c>
      <c r="BQ87" s="242">
        <f>($BO87/$E87)*1000</f>
        <v>1.3858207844074057</v>
      </c>
      <c r="BR87" s="138">
        <v>324.23544459999999</v>
      </c>
      <c r="BS87" s="138">
        <f>($BR87/$D87)</f>
        <v>286.6081751601231</v>
      </c>
      <c r="BT87" s="363">
        <f>($BR87/$E87)*1000</f>
        <v>809.83164788912211</v>
      </c>
    </row>
    <row r="88" spans="2:72" x14ac:dyDescent="0.35">
      <c r="B88" s="237">
        <v>80</v>
      </c>
      <c r="C88" s="239" t="s">
        <v>182</v>
      </c>
      <c r="D88" s="360">
        <v>1.8265133440000001</v>
      </c>
      <c r="E88" s="138">
        <v>418.5451051</v>
      </c>
      <c r="F88" s="361">
        <f>$E88/$D88</f>
        <v>229.14976585027347</v>
      </c>
      <c r="G88" s="362">
        <v>13.421193677777778</v>
      </c>
      <c r="H88" s="138">
        <f>$G88/$D88</f>
        <v>7.3479855605028508</v>
      </c>
      <c r="I88" s="242">
        <f>($G88/$E88)*1000</f>
        <v>32.066301849525033</v>
      </c>
      <c r="J88" s="138">
        <v>3.0846463444444443</v>
      </c>
      <c r="K88" s="138">
        <f>($J88/$D88)</f>
        <v>1.688816758211674</v>
      </c>
      <c r="L88" s="242">
        <f>($J88/$E88)*1000</f>
        <v>7.3699257424297242</v>
      </c>
      <c r="M88" s="138">
        <v>61.769276124999998</v>
      </c>
      <c r="N88" s="138">
        <f>($M88/$D88)</f>
        <v>33.8181356998616</v>
      </c>
      <c r="O88" s="242">
        <f>($M88/$E88)*1000</f>
        <v>147.58093063886605</v>
      </c>
      <c r="P88" s="138">
        <v>14.321523689999999</v>
      </c>
      <c r="Q88" s="138">
        <f>($P88/$D88)</f>
        <v>7.8409083279054315</v>
      </c>
      <c r="R88" s="363">
        <f>($P88/$E88)*1000</f>
        <v>34.217396202921215</v>
      </c>
      <c r="S88" s="362">
        <v>1.3799598E-2</v>
      </c>
      <c r="T88" s="138">
        <f>($S88/$D88)</f>
        <v>7.5551586005823341E-3</v>
      </c>
      <c r="U88" s="242">
        <f>($S88/$E88)*1000</f>
        <v>3.2970396336860663E-2</v>
      </c>
      <c r="V88" s="138">
        <v>3.0802355E-2</v>
      </c>
      <c r="W88" s="138">
        <f>($V88/$D88)</f>
        <v>1.6864018596515658E-2</v>
      </c>
      <c r="X88" s="242">
        <f>($V88/$E88)*1000</f>
        <v>7.3593872260531185E-2</v>
      </c>
      <c r="Y88" s="138">
        <v>1.2011595500000001</v>
      </c>
      <c r="Z88" s="138">
        <f>($Y88/$D88)</f>
        <v>0.65762429491454077</v>
      </c>
      <c r="AA88" s="242">
        <f>($Y88/$E88)*1000</f>
        <v>2.8698449351426905</v>
      </c>
      <c r="AB88" s="138">
        <v>0.74095657299999995</v>
      </c>
      <c r="AC88" s="138">
        <f>($AB88/$D88)</f>
        <v>0.40566721038967668</v>
      </c>
      <c r="AD88" s="242">
        <f>($AB88/$E88)*1000</f>
        <v>1.7703147497638718</v>
      </c>
      <c r="AE88" s="138">
        <v>0.111875168</v>
      </c>
      <c r="AF88" s="138">
        <f>($AE88/$D88)</f>
        <v>6.1250671049025741E-2</v>
      </c>
      <c r="AG88" s="242">
        <f>($AE88/$E88)*1000</f>
        <v>0.26729536825731237</v>
      </c>
      <c r="AH88" s="138">
        <v>1.2880605350000001</v>
      </c>
      <c r="AI88" s="138">
        <f>($AH88/$D88)</f>
        <v>0.70520182030490552</v>
      </c>
      <c r="AJ88" s="242">
        <f>($AH88/$E88)*1000</f>
        <v>3.0774712672658131</v>
      </c>
      <c r="AK88" s="138">
        <v>6.3155195639999997</v>
      </c>
      <c r="AL88" s="138">
        <f>($AK88/$D88)</f>
        <v>3.4576914451493868</v>
      </c>
      <c r="AM88" s="364">
        <f>($AK88/$E88)*1000</f>
        <v>15.089220939499645</v>
      </c>
      <c r="AN88" s="138">
        <v>25.217441350000001</v>
      </c>
      <c r="AO88" s="365">
        <f>($AN88/$D88)</f>
        <v>13.806327466940203</v>
      </c>
      <c r="AP88" s="361">
        <f>($AN88/$E88)*1000</f>
        <v>60.250235978688551</v>
      </c>
      <c r="AQ88" s="362">
        <v>216.47875980000001</v>
      </c>
      <c r="AR88" s="138">
        <f>($AQ88/$D88)</f>
        <v>118.52021804884224</v>
      </c>
      <c r="AS88" s="364">
        <f>($AQ88/$E88)*1000</f>
        <v>517.21727756982921</v>
      </c>
      <c r="AT88" s="138">
        <v>4.5902959570000004</v>
      </c>
      <c r="AU88" s="138">
        <f>($AT88/$D88)</f>
        <v>2.5131466857764169</v>
      </c>
      <c r="AV88" s="242">
        <f>($AT88/$E88)*1000</f>
        <v>10.967267090373147</v>
      </c>
      <c r="AW88" s="138">
        <v>152.91026590000001</v>
      </c>
      <c r="AX88" s="138">
        <f>($AW88/$D88)</f>
        <v>83.717026433068312</v>
      </c>
      <c r="AY88" s="242">
        <f>($AW88/$E88)*1000</f>
        <v>365.33760408801402</v>
      </c>
      <c r="AZ88" s="138">
        <v>3.9301718879999998</v>
      </c>
      <c r="BA88" s="138">
        <f>($AZ88/$D88)</f>
        <v>2.1517345607741696</v>
      </c>
      <c r="BB88" s="242">
        <f>($AZ88/$E88)*1000</f>
        <v>9.3900796834333811</v>
      </c>
      <c r="BC88" s="138">
        <v>283.31007360000001</v>
      </c>
      <c r="BD88" s="138">
        <f>($BC88/$D88)</f>
        <v>155.10977487827211</v>
      </c>
      <c r="BE88" s="242">
        <f>($BC88/$E88)*1000</f>
        <v>676.8925741762306</v>
      </c>
      <c r="BF88" s="138">
        <v>407.72393790000001</v>
      </c>
      <c r="BG88" s="138">
        <f>($BF88/$D88)</f>
        <v>223.22527193099992</v>
      </c>
      <c r="BH88" s="242">
        <f>($BF88/$E88)*1000</f>
        <v>974.14575617264825</v>
      </c>
      <c r="BI88" s="138">
        <v>0.99809645599999997</v>
      </c>
      <c r="BJ88" s="138">
        <f>($BI88/$D88)</f>
        <v>0.54644903596171035</v>
      </c>
      <c r="BK88" s="242">
        <f>($BI88/$E88)*1000</f>
        <v>2.3846807520578501</v>
      </c>
      <c r="BL88" s="138">
        <v>1.4857955300000001</v>
      </c>
      <c r="BM88" s="138">
        <f>($BL88/$D88)</f>
        <v>0.81345999189152385</v>
      </c>
      <c r="BN88" s="242">
        <f>($BL88/$E88)*1000</f>
        <v>3.5499054030150696</v>
      </c>
      <c r="BO88" s="138">
        <v>41.100948940000002</v>
      </c>
      <c r="BP88" s="138">
        <f>($BO88/$D88)</f>
        <v>22.502408249583532</v>
      </c>
      <c r="BQ88" s="242">
        <f>($BO88/$E88)*1000</f>
        <v>98.199569028958166</v>
      </c>
      <c r="BR88" s="138">
        <v>352.79938820000001</v>
      </c>
      <c r="BS88" s="138">
        <f>($BR88/$D88)</f>
        <v>193.15456378072867</v>
      </c>
      <c r="BT88" s="363">
        <f>($BR88/$E88)*1000</f>
        <v>842.91844272245919</v>
      </c>
    </row>
    <row r="89" spans="2:72" x14ac:dyDescent="0.35">
      <c r="B89" s="237">
        <v>81</v>
      </c>
      <c r="C89" s="239" t="s">
        <v>184</v>
      </c>
      <c r="D89" s="360">
        <v>1.4662093199999999</v>
      </c>
      <c r="E89" s="138">
        <v>442.72072780000002</v>
      </c>
      <c r="F89" s="361">
        <f>$E89/$D89</f>
        <v>301.94919767663191</v>
      </c>
      <c r="G89" s="362">
        <v>14.744146644444445</v>
      </c>
      <c r="H89" s="138">
        <f>$G89/$D89</f>
        <v>10.055962981086797</v>
      </c>
      <c r="I89" s="242">
        <f>($G89/$E89)*1000</f>
        <v>33.303492966575405</v>
      </c>
      <c r="J89" s="138">
        <v>7.7019048266666665</v>
      </c>
      <c r="K89" s="138">
        <f>($J89/$D89)</f>
        <v>5.2529367543964778</v>
      </c>
      <c r="L89" s="242">
        <f>($J89/$E89)*1000</f>
        <v>17.396756788279443</v>
      </c>
      <c r="M89" s="138">
        <v>75.358312799999993</v>
      </c>
      <c r="N89" s="138">
        <f>($M89/$D89)</f>
        <v>51.396694709320222</v>
      </c>
      <c r="O89" s="242">
        <f>($M89/$E89)*1000</f>
        <v>170.21636455667209</v>
      </c>
      <c r="P89" s="138">
        <v>4.0376413524999997</v>
      </c>
      <c r="Q89" s="138">
        <f>($P89/$D89)</f>
        <v>2.7537959944900634</v>
      </c>
      <c r="R89" s="363">
        <f>($P89/$E89)*1000</f>
        <v>9.1200639567163257</v>
      </c>
      <c r="S89" s="362">
        <v>0</v>
      </c>
      <c r="T89" s="138">
        <f>($S89/$D89)</f>
        <v>0</v>
      </c>
      <c r="U89" s="242">
        <f>($S89/$E89)*1000</f>
        <v>0</v>
      </c>
      <c r="V89" s="138">
        <v>1.2017842000000001E-2</v>
      </c>
      <c r="W89" s="138">
        <f>($V89/$D89)</f>
        <v>8.1965390862472499E-3</v>
      </c>
      <c r="X89" s="242">
        <f>($V89/$E89)*1000</f>
        <v>2.7145424294272223E-2</v>
      </c>
      <c r="Y89" s="138">
        <v>6.6671311999999996E-2</v>
      </c>
      <c r="Z89" s="138">
        <f>($Y89/$D89)</f>
        <v>4.5471892103373074E-2</v>
      </c>
      <c r="AA89" s="242">
        <f>($Y89/$E89)*1000</f>
        <v>0.15059451210090821</v>
      </c>
      <c r="AB89" s="138">
        <v>0</v>
      </c>
      <c r="AC89" s="138">
        <f>($AB89/$D89)</f>
        <v>0</v>
      </c>
      <c r="AD89" s="242">
        <f>($AB89/$E89)*1000</f>
        <v>0</v>
      </c>
      <c r="AE89" s="138">
        <v>0.13997638700000001</v>
      </c>
      <c r="AF89" s="138">
        <f>($AE89/$D89)</f>
        <v>9.5468215275019544E-2</v>
      </c>
      <c r="AG89" s="242">
        <f>($AE89/$E89)*1000</f>
        <v>0.3161731046467619</v>
      </c>
      <c r="AH89" s="138">
        <v>0.40473215099999998</v>
      </c>
      <c r="AI89" s="138">
        <f>($AH89/$D89)</f>
        <v>0.27603981606118833</v>
      </c>
      <c r="AJ89" s="242">
        <f>($AH89/$E89)*1000</f>
        <v>0.91419291120888868</v>
      </c>
      <c r="AK89" s="138">
        <v>1.796972776</v>
      </c>
      <c r="AL89" s="138">
        <f>($AK89/$D89)</f>
        <v>1.2255908835717946</v>
      </c>
      <c r="AM89" s="364">
        <f>($AK89/$E89)*1000</f>
        <v>4.0589307506103172</v>
      </c>
      <c r="AN89" s="138">
        <v>52.714799849999999</v>
      </c>
      <c r="AO89" s="365">
        <f>($AN89/$D89)</f>
        <v>35.953120152039411</v>
      </c>
      <c r="AP89" s="361">
        <f>($AN89/$E89)*1000</f>
        <v>119.07009665428183</v>
      </c>
      <c r="AQ89" s="362">
        <v>64.908150340000006</v>
      </c>
      <c r="AR89" s="138">
        <f>($AQ89/$D89)</f>
        <v>44.269361444244545</v>
      </c>
      <c r="AS89" s="364">
        <f>($AQ89/$E89)*1000</f>
        <v>146.61195255651637</v>
      </c>
      <c r="AT89" s="138">
        <v>1.661808972</v>
      </c>
      <c r="AU89" s="138">
        <f>($AT89/$D89)</f>
        <v>1.1334049984077308</v>
      </c>
      <c r="AV89" s="242">
        <f>($AT89/$E89)*1000</f>
        <v>3.7536281173415618</v>
      </c>
      <c r="AW89" s="138">
        <v>14.27940795</v>
      </c>
      <c r="AX89" s="138">
        <f>($AW89/$D89)</f>
        <v>9.7389968507361555</v>
      </c>
      <c r="AY89" s="242">
        <f>($AW89/$E89)*1000</f>
        <v>32.25375965782824</v>
      </c>
      <c r="AZ89" s="138">
        <v>1.0223131839999999</v>
      </c>
      <c r="BA89" s="138">
        <f>($AZ89/$D89)</f>
        <v>0.69724913766064456</v>
      </c>
      <c r="BB89" s="242">
        <f>($AZ89/$E89)*1000</f>
        <v>2.3091604250836704</v>
      </c>
      <c r="BC89" s="138">
        <v>207.905914</v>
      </c>
      <c r="BD89" s="138">
        <f>($BC89/$D89)</f>
        <v>141.79824883393866</v>
      </c>
      <c r="BE89" s="242">
        <f>($BC89/$E89)*1000</f>
        <v>469.60962282733215</v>
      </c>
      <c r="BF89" s="138">
        <v>18.0973173</v>
      </c>
      <c r="BG89" s="138">
        <f>($BF89/$D89)</f>
        <v>12.342928839110094</v>
      </c>
      <c r="BH89" s="242">
        <f>($BF89/$E89)*1000</f>
        <v>40.877501692614452</v>
      </c>
      <c r="BI89" s="138">
        <v>6.6857587999999996E-2</v>
      </c>
      <c r="BJ89" s="138">
        <f>($BI89/$D89)</f>
        <v>4.5598938083410902E-2</v>
      </c>
      <c r="BK89" s="242">
        <f>($BI89/$E89)*1000</f>
        <v>0.15101526493289252</v>
      </c>
      <c r="BL89" s="138">
        <v>0.18691388</v>
      </c>
      <c r="BM89" s="138">
        <f>($BL89/$D89)</f>
        <v>0.1274810338813015</v>
      </c>
      <c r="BN89" s="242">
        <f>($BL89/$E89)*1000</f>
        <v>0.42219364999878373</v>
      </c>
      <c r="BO89" s="138">
        <v>13.53627505</v>
      </c>
      <c r="BP89" s="138">
        <f>($BO89/$D89)</f>
        <v>9.2321572816083322</v>
      </c>
      <c r="BQ89" s="242">
        <f>($BO89/$E89)*1000</f>
        <v>30.57520057230083</v>
      </c>
      <c r="BR89" s="138">
        <v>139.3067231</v>
      </c>
      <c r="BS89" s="138">
        <f>($BR89/$D89)</f>
        <v>95.011483830971699</v>
      </c>
      <c r="BT89" s="363">
        <f>($BR89/$E89)*1000</f>
        <v>314.66049442106106</v>
      </c>
    </row>
    <row r="90" spans="2:72" x14ac:dyDescent="0.35">
      <c r="B90" s="237">
        <v>82</v>
      </c>
      <c r="C90" s="239" t="s">
        <v>186</v>
      </c>
      <c r="D90" s="360">
        <v>1.3446678519999999</v>
      </c>
      <c r="E90" s="138">
        <v>512.45136730000002</v>
      </c>
      <c r="F90" s="361">
        <f>$E90/$D90</f>
        <v>381.09884648301983</v>
      </c>
      <c r="G90" s="362">
        <v>27.213435977777777</v>
      </c>
      <c r="H90" s="138">
        <f>$G90/$D90</f>
        <v>20.238035688368473</v>
      </c>
      <c r="I90" s="242">
        <f>($G90/$E90)*1000</f>
        <v>53.104426515943807</v>
      </c>
      <c r="J90" s="138">
        <v>3.7471087655555553</v>
      </c>
      <c r="K90" s="138">
        <f>($J90/$D90)</f>
        <v>2.786642634448552</v>
      </c>
      <c r="L90" s="242">
        <f>($J90/$E90)*1000</f>
        <v>7.3121256077397048</v>
      </c>
      <c r="M90" s="138">
        <v>61.187938299999999</v>
      </c>
      <c r="N90" s="138">
        <f>($M90/$D90)</f>
        <v>45.50412818228066</v>
      </c>
      <c r="O90" s="242">
        <f>($M90/$E90)*1000</f>
        <v>119.40242958543864</v>
      </c>
      <c r="P90" s="138">
        <v>6.8630514199999997</v>
      </c>
      <c r="Q90" s="138">
        <f>($P90/$D90)</f>
        <v>5.1039008702351278</v>
      </c>
      <c r="R90" s="363">
        <f>($P90/$E90)*1000</f>
        <v>13.392590707992436</v>
      </c>
      <c r="S90" s="362">
        <v>0.109963507</v>
      </c>
      <c r="T90" s="138">
        <f>($S90/$D90)</f>
        <v>8.1777449231380903E-2</v>
      </c>
      <c r="U90" s="242">
        <f>($S90/$E90)*1000</f>
        <v>0.21458330295687358</v>
      </c>
      <c r="V90" s="138">
        <v>0</v>
      </c>
      <c r="W90" s="138">
        <f>($V90/$D90)</f>
        <v>0</v>
      </c>
      <c r="X90" s="242">
        <f>($V90/$E90)*1000</f>
        <v>0</v>
      </c>
      <c r="Y90" s="138">
        <v>4.0618804099999997</v>
      </c>
      <c r="Z90" s="138">
        <f>($Y90/$D90)</f>
        <v>3.0207314051262077</v>
      </c>
      <c r="AA90" s="242">
        <f>($Y90/$E90)*1000</f>
        <v>7.9263724700378981</v>
      </c>
      <c r="AB90" s="138">
        <v>0.776521978</v>
      </c>
      <c r="AC90" s="138">
        <f>($AB90/$D90)</f>
        <v>0.57748236997339919</v>
      </c>
      <c r="AD90" s="242">
        <f>($AB90/$E90)*1000</f>
        <v>1.5153086274144085</v>
      </c>
      <c r="AE90" s="138">
        <v>4.0017561E-2</v>
      </c>
      <c r="AF90" s="138">
        <f>($AE90/$D90)</f>
        <v>2.9760182739908325E-2</v>
      </c>
      <c r="AG90" s="242">
        <f>($AE90/$E90)*1000</f>
        <v>7.8090456097022878E-2</v>
      </c>
      <c r="AH90" s="138">
        <v>3.7075800000000002E-5</v>
      </c>
      <c r="AI90" s="138">
        <f>($AH90/$D90)</f>
        <v>2.7572459581639499E-5</v>
      </c>
      <c r="AJ90" s="242">
        <f>($AH90/$E90)*1000</f>
        <v>7.2349889893639471E-5</v>
      </c>
      <c r="AK90" s="138">
        <v>23.763102459999999</v>
      </c>
      <c r="AL90" s="138">
        <f>($AK90/$D90)</f>
        <v>17.672098298963423</v>
      </c>
      <c r="AM90" s="364">
        <f>($AK90/$E90)*1000</f>
        <v>46.371429517698154</v>
      </c>
      <c r="AN90" s="138">
        <v>0.28692311625</v>
      </c>
      <c r="AO90" s="365">
        <f>($AN90/$D90)</f>
        <v>0.21337843083200297</v>
      </c>
      <c r="AP90" s="361">
        <f>($AN90/$E90)*1000</f>
        <v>0.55990311385398073</v>
      </c>
      <c r="AQ90" s="362">
        <v>105.8309996</v>
      </c>
      <c r="AR90" s="138">
        <f>($AQ90/$D90)</f>
        <v>78.704194082272153</v>
      </c>
      <c r="AS90" s="364">
        <f>($AQ90/$E90)*1000</f>
        <v>206.51910864752219</v>
      </c>
      <c r="AT90" s="138">
        <v>4.4814272339999999</v>
      </c>
      <c r="AU90" s="138">
        <f>($AT90/$D90)</f>
        <v>3.3327391796676937</v>
      </c>
      <c r="AV90" s="242">
        <f>($AT90/$E90)*1000</f>
        <v>8.7450781088002767</v>
      </c>
      <c r="AW90" s="138">
        <v>38.228062459999997</v>
      </c>
      <c r="AX90" s="138">
        <f>($AW90/$D90)</f>
        <v>28.429371910052922</v>
      </c>
      <c r="AY90" s="242">
        <f>($AW90/$E90)*1000</f>
        <v>74.59842025871788</v>
      </c>
      <c r="AZ90" s="138">
        <v>1.6691641340000001</v>
      </c>
      <c r="BA90" s="138">
        <f>($AZ90/$D90)</f>
        <v>1.2413207704172882</v>
      </c>
      <c r="BB90" s="242">
        <f>($AZ90/$E90)*1000</f>
        <v>3.2572147144313024</v>
      </c>
      <c r="BC90" s="138">
        <v>251.5232383</v>
      </c>
      <c r="BD90" s="138">
        <f>($BC90/$D90)</f>
        <v>187.05231773474421</v>
      </c>
      <c r="BE90" s="242">
        <f>($BC90/$E90)*1000</f>
        <v>490.82362610372923</v>
      </c>
      <c r="BF90" s="138">
        <v>13.723594909999999</v>
      </c>
      <c r="BG90" s="138">
        <f>($BF90/$D90)</f>
        <v>10.205936647915042</v>
      </c>
      <c r="BH90" s="242">
        <f>($BF90/$E90)*1000</f>
        <v>26.780287429628249</v>
      </c>
      <c r="BI90" s="138">
        <v>0.20161327600000001</v>
      </c>
      <c r="BJ90" s="138">
        <f>($BI90/$D90)</f>
        <v>0.14993537303664192</v>
      </c>
      <c r="BK90" s="242">
        <f>($BI90/$E90)*1000</f>
        <v>0.39342909174437091</v>
      </c>
      <c r="BL90" s="138">
        <v>0.106408954</v>
      </c>
      <c r="BM90" s="138">
        <f>($BL90/$D90)</f>
        <v>7.9134006098035281E-2</v>
      </c>
      <c r="BN90" s="242">
        <f>($BL90/$E90)*1000</f>
        <v>0.20764693157254455</v>
      </c>
      <c r="BO90" s="138">
        <v>1.2565526709999999</v>
      </c>
      <c r="BP90" s="138">
        <f>($BO90/$D90)</f>
        <v>0.93447067179531262</v>
      </c>
      <c r="BQ90" s="242">
        <f>($BO90/$E90)*1000</f>
        <v>2.4520427716302433</v>
      </c>
      <c r="BR90" s="138">
        <v>635.86977320000005</v>
      </c>
      <c r="BS90" s="138">
        <f>($BR90/$D90)</f>
        <v>472.88240903077684</v>
      </c>
      <c r="BT90" s="363">
        <f>($BR90/$E90)*1000</f>
        <v>1240.8392557332145</v>
      </c>
    </row>
    <row r="91" spans="2:72" x14ac:dyDescent="0.35">
      <c r="B91" s="237">
        <v>83</v>
      </c>
      <c r="C91" s="239" t="s">
        <v>188</v>
      </c>
      <c r="D91" s="360">
        <v>1.4983304669999999</v>
      </c>
      <c r="E91" s="138">
        <v>417.93666839999997</v>
      </c>
      <c r="F91" s="361">
        <f>$E91/$D91</f>
        <v>278.93490628726568</v>
      </c>
      <c r="G91" s="362">
        <v>11.112102733333334</v>
      </c>
      <c r="H91" s="138">
        <f>$G91/$D91</f>
        <v>7.4163230195687762</v>
      </c>
      <c r="I91" s="242">
        <f>($G91/$E91)*1000</f>
        <v>26.588006206476557</v>
      </c>
      <c r="J91" s="138">
        <v>1.89199411</v>
      </c>
      <c r="K91" s="138">
        <f>($J91/$D91)</f>
        <v>1.2627348583441707</v>
      </c>
      <c r="L91" s="242">
        <f>($J91/$E91)*1000</f>
        <v>4.526987587002548</v>
      </c>
      <c r="M91" s="138">
        <v>73.579491450000006</v>
      </c>
      <c r="N91" s="138">
        <f>($M91/$D91)</f>
        <v>49.10765219726391</v>
      </c>
      <c r="O91" s="242">
        <f>($M91/$E91)*1000</f>
        <v>176.05416565071133</v>
      </c>
      <c r="P91" s="138">
        <v>8.5573540549999993</v>
      </c>
      <c r="Q91" s="138">
        <f>($P91/$D91)</f>
        <v>5.7112594607608678</v>
      </c>
      <c r="R91" s="363">
        <f>($P91/$E91)*1000</f>
        <v>20.475241111913881</v>
      </c>
      <c r="S91" s="362">
        <v>0</v>
      </c>
      <c r="T91" s="138">
        <f>($S91/$D91)</f>
        <v>0</v>
      </c>
      <c r="U91" s="242">
        <f>($S91/$E91)*1000</f>
        <v>0</v>
      </c>
      <c r="V91" s="138">
        <v>0</v>
      </c>
      <c r="W91" s="138">
        <f>($V91/$D91)</f>
        <v>0</v>
      </c>
      <c r="X91" s="242">
        <f>($V91/$E91)*1000</f>
        <v>0</v>
      </c>
      <c r="Y91" s="138">
        <v>4.7723272620000001</v>
      </c>
      <c r="Z91" s="138">
        <f>($Y91/$D91)</f>
        <v>3.1850965905774378</v>
      </c>
      <c r="AA91" s="242">
        <f>($Y91/$E91)*1000</f>
        <v>11.418780937001891</v>
      </c>
      <c r="AB91" s="138">
        <v>3.0100504940000001</v>
      </c>
      <c r="AC91" s="138">
        <f>($AB91/$D91)</f>
        <v>2.0089363196537069</v>
      </c>
      <c r="AD91" s="242">
        <f>($AB91/$E91)*1000</f>
        <v>7.2021689446955461</v>
      </c>
      <c r="AE91" s="138">
        <v>0</v>
      </c>
      <c r="AF91" s="138">
        <f>($AE91/$D91)</f>
        <v>0</v>
      </c>
      <c r="AG91" s="242">
        <f>($AE91/$E91)*1000</f>
        <v>0</v>
      </c>
      <c r="AH91" s="138">
        <v>1.0593460000000001E-2</v>
      </c>
      <c r="AI91" s="138">
        <f>($AH91/$D91)</f>
        <v>7.0701759280184222E-3</v>
      </c>
      <c r="AJ91" s="242">
        <f>($AH91/$E91)*1000</f>
        <v>2.5347046098049435E-2</v>
      </c>
      <c r="AK91" s="138">
        <v>5.8527984489999998</v>
      </c>
      <c r="AL91" s="138">
        <f>($AK91/$D91)</f>
        <v>3.9062133340441512</v>
      </c>
      <c r="AM91" s="364">
        <f>($AK91/$E91)*1000</f>
        <v>14.004031930020524</v>
      </c>
      <c r="AN91" s="138">
        <v>4.1170090950000002</v>
      </c>
      <c r="AO91" s="365">
        <f>($AN91/$D91)</f>
        <v>2.7477310150698555</v>
      </c>
      <c r="AP91" s="361">
        <f>($AN91/$E91)*1000</f>
        <v>9.8507965591085256</v>
      </c>
      <c r="AQ91" s="362">
        <v>51.902306240000001</v>
      </c>
      <c r="AR91" s="138">
        <f>($AQ91/$D91)</f>
        <v>34.640092678566617</v>
      </c>
      <c r="AS91" s="364">
        <f>($AQ91/$E91)*1000</f>
        <v>124.18701244544832</v>
      </c>
      <c r="AT91" s="138">
        <v>10.50034984</v>
      </c>
      <c r="AU91" s="138">
        <f>($AT91/$D91)</f>
        <v>7.0080333219307089</v>
      </c>
      <c r="AV91" s="242">
        <f>($AT91/$E91)*1000</f>
        <v>25.124260764672357</v>
      </c>
      <c r="AW91" s="138">
        <v>42.99217075</v>
      </c>
      <c r="AX91" s="138">
        <f>($AW91/$D91)</f>
        <v>28.693383533794218</v>
      </c>
      <c r="AY91" s="242">
        <f>($AW91/$E91)*1000</f>
        <v>102.86766871781859</v>
      </c>
      <c r="AZ91" s="138">
        <v>2.8237738060000002</v>
      </c>
      <c r="BA91" s="138">
        <f>($AZ91/$D91)</f>
        <v>1.8846134869391269</v>
      </c>
      <c r="BB91" s="242">
        <f>($AZ91/$E91)*1000</f>
        <v>6.7564634058321369</v>
      </c>
      <c r="BC91" s="138">
        <v>318.30200769999999</v>
      </c>
      <c r="BD91" s="138">
        <f>($BC91/$D91)</f>
        <v>212.43778639655733</v>
      </c>
      <c r="BE91" s="242">
        <f>($BC91/$E91)*1000</f>
        <v>761.6034480022189</v>
      </c>
      <c r="BF91" s="138">
        <v>3.4484237000000001E-2</v>
      </c>
      <c r="BG91" s="138">
        <f>($BF91/$D91)</f>
        <v>2.3015107654485147E-2</v>
      </c>
      <c r="BH91" s="242">
        <f>($BF91/$E91)*1000</f>
        <v>8.2510675916561915E-2</v>
      </c>
      <c r="BI91" s="138">
        <v>0.20780111800000001</v>
      </c>
      <c r="BJ91" s="138">
        <f>($BI91/$D91)</f>
        <v>0.13868844195370689</v>
      </c>
      <c r="BK91" s="242">
        <f>($BI91/$E91)*1000</f>
        <v>0.49720719360550852</v>
      </c>
      <c r="BL91" s="138">
        <v>0</v>
      </c>
      <c r="BM91" s="138">
        <f>($BL91/$D91)</f>
        <v>0</v>
      </c>
      <c r="BN91" s="242">
        <f>($BL91/$E91)*1000</f>
        <v>0</v>
      </c>
      <c r="BO91" s="138">
        <v>0</v>
      </c>
      <c r="BP91" s="138">
        <f>($BO91/$D91)</f>
        <v>0</v>
      </c>
      <c r="BQ91" s="242">
        <f>($BO91/$E91)*1000</f>
        <v>0</v>
      </c>
      <c r="BR91" s="138">
        <v>527.09734619999995</v>
      </c>
      <c r="BS91" s="138">
        <f>($BR91/$D91)</f>
        <v>351.78978056514416</v>
      </c>
      <c r="BT91" s="363">
        <f>($BR91/$E91)*1000</f>
        <v>1261.1895199765631</v>
      </c>
    </row>
    <row r="92" spans="2:72" x14ac:dyDescent="0.35">
      <c r="B92" s="237">
        <v>84</v>
      </c>
      <c r="C92" s="239" t="s">
        <v>190</v>
      </c>
      <c r="D92" s="360">
        <v>1.1668791469999999</v>
      </c>
      <c r="E92" s="138">
        <v>474.50482729999999</v>
      </c>
      <c r="F92" s="361">
        <f>$E92/$D92</f>
        <v>406.64436288876453</v>
      </c>
      <c r="G92" s="362">
        <v>20.554616744444445</v>
      </c>
      <c r="H92" s="138">
        <f>$G92/$D92</f>
        <v>17.615034767987371</v>
      </c>
      <c r="I92" s="242">
        <f>($G92/$E92)*1000</f>
        <v>43.318035058574935</v>
      </c>
      <c r="J92" s="138">
        <v>4.3432861166666665</v>
      </c>
      <c r="K92" s="138">
        <f>($J92/$D92)</f>
        <v>3.7221387731823667</v>
      </c>
      <c r="L92" s="242">
        <f>($J92/$E92)*1000</f>
        <v>9.1533022780412647</v>
      </c>
      <c r="M92" s="138">
        <v>62.813937475000003</v>
      </c>
      <c r="N92" s="138">
        <f>($M92/$D92)</f>
        <v>53.830713863121254</v>
      </c>
      <c r="O92" s="242">
        <f>($M92/$E92)*1000</f>
        <v>132.37786817137405</v>
      </c>
      <c r="P92" s="138">
        <v>9.6292778375000001</v>
      </c>
      <c r="Q92" s="138">
        <f>($P92/$D92)</f>
        <v>8.2521637842757691</v>
      </c>
      <c r="R92" s="363">
        <f>($P92/$E92)*1000</f>
        <v>20.293319021203562</v>
      </c>
      <c r="S92" s="362">
        <v>0</v>
      </c>
      <c r="T92" s="138">
        <f>($S92/$D92)</f>
        <v>0</v>
      </c>
      <c r="U92" s="242">
        <f>($S92/$E92)*1000</f>
        <v>0</v>
      </c>
      <c r="V92" s="138">
        <v>6.6856299999999995E-4</v>
      </c>
      <c r="W92" s="138">
        <f>($V92/$D92)</f>
        <v>5.7294965097186713E-4</v>
      </c>
      <c r="X92" s="242">
        <f>($V92/$E92)*1000</f>
        <v>1.4089698598098962E-3</v>
      </c>
      <c r="Y92" s="138">
        <v>4.289993205</v>
      </c>
      <c r="Z92" s="138">
        <f>($Y92/$D92)</f>
        <v>3.6764674525458805</v>
      </c>
      <c r="AA92" s="242">
        <f>($Y92/$E92)*1000</f>
        <v>9.040989592056782</v>
      </c>
      <c r="AB92" s="138">
        <v>0.17417039200000001</v>
      </c>
      <c r="AC92" s="138">
        <f>($AB92/$D92)</f>
        <v>0.14926172298801052</v>
      </c>
      <c r="AD92" s="242">
        <f>($AB92/$E92)*1000</f>
        <v>0.36705715512116988</v>
      </c>
      <c r="AE92" s="138">
        <v>5.3877573999999998E-2</v>
      </c>
      <c r="AF92" s="138">
        <f>($AE92/$D92)</f>
        <v>4.6172368525495638E-2</v>
      </c>
      <c r="AG92" s="242">
        <f>($AE92/$E92)*1000</f>
        <v>0.1135448385353023</v>
      </c>
      <c r="AH92" s="138">
        <v>0.25686829900000002</v>
      </c>
      <c r="AI92" s="138">
        <f>($AH92/$D92)</f>
        <v>0.22013273581964185</v>
      </c>
      <c r="AJ92" s="242">
        <f>($AH92/$E92)*1000</f>
        <v>0.54133969608194976</v>
      </c>
      <c r="AK92" s="138">
        <v>13.12381259</v>
      </c>
      <c r="AL92" s="138">
        <f>($AK92/$D92)</f>
        <v>11.246933860923646</v>
      </c>
      <c r="AM92" s="364">
        <f>($AK92/$E92)*1000</f>
        <v>27.657911647972817</v>
      </c>
      <c r="AN92" s="138">
        <v>4.1421262499999996</v>
      </c>
      <c r="AO92" s="365">
        <f>($AN92/$D92)</f>
        <v>3.5497474272714893</v>
      </c>
      <c r="AP92" s="361">
        <f>($AN92/$E92)*1000</f>
        <v>8.7293658814163972</v>
      </c>
      <c r="AQ92" s="362">
        <v>96.558453470000003</v>
      </c>
      <c r="AR92" s="138">
        <f>($AQ92/$D92)</f>
        <v>82.74931788630208</v>
      </c>
      <c r="AS92" s="364">
        <f>($AQ92/$E92)*1000</f>
        <v>203.49308987946731</v>
      </c>
      <c r="AT92" s="138">
        <v>3.0921206080000001</v>
      </c>
      <c r="AU92" s="138">
        <f>($AT92/$D92)</f>
        <v>2.6499064757046344</v>
      </c>
      <c r="AV92" s="242">
        <f>($AT92/$E92)*1000</f>
        <v>6.5165208657509481</v>
      </c>
      <c r="AW92" s="138">
        <v>174.6455575</v>
      </c>
      <c r="AX92" s="138">
        <f>($AW92/$D92)</f>
        <v>149.66893353866749</v>
      </c>
      <c r="AY92" s="242">
        <f>($AW92/$E92)*1000</f>
        <v>368.05854746253709</v>
      </c>
      <c r="AZ92" s="138">
        <v>4.0979434100000001</v>
      </c>
      <c r="BA92" s="138">
        <f>($AZ92/$D92)</f>
        <v>3.5118833175960424</v>
      </c>
      <c r="BB92" s="242">
        <f>($AZ92/$E92)*1000</f>
        <v>8.6362523081543383</v>
      </c>
      <c r="BC92" s="138">
        <v>177.24053470000001</v>
      </c>
      <c r="BD92" s="138">
        <f>($BC92/$D92)</f>
        <v>151.89279468716055</v>
      </c>
      <c r="BE92" s="242">
        <f>($BC92/$E92)*1000</f>
        <v>373.52735842230283</v>
      </c>
      <c r="BF92" s="138">
        <v>6.1755249479999996</v>
      </c>
      <c r="BG92" s="138">
        <f>($BF92/$D92)</f>
        <v>5.2923432249835205</v>
      </c>
      <c r="BH92" s="242">
        <f>($BF92/$E92)*1000</f>
        <v>13.014672544301849</v>
      </c>
      <c r="BI92" s="138">
        <v>0.126832377</v>
      </c>
      <c r="BJ92" s="138">
        <f>($BI92/$D92)</f>
        <v>0.10869367005664726</v>
      </c>
      <c r="BK92" s="242">
        <f>($BI92/$E92)*1000</f>
        <v>0.26729417637686481</v>
      </c>
      <c r="BL92" s="138">
        <v>0.11522431700000001</v>
      </c>
      <c r="BM92" s="138">
        <f>($BL92/$D92)</f>
        <v>9.8745716123419605E-2</v>
      </c>
      <c r="BN92" s="242">
        <f>($BL92/$E92)*1000</f>
        <v>0.24283065286320218</v>
      </c>
      <c r="BO92" s="138">
        <v>5.4143469999999999E-3</v>
      </c>
      <c r="BP92" s="138">
        <f>($BO92/$D92)</f>
        <v>4.6400237881704127E-3</v>
      </c>
      <c r="BQ92" s="242">
        <f>($BO92/$E92)*1000</f>
        <v>1.1410520375121167E-2</v>
      </c>
      <c r="BR92" s="138">
        <v>850.17591330000005</v>
      </c>
      <c r="BS92" s="138">
        <f>($BR92/$D92)</f>
        <v>728.58951630575336</v>
      </c>
      <c r="BT92" s="363">
        <f>($BR92/$E92)*1000</f>
        <v>1791.7118317586398</v>
      </c>
    </row>
    <row r="93" spans="2:72" x14ac:dyDescent="0.35">
      <c r="B93" s="237">
        <v>85</v>
      </c>
      <c r="C93" s="239" t="s">
        <v>192</v>
      </c>
      <c r="D93" s="360">
        <v>0.54125979199999996</v>
      </c>
      <c r="E93" s="138">
        <v>185.18334390000001</v>
      </c>
      <c r="F93" s="361">
        <f>$E93/$D93</f>
        <v>342.13393759719736</v>
      </c>
      <c r="G93" s="362">
        <v>8.6722814711111109</v>
      </c>
      <c r="H93" s="138">
        <f>$G93/$D93</f>
        <v>16.022401071149787</v>
      </c>
      <c r="I93" s="242">
        <f>($G93/$E93)*1000</f>
        <v>46.830785579691167</v>
      </c>
      <c r="J93" s="138">
        <v>5.0382172144444448</v>
      </c>
      <c r="K93" s="138">
        <f>($J93/$D93)</f>
        <v>9.3083160598865344</v>
      </c>
      <c r="L93" s="242">
        <f>($J93/$E93)*1000</f>
        <v>27.206643472023647</v>
      </c>
      <c r="M93" s="138">
        <v>23.995264047500001</v>
      </c>
      <c r="N93" s="138">
        <f>($M93/$D93)</f>
        <v>44.33224932307553</v>
      </c>
      <c r="O93" s="242">
        <f>($M93/$E93)*1000</f>
        <v>129.57571422005196</v>
      </c>
      <c r="P93" s="138">
        <v>3.1817615025000001</v>
      </c>
      <c r="Q93" s="138">
        <f>($P93/$D93)</f>
        <v>5.8784368422105153</v>
      </c>
      <c r="R93" s="363">
        <f>($P93/$E93)*1000</f>
        <v>17.181682949942669</v>
      </c>
      <c r="S93" s="362">
        <v>0</v>
      </c>
      <c r="T93" s="138">
        <f>($S93/$D93)</f>
        <v>0</v>
      </c>
      <c r="U93" s="242">
        <f>($S93/$E93)*1000</f>
        <v>0</v>
      </c>
      <c r="V93" s="138">
        <v>9.1162299999999995E-3</v>
      </c>
      <c r="W93" s="138">
        <f>($V93/$D93)</f>
        <v>1.6842614461190199E-2</v>
      </c>
      <c r="X93" s="242">
        <f>($V93/$E93)*1000</f>
        <v>4.9228131472357536E-2</v>
      </c>
      <c r="Y93" s="138">
        <v>6.6738605000000006E-2</v>
      </c>
      <c r="Z93" s="138">
        <f>($Y93/$D93)</f>
        <v>0.12330235126720814</v>
      </c>
      <c r="AA93" s="242">
        <f>($Y93/$E93)*1000</f>
        <v>0.36039205035653321</v>
      </c>
      <c r="AB93" s="138">
        <v>0</v>
      </c>
      <c r="AC93" s="138">
        <f>($AB93/$D93)</f>
        <v>0</v>
      </c>
      <c r="AD93" s="242">
        <f>($AB93/$E93)*1000</f>
        <v>0</v>
      </c>
      <c r="AE93" s="138">
        <v>0.193868499</v>
      </c>
      <c r="AF93" s="138">
        <f>($AE93/$D93)</f>
        <v>0.35818012323368742</v>
      </c>
      <c r="AG93" s="242">
        <f>($AE93/$E93)*1000</f>
        <v>1.0469003038669071</v>
      </c>
      <c r="AH93" s="138">
        <v>1.4498893000000001E-2</v>
      </c>
      <c r="AI93" s="138">
        <f>($AH93/$D93)</f>
        <v>2.6787308450209067E-2</v>
      </c>
      <c r="AJ93" s="242">
        <f>($AH93/$E93)*1000</f>
        <v>7.8294800680505483E-2</v>
      </c>
      <c r="AK93" s="138">
        <v>5.3378400999999999E-2</v>
      </c>
      <c r="AL93" s="138">
        <f>($AK93/$D93)</f>
        <v>9.8618818151561496E-2</v>
      </c>
      <c r="AM93" s="364">
        <f>($AK93/$E93)*1000</f>
        <v>0.28824623141498418</v>
      </c>
      <c r="AN93" s="138">
        <v>16.2465229825</v>
      </c>
      <c r="AO93" s="365">
        <f>($AN93/$D93)</f>
        <v>30.01612760199265</v>
      </c>
      <c r="AP93" s="361">
        <f>($AN93/$E93)*1000</f>
        <v>87.732096420470782</v>
      </c>
      <c r="AQ93" s="362">
        <v>102.82789769999999</v>
      </c>
      <c r="AR93" s="138">
        <f>($AQ93/$D93)</f>
        <v>189.97882203671986</v>
      </c>
      <c r="AS93" s="364">
        <f>($AQ93/$E93)*1000</f>
        <v>555.27616865762832</v>
      </c>
      <c r="AT93" s="138">
        <v>0.65157791200000004</v>
      </c>
      <c r="AU93" s="138">
        <f>($AT93/$D93)</f>
        <v>1.2038173195765483</v>
      </c>
      <c r="AV93" s="242">
        <f>($AT93/$E93)*1000</f>
        <v>3.5185557095883069</v>
      </c>
      <c r="AW93" s="138">
        <v>7.8352449980000003</v>
      </c>
      <c r="AX93" s="138">
        <f>($AW93/$D93)</f>
        <v>14.475941338720391</v>
      </c>
      <c r="AY93" s="242">
        <f>($AW93/$E93)*1000</f>
        <v>42.310743682385791</v>
      </c>
      <c r="AZ93" s="138">
        <v>0.29900191700000001</v>
      </c>
      <c r="BA93" s="138">
        <f>($AZ93/$D93)</f>
        <v>0.55241849001043108</v>
      </c>
      <c r="BB93" s="242">
        <f>($AZ93/$E93)*1000</f>
        <v>1.6146264059334765</v>
      </c>
      <c r="BC93" s="138">
        <v>172.2290777</v>
      </c>
      <c r="BD93" s="138">
        <f>($BC93/$D93)</f>
        <v>318.20039146746745</v>
      </c>
      <c r="BE93" s="242">
        <f>($BC93/$E93)*1000</f>
        <v>930.04626697422975</v>
      </c>
      <c r="BF93" s="138">
        <v>84.918668289999999</v>
      </c>
      <c r="BG93" s="138">
        <f>($BF93/$D93)</f>
        <v>156.89077508643024</v>
      </c>
      <c r="BH93" s="242">
        <f>($BF93/$E93)*1000</f>
        <v>458.56536825394261</v>
      </c>
      <c r="BI93" s="138">
        <v>4.1619123000000001E-2</v>
      </c>
      <c r="BJ93" s="138">
        <f>($BI93/$D93)</f>
        <v>7.6893062472299809E-2</v>
      </c>
      <c r="BK93" s="242">
        <f>($BI93/$E93)*1000</f>
        <v>0.22474549883101014</v>
      </c>
      <c r="BL93" s="138">
        <v>0.284437632</v>
      </c>
      <c r="BM93" s="138">
        <f>($BL93/$D93)</f>
        <v>0.52551036711775556</v>
      </c>
      <c r="BN93" s="242">
        <f>($BL93/$E93)*1000</f>
        <v>1.5359784849419171</v>
      </c>
      <c r="BO93" s="138">
        <v>0.79091485500000003</v>
      </c>
      <c r="BP93" s="138">
        <f>($BO93/$D93)</f>
        <v>1.4612481227868486</v>
      </c>
      <c r="BQ93" s="242">
        <f>($BO93/$E93)*1000</f>
        <v>4.2709826831245588</v>
      </c>
      <c r="BR93" s="138">
        <v>79.963415769999997</v>
      </c>
      <c r="BS93" s="138">
        <f>($BR93/$D93)</f>
        <v>147.73573975360063</v>
      </c>
      <c r="BT93" s="363">
        <f>($BR93/$E93)*1000</f>
        <v>431.80673858649334</v>
      </c>
    </row>
    <row r="94" spans="2:72" x14ac:dyDescent="0.35">
      <c r="B94" s="237">
        <v>86</v>
      </c>
      <c r="C94" s="239" t="s">
        <v>194</v>
      </c>
      <c r="D94" s="360">
        <v>0.99732577099999997</v>
      </c>
      <c r="E94" s="138">
        <v>400.41301950000002</v>
      </c>
      <c r="F94" s="361">
        <f>$E94/$D94</f>
        <v>401.48668684106434</v>
      </c>
      <c r="G94" s="362">
        <v>6.8724799888888883</v>
      </c>
      <c r="H94" s="138">
        <f>$G94/$D94</f>
        <v>6.890907854509746</v>
      </c>
      <c r="I94" s="242">
        <f>($G94/$E94)*1000</f>
        <v>17.163477844628098</v>
      </c>
      <c r="J94" s="138">
        <v>1.2068741455555554</v>
      </c>
      <c r="K94" s="138">
        <f>($J94/$D94)</f>
        <v>1.2101102574993576</v>
      </c>
      <c r="L94" s="242">
        <f>($J94/$E94)*1000</f>
        <v>3.0140731863878751</v>
      </c>
      <c r="M94" s="138">
        <v>76.028570224999996</v>
      </c>
      <c r="N94" s="138">
        <f>($M94/$D94)</f>
        <v>76.232433208627072</v>
      </c>
      <c r="O94" s="242">
        <f>($M94/$E94)*1000</f>
        <v>189.87536998656458</v>
      </c>
      <c r="P94" s="138">
        <v>9.7041838325000001</v>
      </c>
      <c r="Q94" s="138">
        <f>($P94/$D94)</f>
        <v>9.7302046278918422</v>
      </c>
      <c r="R94" s="363">
        <f>($P94/$E94)*1000</f>
        <v>24.235435312812051</v>
      </c>
      <c r="S94" s="362">
        <v>1.0563706000000001E-2</v>
      </c>
      <c r="T94" s="138">
        <f>($S94/$D94)</f>
        <v>1.0592031517853959E-2</v>
      </c>
      <c r="U94" s="242">
        <f>($S94/$E94)*1000</f>
        <v>2.6382024273813604E-2</v>
      </c>
      <c r="V94" s="138">
        <v>0</v>
      </c>
      <c r="W94" s="138">
        <f>($V94/$D94)</f>
        <v>0</v>
      </c>
      <c r="X94" s="242">
        <f>($V94/$E94)*1000</f>
        <v>0</v>
      </c>
      <c r="Y94" s="138">
        <v>5.2197318729999997</v>
      </c>
      <c r="Z94" s="138">
        <f>($Y94/$D94)</f>
        <v>5.2337280603571203</v>
      </c>
      <c r="AA94" s="242">
        <f>($Y94/$E94)*1000</f>
        <v>13.035869511730498</v>
      </c>
      <c r="AB94" s="138">
        <v>0.184545612</v>
      </c>
      <c r="AC94" s="138">
        <f>($AB94/$D94)</f>
        <v>0.18504045254436727</v>
      </c>
      <c r="AD94" s="242">
        <f>($AB94/$E94)*1000</f>
        <v>0.46088814052660942</v>
      </c>
      <c r="AE94" s="138">
        <v>8.3248860000000001E-3</v>
      </c>
      <c r="AF94" s="138">
        <f>($AE94/$D94)</f>
        <v>8.3472083466296001E-3</v>
      </c>
      <c r="AG94" s="242">
        <f>($AE94/$E94)*1000</f>
        <v>2.0790747539616402E-2</v>
      </c>
      <c r="AH94" s="138">
        <v>0.13723445300000001</v>
      </c>
      <c r="AI94" s="138">
        <f>($AH94/$D94)</f>
        <v>0.13760243341791678</v>
      </c>
      <c r="AJ94" s="242">
        <f>($AH94/$E94)*1000</f>
        <v>0.34273224474909963</v>
      </c>
      <c r="AK94" s="138">
        <v>5.1564677039999998</v>
      </c>
      <c r="AL94" s="138">
        <f>($AK94/$D94)</f>
        <v>5.170294254834813</v>
      </c>
      <c r="AM94" s="364">
        <f>($AK94/$E94)*1000</f>
        <v>12.877872229127153</v>
      </c>
      <c r="AN94" s="138">
        <v>2.2630143125000002</v>
      </c>
      <c r="AO94" s="365">
        <f>($AN94/$D94)</f>
        <v>2.2690823583460777</v>
      </c>
      <c r="AP94" s="361">
        <f>($AN94/$E94)*1000</f>
        <v>5.6517001253501942</v>
      </c>
      <c r="AQ94" s="362">
        <v>37.062345450000002</v>
      </c>
      <c r="AR94" s="138">
        <f>($AQ94/$D94)</f>
        <v>37.1617244111102</v>
      </c>
      <c r="AS94" s="364">
        <f>($AQ94/$E94)*1000</f>
        <v>92.560290612628293</v>
      </c>
      <c r="AT94" s="138">
        <v>3.6318741320000001</v>
      </c>
      <c r="AU94" s="138">
        <f>($AT94/$D94)</f>
        <v>3.6416126381236369</v>
      </c>
      <c r="AV94" s="242">
        <f>($AT94/$E94)*1000</f>
        <v>9.0703197826463278</v>
      </c>
      <c r="AW94" s="138">
        <v>217.6440274</v>
      </c>
      <c r="AX94" s="138">
        <f>($AW94/$D94)</f>
        <v>218.22761802472263</v>
      </c>
      <c r="AY94" s="242">
        <f>($AW94/$E94)*1000</f>
        <v>543.5488278372527</v>
      </c>
      <c r="AZ94" s="138">
        <v>4.1793329129999996</v>
      </c>
      <c r="BA94" s="138">
        <f>($AZ94/$D94)</f>
        <v>4.1905393749220581</v>
      </c>
      <c r="BB94" s="242">
        <f>($AZ94/$E94)*1000</f>
        <v>10.437554998133619</v>
      </c>
      <c r="BC94" s="138">
        <v>212.98791499999999</v>
      </c>
      <c r="BD94" s="138">
        <f>($BC94/$D94)</f>
        <v>213.55902072643823</v>
      </c>
      <c r="BE94" s="242">
        <f>($BC94/$E94)*1000</f>
        <v>531.92055359728374</v>
      </c>
      <c r="BF94" s="138">
        <v>1.3135089150000001</v>
      </c>
      <c r="BG94" s="138">
        <f>($BF94/$D94)</f>
        <v>1.3170309573801238</v>
      </c>
      <c r="BH94" s="242">
        <f>($BF94/$E94)*1000</f>
        <v>3.2803851299345679</v>
      </c>
      <c r="BI94" s="138">
        <v>0.10236627299999999</v>
      </c>
      <c r="BJ94" s="138">
        <f>($BI94/$D94)</f>
        <v>0.10264075789133498</v>
      </c>
      <c r="BK94" s="242">
        <f>($BI94/$E94)*1000</f>
        <v>0.25565170964676881</v>
      </c>
      <c r="BL94" s="138">
        <v>3.1875748000000002E-2</v>
      </c>
      <c r="BM94" s="138">
        <f>($BL94/$D94)</f>
        <v>3.1961219620384201E-2</v>
      </c>
      <c r="BN94" s="242">
        <f>($BL94/$E94)*1000</f>
        <v>7.9607171714355315E-2</v>
      </c>
      <c r="BO94" s="138">
        <v>1.374579443</v>
      </c>
      <c r="BP94" s="138">
        <f>($BO94/$D94)</f>
        <v>1.3782652398741635</v>
      </c>
      <c r="BQ94" s="242">
        <f>($BO94/$E94)*1000</f>
        <v>3.4329039668002101</v>
      </c>
      <c r="BR94" s="138">
        <v>1048.3771750000001</v>
      </c>
      <c r="BS94" s="138">
        <f>($BR94/$D94)</f>
        <v>1051.1882932181848</v>
      </c>
      <c r="BT94" s="363">
        <f>($BR94/$E94)*1000</f>
        <v>2618.2394776002034</v>
      </c>
    </row>
    <row r="95" spans="2:72" x14ac:dyDescent="0.35">
      <c r="B95" s="237">
        <v>87</v>
      </c>
      <c r="C95" s="239" t="s">
        <v>196</v>
      </c>
      <c r="D95" s="360">
        <v>1.3021443100000001</v>
      </c>
      <c r="E95" s="138">
        <v>471.54441359999998</v>
      </c>
      <c r="F95" s="361">
        <f>$E95/$D95</f>
        <v>362.12915110768324</v>
      </c>
      <c r="G95" s="362">
        <v>20.882159588888889</v>
      </c>
      <c r="H95" s="138">
        <f>$G95/$D95</f>
        <v>16.036747562095393</v>
      </c>
      <c r="I95" s="242">
        <f>($G95/$E95)*1000</f>
        <v>44.284608165462721</v>
      </c>
      <c r="J95" s="138">
        <v>3.4020341544444443</v>
      </c>
      <c r="K95" s="138">
        <f>($J95/$D95)</f>
        <v>2.612639880478719</v>
      </c>
      <c r="L95" s="242">
        <f>($J95/$E95)*1000</f>
        <v>7.2146632561536608</v>
      </c>
      <c r="M95" s="138">
        <v>62.775000949999999</v>
      </c>
      <c r="N95" s="138">
        <f>($M95/$D95)</f>
        <v>48.208943100937866</v>
      </c>
      <c r="O95" s="242">
        <f>($M95/$E95)*1000</f>
        <v>133.12638033551292</v>
      </c>
      <c r="P95" s="138">
        <v>10.657527952500001</v>
      </c>
      <c r="Q95" s="138">
        <f>($P95/$D95)</f>
        <v>8.1845981821323637</v>
      </c>
      <c r="R95" s="363">
        <f>($P95/$E95)*1000</f>
        <v>22.601323746230467</v>
      </c>
      <c r="S95" s="362">
        <v>0</v>
      </c>
      <c r="T95" s="138">
        <f>($S95/$D95)</f>
        <v>0</v>
      </c>
      <c r="U95" s="242">
        <f>($S95/$E95)*1000</f>
        <v>0</v>
      </c>
      <c r="V95" s="138">
        <v>0</v>
      </c>
      <c r="W95" s="138">
        <f>($V95/$D95)</f>
        <v>0</v>
      </c>
      <c r="X95" s="242">
        <f>($V95/$E95)*1000</f>
        <v>0</v>
      </c>
      <c r="Y95" s="138">
        <v>2.8956909990000002</v>
      </c>
      <c r="Z95" s="138">
        <f>($Y95/$D95)</f>
        <v>2.223786547130095</v>
      </c>
      <c r="AA95" s="242">
        <f>($Y95/$E95)*1000</f>
        <v>6.1408658770716489</v>
      </c>
      <c r="AB95" s="138">
        <v>2.8956909990000002</v>
      </c>
      <c r="AC95" s="138">
        <f>($AB95/$D95)</f>
        <v>2.223786547130095</v>
      </c>
      <c r="AD95" s="242">
        <f>($AB95/$E95)*1000</f>
        <v>6.1408658770716489</v>
      </c>
      <c r="AE95" s="138">
        <v>1.6148460999999999E-2</v>
      </c>
      <c r="AF95" s="138">
        <f>($AE95/$D95)</f>
        <v>1.24014372876997E-2</v>
      </c>
      <c r="AG95" s="242">
        <f>($AE95/$E95)*1000</f>
        <v>3.42458961112799E-2</v>
      </c>
      <c r="AH95" s="138">
        <v>0</v>
      </c>
      <c r="AI95" s="138">
        <f>($AH95/$D95)</f>
        <v>0</v>
      </c>
      <c r="AJ95" s="242">
        <f>($AH95/$E95)*1000</f>
        <v>0</v>
      </c>
      <c r="AK95" s="138">
        <v>14.572789139999999</v>
      </c>
      <c r="AL95" s="138">
        <f>($AK95/$D95)</f>
        <v>11.191377966394523</v>
      </c>
      <c r="AM95" s="364">
        <f>($AK95/$E95)*1000</f>
        <v>30.904382958848398</v>
      </c>
      <c r="AN95" s="138">
        <v>0</v>
      </c>
      <c r="AO95" s="365">
        <f>($AN95/$D95)</f>
        <v>0</v>
      </c>
      <c r="AP95" s="361">
        <f>($AN95/$E95)*1000</f>
        <v>0</v>
      </c>
      <c r="AQ95" s="362">
        <v>27.716309809999998</v>
      </c>
      <c r="AR95" s="138">
        <f>($AQ95/$D95)</f>
        <v>21.285129149779102</v>
      </c>
      <c r="AS95" s="364">
        <f>($AQ95/$E95)*1000</f>
        <v>58.777729118663871</v>
      </c>
      <c r="AT95" s="138">
        <v>11.86483071</v>
      </c>
      <c r="AU95" s="138">
        <f>($AT95/$D95)</f>
        <v>9.1117632806766249</v>
      </c>
      <c r="AV95" s="242">
        <f>($AT95/$E95)*1000</f>
        <v>25.161639853641987</v>
      </c>
      <c r="AW95" s="138">
        <v>17.762957549999999</v>
      </c>
      <c r="AX95" s="138">
        <f>($AW95/$D95)</f>
        <v>13.641312574640823</v>
      </c>
      <c r="AY95" s="242">
        <f>($AW95/$E95)*1000</f>
        <v>37.669744434864405</v>
      </c>
      <c r="AZ95" s="138">
        <v>2.4062079550000002</v>
      </c>
      <c r="BA95" s="138">
        <f>($AZ95/$D95)</f>
        <v>1.8478811730168372</v>
      </c>
      <c r="BB95" s="242">
        <f>($AZ95/$E95)*1000</f>
        <v>5.1028235848026178</v>
      </c>
      <c r="BC95" s="138">
        <v>244.82747810000001</v>
      </c>
      <c r="BD95" s="138">
        <f>($BC95/$D95)</f>
        <v>188.01869825011946</v>
      </c>
      <c r="BE95" s="242">
        <f>($BC95/$E95)*1000</f>
        <v>519.20343246327036</v>
      </c>
      <c r="BF95" s="138">
        <v>9.4213029089999996</v>
      </c>
      <c r="BG95" s="138">
        <f>($BF95/$D95)</f>
        <v>7.2352218080959085</v>
      </c>
      <c r="BH95" s="242">
        <f>($BF95/$E95)*1000</f>
        <v>19.979672406832645</v>
      </c>
      <c r="BI95" s="138">
        <v>0.17477224799999999</v>
      </c>
      <c r="BJ95" s="138">
        <f>($BI95/$D95)</f>
        <v>0.13421880098681227</v>
      </c>
      <c r="BK95" s="242">
        <f>($BI95/$E95)*1000</f>
        <v>0.37063793559911656</v>
      </c>
      <c r="BL95" s="138">
        <v>9.5096491000000005E-2</v>
      </c>
      <c r="BM95" s="138">
        <f>($BL95/$D95)</f>
        <v>7.3030685055176417E-2</v>
      </c>
      <c r="BN95" s="242">
        <f>($BL95/$E95)*1000</f>
        <v>0.20167027380090674</v>
      </c>
      <c r="BO95" s="138">
        <v>0.14082582599999999</v>
      </c>
      <c r="BP95" s="138">
        <f>($BO95/$D95)</f>
        <v>0.10814916973372941</v>
      </c>
      <c r="BQ95" s="242">
        <f>($BO95/$E95)*1000</f>
        <v>0.29864806355114454</v>
      </c>
      <c r="BR95" s="138">
        <v>587.35683070000005</v>
      </c>
      <c r="BS95" s="138">
        <f>($BR95/$D95)</f>
        <v>451.06892238387928</v>
      </c>
      <c r="BT95" s="363">
        <f>($BR95/$E95)*1000</f>
        <v>1245.6023521004768</v>
      </c>
    </row>
    <row r="96" spans="2:72" x14ac:dyDescent="0.35">
      <c r="B96" s="237">
        <v>88</v>
      </c>
      <c r="C96" s="239" t="s">
        <v>198</v>
      </c>
      <c r="D96" s="360">
        <v>0.93187292200000005</v>
      </c>
      <c r="E96" s="138">
        <v>533.02997319999997</v>
      </c>
      <c r="F96" s="361">
        <f>$E96/$D96</f>
        <v>571.99856398445706</v>
      </c>
      <c r="G96" s="362">
        <v>30.990469277777777</v>
      </c>
      <c r="H96" s="138">
        <f>$G96/$D96</f>
        <v>33.256110941892757</v>
      </c>
      <c r="I96" s="242">
        <f>($G96/$E96)*1000</f>
        <v>58.140200056160332</v>
      </c>
      <c r="J96" s="138">
        <v>13.990347777777778</v>
      </c>
      <c r="K96" s="138">
        <f>($J96/$D96)</f>
        <v>15.013149805610274</v>
      </c>
      <c r="L96" s="242">
        <f>($J96/$E96)*1000</f>
        <v>26.246831287531389</v>
      </c>
      <c r="M96" s="138">
        <v>56.119753500000002</v>
      </c>
      <c r="N96" s="138">
        <f>($M96/$D96)</f>
        <v>60.222539119985285</v>
      </c>
      <c r="O96" s="242">
        <f>($M96/$E96)*1000</f>
        <v>105.28442361897558</v>
      </c>
      <c r="P96" s="138">
        <v>8.2994596074999993</v>
      </c>
      <c r="Q96" s="138">
        <f>($P96/$D96)</f>
        <v>8.9062139392220683</v>
      </c>
      <c r="R96" s="363">
        <f>($P96/$E96)*1000</f>
        <v>15.570343179155389</v>
      </c>
      <c r="S96" s="362">
        <v>0</v>
      </c>
      <c r="T96" s="138">
        <f>($S96/$D96)</f>
        <v>0</v>
      </c>
      <c r="U96" s="242">
        <f>($S96/$E96)*1000</f>
        <v>0</v>
      </c>
      <c r="V96" s="138">
        <v>0</v>
      </c>
      <c r="W96" s="138">
        <f>($V96/$D96)</f>
        <v>0</v>
      </c>
      <c r="X96" s="242">
        <f>($V96/$E96)*1000</f>
        <v>0</v>
      </c>
      <c r="Y96" s="138">
        <v>2.4692332779999999</v>
      </c>
      <c r="Z96" s="138">
        <f>($Y96/$D96)</f>
        <v>2.6497532224678162</v>
      </c>
      <c r="AA96" s="242">
        <f>($Y96/$E96)*1000</f>
        <v>4.6324473334513794</v>
      </c>
      <c r="AB96" s="138">
        <v>2.4692332779999999</v>
      </c>
      <c r="AC96" s="138">
        <f>($AB96/$D96)</f>
        <v>2.6497532224678162</v>
      </c>
      <c r="AD96" s="242">
        <f>($AB96/$E96)*1000</f>
        <v>4.6324473334513794</v>
      </c>
      <c r="AE96" s="138">
        <v>0</v>
      </c>
      <c r="AF96" s="138">
        <f>($AE96/$D96)</f>
        <v>0</v>
      </c>
      <c r="AG96" s="242">
        <f>($AE96/$E96)*1000</f>
        <v>0</v>
      </c>
      <c r="AH96" s="138">
        <v>1.528855E-3</v>
      </c>
      <c r="AI96" s="138">
        <f>($AH96/$D96)</f>
        <v>1.640626059526172E-3</v>
      </c>
      <c r="AJ96" s="242">
        <f>($AH96/$E96)*1000</f>
        <v>2.8682345775447662E-3</v>
      </c>
      <c r="AK96" s="138">
        <v>2.7811272640000002</v>
      </c>
      <c r="AL96" s="138">
        <f>($AK96/$D96)</f>
        <v>2.9844490577439484</v>
      </c>
      <c r="AM96" s="364">
        <f>($AK96/$E96)*1000</f>
        <v>5.217581381594246</v>
      </c>
      <c r="AN96" s="138">
        <v>2.9174473375000001</v>
      </c>
      <c r="AO96" s="365">
        <f>($AN96/$D96)</f>
        <v>3.1307351771081935</v>
      </c>
      <c r="AP96" s="361">
        <f>($AN96/$E96)*1000</f>
        <v>5.4733269875713626</v>
      </c>
      <c r="AQ96" s="362">
        <v>22.032134330000002</v>
      </c>
      <c r="AR96" s="138">
        <f>($AQ96/$D96)</f>
        <v>23.64285280734877</v>
      </c>
      <c r="AS96" s="364">
        <f>($AQ96/$E96)*1000</f>
        <v>41.333762523206644</v>
      </c>
      <c r="AT96" s="138">
        <v>9.6076079389999993</v>
      </c>
      <c r="AU96" s="138">
        <f>($AT96/$D96)</f>
        <v>10.309997975238945</v>
      </c>
      <c r="AV96" s="242">
        <f>($AT96/$E96)*1000</f>
        <v>18.024517235534699</v>
      </c>
      <c r="AW96" s="138">
        <v>14.69173286</v>
      </c>
      <c r="AX96" s="138">
        <f>($AW96/$D96)</f>
        <v>15.765811531971952</v>
      </c>
      <c r="AY96" s="242">
        <f>($AW96/$E96)*1000</f>
        <v>27.562676769937411</v>
      </c>
      <c r="AZ96" s="138">
        <v>2.020275303</v>
      </c>
      <c r="BA96" s="138">
        <f>($AZ96/$D96)</f>
        <v>2.1679729663826417</v>
      </c>
      <c r="BB96" s="242">
        <f>($AZ96/$E96)*1000</f>
        <v>3.7901720439311313</v>
      </c>
      <c r="BC96" s="138">
        <v>387.2620569</v>
      </c>
      <c r="BD96" s="138">
        <f>($BC96/$D96)</f>
        <v>415.57389184445043</v>
      </c>
      <c r="BE96" s="242">
        <f>($BC96/$E96)*1000</f>
        <v>726.52960690954262</v>
      </c>
      <c r="BF96" s="138">
        <v>20.746515630000001</v>
      </c>
      <c r="BG96" s="138">
        <f>($BF96/$D96)</f>
        <v>22.263245492178815</v>
      </c>
      <c r="BH96" s="242">
        <f>($BF96/$E96)*1000</f>
        <v>38.921855567427222</v>
      </c>
      <c r="BI96" s="138">
        <v>0.280296718</v>
      </c>
      <c r="BJ96" s="138">
        <f>($BI96/$D96)</f>
        <v>0.30078856395829473</v>
      </c>
      <c r="BK96" s="242">
        <f>($BI96/$E96)*1000</f>
        <v>0.52585545296310932</v>
      </c>
      <c r="BL96" s="138">
        <v>1.7918669999999999E-3</v>
      </c>
      <c r="BM96" s="138">
        <f>($BL96/$D96)</f>
        <v>1.9228662596550905E-3</v>
      </c>
      <c r="BN96" s="242">
        <f>($BL96/$E96)*1000</f>
        <v>3.3616627396067036E-3</v>
      </c>
      <c r="BO96" s="138">
        <v>2.3256953E-2</v>
      </c>
      <c r="BP96" s="138">
        <f>($BO96/$D96)</f>
        <v>2.4957215142688737E-2</v>
      </c>
      <c r="BQ96" s="242">
        <f>($BO96/$E96)*1000</f>
        <v>4.3631604542571721E-2</v>
      </c>
      <c r="BR96" s="138">
        <v>709.61864549999996</v>
      </c>
      <c r="BS96" s="138">
        <f>($BR96/$D96)</f>
        <v>761.49722644264136</v>
      </c>
      <c r="BT96" s="363">
        <f>($BR96/$E96)*1000</f>
        <v>1331.2921996484829</v>
      </c>
    </row>
    <row r="97" spans="2:72" x14ac:dyDescent="0.35">
      <c r="B97" s="237">
        <v>89</v>
      </c>
      <c r="C97" s="239" t="s">
        <v>200</v>
      </c>
      <c r="D97" s="360">
        <v>0.55446294200000001</v>
      </c>
      <c r="E97" s="138">
        <v>327.14056900000003</v>
      </c>
      <c r="F97" s="361">
        <f>$E97/$D97</f>
        <v>590.01340616195773</v>
      </c>
      <c r="G97" s="362">
        <v>1.2415115933333334</v>
      </c>
      <c r="H97" s="138">
        <f>$G97/$D97</f>
        <v>2.2391245641324273</v>
      </c>
      <c r="I97" s="242">
        <f>($G97/$E97)*1000</f>
        <v>3.7950401478128302</v>
      </c>
      <c r="J97" s="138">
        <v>0.87730501522222215</v>
      </c>
      <c r="K97" s="138">
        <f>($J97/$D97)</f>
        <v>1.5822608668087004</v>
      </c>
      <c r="L97" s="242">
        <f>($J97/$E97)*1000</f>
        <v>2.6817371440783369</v>
      </c>
      <c r="M97" s="138">
        <v>81.793851425</v>
      </c>
      <c r="N97" s="138">
        <f>($M97/$D97)</f>
        <v>147.51905894731553</v>
      </c>
      <c r="O97" s="242">
        <f>($M97/$E97)*1000</f>
        <v>250.02662211851811</v>
      </c>
      <c r="P97" s="138">
        <v>0.258971167</v>
      </c>
      <c r="Q97" s="138">
        <f>($P97/$D97)</f>
        <v>0.46706668269995938</v>
      </c>
      <c r="R97" s="363">
        <f>($P97/$E97)*1000</f>
        <v>0.79162045780998802</v>
      </c>
      <c r="S97" s="362">
        <v>3.4293600000000001E-4</v>
      </c>
      <c r="T97" s="138">
        <f>($S97/$D97)</f>
        <v>6.1850120904924247E-4</v>
      </c>
      <c r="U97" s="242">
        <f>($S97/$E97)*1000</f>
        <v>1.0482833145649996E-3</v>
      </c>
      <c r="V97" s="138">
        <v>2.3879305999999999E-2</v>
      </c>
      <c r="W97" s="138">
        <f>($V97/$D97)</f>
        <v>4.3067451746847313E-2</v>
      </c>
      <c r="X97" s="242">
        <f>($V97/$E97)*1000</f>
        <v>7.2994022334172806E-2</v>
      </c>
      <c r="Y97" s="138">
        <v>0</v>
      </c>
      <c r="Z97" s="138">
        <f>($Y97/$D97)</f>
        <v>0</v>
      </c>
      <c r="AA97" s="242">
        <f>($Y97/$E97)*1000</f>
        <v>0</v>
      </c>
      <c r="AB97" s="138">
        <v>0</v>
      </c>
      <c r="AC97" s="138">
        <f>($AB97/$D97)</f>
        <v>0</v>
      </c>
      <c r="AD97" s="242">
        <f>($AB97/$E97)*1000</f>
        <v>0</v>
      </c>
      <c r="AE97" s="138">
        <v>1.2135870999999999E-2</v>
      </c>
      <c r="AF97" s="138">
        <f>($AE97/$D97)</f>
        <v>2.1887614267284972E-2</v>
      </c>
      <c r="AG97" s="242">
        <f>($AE97/$E97)*1000</f>
        <v>3.7096808375362327E-2</v>
      </c>
      <c r="AH97" s="138">
        <v>1.9965666E-2</v>
      </c>
      <c r="AI97" s="138">
        <f>($AH97/$D97)</f>
        <v>3.6009017893931676E-2</v>
      </c>
      <c r="AJ97" s="242">
        <f>($AH97/$E97)*1000</f>
        <v>6.103084695680161E-2</v>
      </c>
      <c r="AK97" s="138">
        <v>0.19595119499999999</v>
      </c>
      <c r="AL97" s="138">
        <f>($AK97/$D97)</f>
        <v>0.35340719849226637</v>
      </c>
      <c r="AM97" s="364">
        <f>($AK97/$E97)*1000</f>
        <v>0.59898164143622301</v>
      </c>
      <c r="AN97" s="138">
        <v>71.954208725000001</v>
      </c>
      <c r="AO97" s="365">
        <f>($AN97/$D97)</f>
        <v>129.77280044263085</v>
      </c>
      <c r="AP97" s="361">
        <f>($AN97/$E97)*1000</f>
        <v>219.9489013085381</v>
      </c>
      <c r="AQ97" s="362">
        <v>10.7050985</v>
      </c>
      <c r="AR97" s="138">
        <f>($AQ97/$D97)</f>
        <v>19.307148754406747</v>
      </c>
      <c r="AS97" s="364">
        <f>($AQ97/$E97)*1000</f>
        <v>32.723237392180486</v>
      </c>
      <c r="AT97" s="138">
        <v>0.287046299</v>
      </c>
      <c r="AU97" s="138">
        <f>($AT97/$D97)</f>
        <v>0.51770150402585424</v>
      </c>
      <c r="AV97" s="242">
        <f>($AT97/$E97)*1000</f>
        <v>0.87744023884729494</v>
      </c>
      <c r="AW97" s="138">
        <v>1.639420393</v>
      </c>
      <c r="AX97" s="138">
        <f>($AW97/$D97)</f>
        <v>2.9567718035157702</v>
      </c>
      <c r="AY97" s="242">
        <f>($AW97/$E97)*1000</f>
        <v>5.0113637633246269</v>
      </c>
      <c r="AZ97" s="138">
        <v>0.236671878</v>
      </c>
      <c r="BA97" s="138">
        <f>($AZ97/$D97)</f>
        <v>0.42684886594278471</v>
      </c>
      <c r="BB97" s="242">
        <f>($AZ97/$E97)*1000</f>
        <v>0.72345621554506745</v>
      </c>
      <c r="BC97" s="138">
        <v>35.847985989999998</v>
      </c>
      <c r="BD97" s="138">
        <f>($BC97/$D97)</f>
        <v>64.653529162278971</v>
      </c>
      <c r="BE97" s="242">
        <f>($BC97/$E97)*1000</f>
        <v>109.57976291225438</v>
      </c>
      <c r="BF97" s="138">
        <v>1.461254762</v>
      </c>
      <c r="BG97" s="138">
        <f>($BF97/$D97)</f>
        <v>2.63544170639992</v>
      </c>
      <c r="BH97" s="242">
        <f>($BF97/$E97)*1000</f>
        <v>4.4667488549853323</v>
      </c>
      <c r="BI97" s="138">
        <v>9.2048149999999999E-3</v>
      </c>
      <c r="BJ97" s="138">
        <f>($BI97/$D97)</f>
        <v>1.6601316882959509E-2</v>
      </c>
      <c r="BK97" s="242">
        <f>($BI97/$E97)*1000</f>
        <v>2.8137185883539865E-2</v>
      </c>
      <c r="BL97" s="138">
        <v>9.7033380000000006E-3</v>
      </c>
      <c r="BM97" s="138">
        <f>($BL97/$D97)</f>
        <v>1.7500426565929091E-2</v>
      </c>
      <c r="BN97" s="242">
        <f>($BL97/$E97)*1000</f>
        <v>2.9661065974364065E-2</v>
      </c>
      <c r="BO97" s="138">
        <v>0.76822982900000003</v>
      </c>
      <c r="BP97" s="138">
        <f>($BO97/$D97)</f>
        <v>1.3855386371340215</v>
      </c>
      <c r="BQ97" s="242">
        <f>($BO97/$E97)*1000</f>
        <v>2.3483172122256715</v>
      </c>
      <c r="BR97" s="138">
        <v>44.96360713</v>
      </c>
      <c r="BS97" s="138">
        <f>($BR97/$D97)</f>
        <v>81.093980722700849</v>
      </c>
      <c r="BT97" s="363">
        <f>($BR97/$E97)*1000</f>
        <v>137.4443019019142</v>
      </c>
    </row>
    <row r="98" spans="2:72" x14ac:dyDescent="0.35">
      <c r="B98" s="237">
        <v>90</v>
      </c>
      <c r="C98" s="239" t="s">
        <v>202</v>
      </c>
      <c r="D98" s="360">
        <v>0.562179753</v>
      </c>
      <c r="E98" s="138">
        <v>27.788386169999999</v>
      </c>
      <c r="F98" s="361">
        <f>$E98/$D98</f>
        <v>49.429717135330556</v>
      </c>
      <c r="G98" s="362">
        <v>0.29171908066666663</v>
      </c>
      <c r="H98" s="138">
        <f>$G98/$D98</f>
        <v>0.5189071273199457</v>
      </c>
      <c r="I98" s="242">
        <f>($G98/$E98)*1000</f>
        <v>10.497877742234738</v>
      </c>
      <c r="J98" s="138">
        <v>6.9319224222222212E-2</v>
      </c>
      <c r="K98" s="138">
        <f>($J98/$D98)</f>
        <v>0.12330437702942712</v>
      </c>
      <c r="L98" s="242">
        <f>($J98/$E98)*1000</f>
        <v>2.4945394021139089</v>
      </c>
      <c r="M98" s="138">
        <v>4.9377934975000004</v>
      </c>
      <c r="N98" s="138">
        <f>($M98/$D98)</f>
        <v>8.7833001298074151</v>
      </c>
      <c r="O98" s="242">
        <f>($M98/$E98)*1000</f>
        <v>177.69270468937063</v>
      </c>
      <c r="P98" s="138">
        <v>2.9122728050000002</v>
      </c>
      <c r="Q98" s="138">
        <f>($P98/$D98)</f>
        <v>5.180323178590176</v>
      </c>
      <c r="R98" s="363">
        <f>($P98/$E98)*1000</f>
        <v>104.8017969515644</v>
      </c>
      <c r="S98" s="362">
        <v>0.66165850199999998</v>
      </c>
      <c r="T98" s="138">
        <f>($S98/$D98)</f>
        <v>1.1769518529778855</v>
      </c>
      <c r="U98" s="242">
        <f>($S98/$E98)*1000</f>
        <v>23.810612748512845</v>
      </c>
      <c r="V98" s="138">
        <v>0</v>
      </c>
      <c r="W98" s="138">
        <f>($V98/$D98)</f>
        <v>0</v>
      </c>
      <c r="X98" s="242">
        <f>($V98/$E98)*1000</f>
        <v>0</v>
      </c>
      <c r="Y98" s="138">
        <v>0</v>
      </c>
      <c r="Z98" s="138">
        <f>($Y98/$D98)</f>
        <v>0</v>
      </c>
      <c r="AA98" s="242">
        <f>($Y98/$E98)*1000</f>
        <v>0</v>
      </c>
      <c r="AB98" s="138">
        <v>0</v>
      </c>
      <c r="AC98" s="138">
        <f>($AB98/$D98)</f>
        <v>0</v>
      </c>
      <c r="AD98" s="242">
        <f>($AB98/$E98)*1000</f>
        <v>0</v>
      </c>
      <c r="AE98" s="138">
        <v>0</v>
      </c>
      <c r="AF98" s="138">
        <f>($AE98/$D98)</f>
        <v>0</v>
      </c>
      <c r="AG98" s="242">
        <f>($AE98/$E98)*1000</f>
        <v>0</v>
      </c>
      <c r="AH98" s="138">
        <v>0</v>
      </c>
      <c r="AI98" s="138">
        <f>($AH98/$D98)</f>
        <v>0</v>
      </c>
      <c r="AJ98" s="242">
        <f>($AH98/$E98)*1000</f>
        <v>0</v>
      </c>
      <c r="AK98" s="138">
        <v>2.8418499999999999E-3</v>
      </c>
      <c r="AL98" s="138">
        <f>($AK98/$D98)</f>
        <v>5.055055762564967E-3</v>
      </c>
      <c r="AM98" s="364">
        <f>($AK98/$E98)*1000</f>
        <v>0.10226754380821246</v>
      </c>
      <c r="AN98" s="138">
        <v>0</v>
      </c>
      <c r="AO98" s="365">
        <f>($AN98/$D98)</f>
        <v>0</v>
      </c>
      <c r="AP98" s="361">
        <f>($AN98/$E98)*1000</f>
        <v>0</v>
      </c>
      <c r="AQ98" s="362">
        <v>59.57565898</v>
      </c>
      <c r="AR98" s="138">
        <f>($AQ98/$D98)</f>
        <v>105.97261580852414</v>
      </c>
      <c r="AS98" s="364">
        <f>($AQ98/$E98)*1000</f>
        <v>2143.9049614301516</v>
      </c>
      <c r="AT98" s="138">
        <v>2.8819971020000001</v>
      </c>
      <c r="AU98" s="138">
        <f>($AT98/$D98)</f>
        <v>5.1264690459245337</v>
      </c>
      <c r="AV98" s="242">
        <f>($AT98/$E98)*1000</f>
        <v>103.71228772944609</v>
      </c>
      <c r="AW98" s="138">
        <v>60.6566726</v>
      </c>
      <c r="AX98" s="138">
        <f>($AW98/$D98)</f>
        <v>107.89551255859618</v>
      </c>
      <c r="AY98" s="242">
        <f>($AW98/$E98)*1000</f>
        <v>2182.806595133769</v>
      </c>
      <c r="AZ98" s="138">
        <v>0.93422600600000005</v>
      </c>
      <c r="BA98" s="138">
        <f>($AZ98/$D98)</f>
        <v>1.6617923377969823</v>
      </c>
      <c r="BB98" s="242">
        <f>($AZ98/$E98)*1000</f>
        <v>33.619296935227524</v>
      </c>
      <c r="BC98" s="138">
        <v>168.78223109999999</v>
      </c>
      <c r="BD98" s="138">
        <f>($BC98/$D98)</f>
        <v>300.2282280699639</v>
      </c>
      <c r="BE98" s="242">
        <f>($BC98/$E98)*1000</f>
        <v>6073.8407069574705</v>
      </c>
      <c r="BF98" s="138">
        <v>156.14565730000001</v>
      </c>
      <c r="BG98" s="138">
        <f>($BF98/$D98)</f>
        <v>277.75041073028473</v>
      </c>
      <c r="BH98" s="242">
        <f>($BF98/$E98)*1000</f>
        <v>5619.0977174692116</v>
      </c>
      <c r="BI98" s="138">
        <v>0.120145003</v>
      </c>
      <c r="BJ98" s="138">
        <f>($BI98/$D98)</f>
        <v>0.21371278911924813</v>
      </c>
      <c r="BK98" s="242">
        <f>($BI98/$E98)*1000</f>
        <v>4.3235689278604843</v>
      </c>
      <c r="BL98" s="138">
        <v>0</v>
      </c>
      <c r="BM98" s="138">
        <f>($BL98/$D98)</f>
        <v>0</v>
      </c>
      <c r="BN98" s="242">
        <f>($BL98/$E98)*1000</f>
        <v>0</v>
      </c>
      <c r="BO98" s="138">
        <v>33.286765250000002</v>
      </c>
      <c r="BP98" s="138">
        <f>($BO98/$D98)</f>
        <v>59.210181569808334</v>
      </c>
      <c r="BQ98" s="242">
        <f>($BO98/$E98)*1000</f>
        <v>1197.8660814040359</v>
      </c>
      <c r="BR98" s="138">
        <v>86.487036009999997</v>
      </c>
      <c r="BS98" s="138">
        <f>($BR98/$D98)</f>
        <v>153.84231742333844</v>
      </c>
      <c r="BT98" s="363">
        <f>($BR98/$E98)*1000</f>
        <v>3112.3446853265027</v>
      </c>
    </row>
    <row r="99" spans="2:72" x14ac:dyDescent="0.35">
      <c r="B99" s="237">
        <v>91</v>
      </c>
      <c r="C99" s="239" t="s">
        <v>204</v>
      </c>
      <c r="D99" s="360">
        <v>0.99595920100000002</v>
      </c>
      <c r="E99" s="138">
        <v>32.768511009999997</v>
      </c>
      <c r="F99" s="361">
        <f>$E99/$D99</f>
        <v>32.901459193407256</v>
      </c>
      <c r="G99" s="362">
        <v>0.78025960399999994</v>
      </c>
      <c r="H99" s="138">
        <f>$G99/$D99</f>
        <v>0.78342526803966939</v>
      </c>
      <c r="I99" s="242">
        <f>($G99/$E99)*1000</f>
        <v>23.811262091276816</v>
      </c>
      <c r="J99" s="138">
        <v>0.14371289566666667</v>
      </c>
      <c r="K99" s="138">
        <f>($J99/$D99)</f>
        <v>0.14429596666446848</v>
      </c>
      <c r="L99" s="242">
        <f>($J99/$E99)*1000</f>
        <v>4.3857011269999315</v>
      </c>
      <c r="M99" s="138">
        <v>5.6618215425000002</v>
      </c>
      <c r="N99" s="138">
        <f>($M99/$D99)</f>
        <v>5.6847926469429746</v>
      </c>
      <c r="O99" s="242">
        <f>($M99/$E99)*1000</f>
        <v>172.78238674842981</v>
      </c>
      <c r="P99" s="138">
        <v>2.3462593922499999</v>
      </c>
      <c r="Q99" s="138">
        <f>($P99/$D99)</f>
        <v>2.3557786201424928</v>
      </c>
      <c r="R99" s="363">
        <f>($P99/$E99)*1000</f>
        <v>71.601037701529677</v>
      </c>
      <c r="S99" s="362">
        <v>0.93464147600000003</v>
      </c>
      <c r="T99" s="138">
        <f>($S99/$D99)</f>
        <v>0.93843349713679691</v>
      </c>
      <c r="U99" s="242">
        <f>($S99/$E99)*1000</f>
        <v>28.52254945959475</v>
      </c>
      <c r="V99" s="138">
        <v>0</v>
      </c>
      <c r="W99" s="138">
        <f>($V99/$D99)</f>
        <v>0</v>
      </c>
      <c r="X99" s="242">
        <f>($V99/$E99)*1000</f>
        <v>0</v>
      </c>
      <c r="Y99" s="138">
        <v>0</v>
      </c>
      <c r="Z99" s="138">
        <f>($Y99/$D99)</f>
        <v>0</v>
      </c>
      <c r="AA99" s="242">
        <f>($Y99/$E99)*1000</f>
        <v>0</v>
      </c>
      <c r="AB99" s="138">
        <v>0</v>
      </c>
      <c r="AC99" s="138">
        <f>($AB99/$D99)</f>
        <v>0</v>
      </c>
      <c r="AD99" s="242">
        <f>($AB99/$E99)*1000</f>
        <v>0</v>
      </c>
      <c r="AE99" s="138">
        <v>0</v>
      </c>
      <c r="AF99" s="138">
        <f>($AE99/$D99)</f>
        <v>0</v>
      </c>
      <c r="AG99" s="242">
        <f>($AE99/$E99)*1000</f>
        <v>0</v>
      </c>
      <c r="AH99" s="138">
        <v>0</v>
      </c>
      <c r="AI99" s="138">
        <f>($AH99/$D99)</f>
        <v>0</v>
      </c>
      <c r="AJ99" s="242">
        <f>($AH99/$E99)*1000</f>
        <v>0</v>
      </c>
      <c r="AK99" s="138">
        <v>0.30126782200000002</v>
      </c>
      <c r="AL99" s="138">
        <f>($AK99/$D99)</f>
        <v>0.3024901237897194</v>
      </c>
      <c r="AM99" s="364">
        <f>($AK99/$E99)*1000</f>
        <v>9.1938209187491573</v>
      </c>
      <c r="AN99" s="138">
        <v>0</v>
      </c>
      <c r="AO99" s="365">
        <f>($AN99/$D99)</f>
        <v>0</v>
      </c>
      <c r="AP99" s="361">
        <f>($AN99/$E99)*1000</f>
        <v>0</v>
      </c>
      <c r="AQ99" s="362">
        <v>62.063661029999999</v>
      </c>
      <c r="AR99" s="138">
        <f>($AQ99/$D99)</f>
        <v>62.315465299868237</v>
      </c>
      <c r="AS99" s="364">
        <f>($AQ99/$E99)*1000</f>
        <v>1894.0030876306821</v>
      </c>
      <c r="AT99" s="138">
        <v>2.910735796</v>
      </c>
      <c r="AU99" s="138">
        <f>($AT99/$D99)</f>
        <v>2.922545213777286</v>
      </c>
      <c r="AV99" s="242">
        <f>($AT99/$E99)*1000</f>
        <v>88.82722181400699</v>
      </c>
      <c r="AW99" s="138">
        <v>110.030269</v>
      </c>
      <c r="AX99" s="138">
        <f>($AW99/$D99)</f>
        <v>110.47668307047449</v>
      </c>
      <c r="AY99" s="242">
        <f>($AW99/$E99)*1000</f>
        <v>3357.8049660670258</v>
      </c>
      <c r="AZ99" s="138">
        <v>1.1371940220000001</v>
      </c>
      <c r="BA99" s="138">
        <f>($AZ99/$D99)</f>
        <v>1.1418078379698609</v>
      </c>
      <c r="BB99" s="242">
        <f>($AZ99/$E99)*1000</f>
        <v>34.703866210245607</v>
      </c>
      <c r="BC99" s="138">
        <v>323.66821099999999</v>
      </c>
      <c r="BD99" s="138">
        <f>($BC99/$D99)</f>
        <v>324.98139549794666</v>
      </c>
      <c r="BE99" s="242">
        <f>($BC99/$E99)*1000</f>
        <v>9877.415879568829</v>
      </c>
      <c r="BF99" s="138">
        <v>213.94335649999999</v>
      </c>
      <c r="BG99" s="138">
        <f>($BF99/$D99)</f>
        <v>214.81136605313614</v>
      </c>
      <c r="BH99" s="242">
        <f>($BF99/$E99)*1000</f>
        <v>6528.9312790169415</v>
      </c>
      <c r="BI99" s="138">
        <v>0.17111602300000001</v>
      </c>
      <c r="BJ99" s="138">
        <f>($BI99/$D99)</f>
        <v>0.17181027378249</v>
      </c>
      <c r="BK99" s="242">
        <f>($BI99/$E99)*1000</f>
        <v>5.2219651649042085</v>
      </c>
      <c r="BL99" s="138">
        <v>0</v>
      </c>
      <c r="BM99" s="138">
        <f>($BL99/$D99)</f>
        <v>0</v>
      </c>
      <c r="BN99" s="242">
        <f>($BL99/$E99)*1000</f>
        <v>0</v>
      </c>
      <c r="BO99" s="138">
        <v>46.476545080000001</v>
      </c>
      <c r="BP99" s="138">
        <f>($BO99/$D99)</f>
        <v>46.665109407428425</v>
      </c>
      <c r="BQ99" s="242">
        <f>($BO99/$E99)*1000</f>
        <v>1418.3294769120484</v>
      </c>
      <c r="BR99" s="138">
        <v>40.723567879999997</v>
      </c>
      <c r="BS99" s="138">
        <f>($BR99/$D99)</f>
        <v>40.888791266862341</v>
      </c>
      <c r="BT99" s="363">
        <f>($BR99/$E99)*1000</f>
        <v>1242.7652836460084</v>
      </c>
    </row>
    <row r="100" spans="2:72" x14ac:dyDescent="0.35">
      <c r="B100" s="237">
        <v>92</v>
      </c>
      <c r="C100" s="239" t="s">
        <v>205</v>
      </c>
      <c r="D100" s="360">
        <v>0.38221850200000002</v>
      </c>
      <c r="E100" s="138">
        <v>24.34520668</v>
      </c>
      <c r="F100" s="361">
        <f>$E100/$D100</f>
        <v>63.694474633255716</v>
      </c>
      <c r="G100" s="362">
        <v>0.48363694777777777</v>
      </c>
      <c r="H100" s="138">
        <f>$G100/$D100</f>
        <v>1.2653415395829732</v>
      </c>
      <c r="I100" s="242">
        <f>($G100/$E100)*1000</f>
        <v>19.865797573002069</v>
      </c>
      <c r="J100" s="138">
        <v>9.9071919777777781E-2</v>
      </c>
      <c r="K100" s="138">
        <f>($J100/$D100)</f>
        <v>0.25920231296855895</v>
      </c>
      <c r="L100" s="242">
        <f>($J100/$E100)*1000</f>
        <v>4.0694630807618921</v>
      </c>
      <c r="M100" s="138">
        <v>4.6070249749999999</v>
      </c>
      <c r="N100" s="138">
        <f>($M100/$D100)</f>
        <v>12.053380333221021</v>
      </c>
      <c r="O100" s="242">
        <f>($M100/$E100)*1000</f>
        <v>189.23745588016504</v>
      </c>
      <c r="P100" s="138">
        <v>1.02369696375</v>
      </c>
      <c r="Q100" s="138">
        <f>($P100/$D100)</f>
        <v>2.6783030083405013</v>
      </c>
      <c r="R100" s="363">
        <f>($P100/$E100)*1000</f>
        <v>42.049220497724683</v>
      </c>
      <c r="S100" s="362">
        <v>0.80026135399999998</v>
      </c>
      <c r="T100" s="138">
        <f>($S100/$D100)</f>
        <v>2.0937274093549765</v>
      </c>
      <c r="U100" s="242">
        <f>($S100/$E100)*1000</f>
        <v>32.871413437513688</v>
      </c>
      <c r="V100" s="138">
        <v>0</v>
      </c>
      <c r="W100" s="138">
        <f>($V100/$D100)</f>
        <v>0</v>
      </c>
      <c r="X100" s="242">
        <f>($V100/$E100)*1000</f>
        <v>0</v>
      </c>
      <c r="Y100" s="138">
        <v>0</v>
      </c>
      <c r="Z100" s="138">
        <f>($Y100/$D100)</f>
        <v>0</v>
      </c>
      <c r="AA100" s="242">
        <f>($Y100/$E100)*1000</f>
        <v>0</v>
      </c>
      <c r="AB100" s="138">
        <v>0</v>
      </c>
      <c r="AC100" s="138">
        <f>($AB100/$D100)</f>
        <v>0</v>
      </c>
      <c r="AD100" s="242">
        <f>($AB100/$E100)*1000</f>
        <v>0</v>
      </c>
      <c r="AE100" s="138">
        <v>0</v>
      </c>
      <c r="AF100" s="138">
        <f>($AE100/$D100)</f>
        <v>0</v>
      </c>
      <c r="AG100" s="242">
        <f>($AE100/$E100)*1000</f>
        <v>0</v>
      </c>
      <c r="AH100" s="138">
        <v>0</v>
      </c>
      <c r="AI100" s="138">
        <f>($AH100/$D100)</f>
        <v>0</v>
      </c>
      <c r="AJ100" s="242">
        <f>($AH100/$E100)*1000</f>
        <v>0</v>
      </c>
      <c r="AK100" s="138">
        <v>0.26638863099999999</v>
      </c>
      <c r="AL100" s="138">
        <f>($AK100/$D100)</f>
        <v>0.69695378325772406</v>
      </c>
      <c r="AM100" s="364">
        <f>($AK100/$E100)*1000</f>
        <v>10.942138816132653</v>
      </c>
      <c r="AN100" s="138">
        <v>0</v>
      </c>
      <c r="AO100" s="365">
        <f>($AN100/$D100)</f>
        <v>0</v>
      </c>
      <c r="AP100" s="361">
        <f>($AN100/$E100)*1000</f>
        <v>0</v>
      </c>
      <c r="AQ100" s="362">
        <v>27.09502045</v>
      </c>
      <c r="AR100" s="138">
        <f>($AQ100/$D100)</f>
        <v>70.888824869079727</v>
      </c>
      <c r="AS100" s="364">
        <f>($AQ100/$E100)*1000</f>
        <v>1112.9509314151364</v>
      </c>
      <c r="AT100" s="138">
        <v>1.501530228</v>
      </c>
      <c r="AU100" s="138">
        <f>($AT100/$D100)</f>
        <v>3.9284603443922239</v>
      </c>
      <c r="AV100" s="242">
        <f>($AT100/$E100)*1000</f>
        <v>61.676626850472893</v>
      </c>
      <c r="AW100" s="138">
        <v>25.035486150000001</v>
      </c>
      <c r="AX100" s="138">
        <f>($AW100/$D100)</f>
        <v>65.500455940774941</v>
      </c>
      <c r="AY100" s="242">
        <f>($AW100/$E100)*1000</f>
        <v>1028.3538143287597</v>
      </c>
      <c r="AZ100" s="138">
        <v>0.41185866999999998</v>
      </c>
      <c r="BA100" s="138">
        <f>($AZ100/$D100)</f>
        <v>1.0775477059454333</v>
      </c>
      <c r="BB100" s="242">
        <f>($AZ100/$E100)*1000</f>
        <v>16.917443972178262</v>
      </c>
      <c r="BC100" s="138">
        <v>160.78856279999999</v>
      </c>
      <c r="BD100" s="138">
        <f>($BC100/$D100)</f>
        <v>420.67184596940308</v>
      </c>
      <c r="BE100" s="242">
        <f>($BC100/$E100)*1000</f>
        <v>6604.5265055026421</v>
      </c>
      <c r="BF100" s="138">
        <v>27.807339809999998</v>
      </c>
      <c r="BG100" s="138">
        <f>($BF100/$D100)</f>
        <v>72.752469240748567</v>
      </c>
      <c r="BH100" s="242">
        <f>($BF100/$E100)*1000</f>
        <v>1142.2100529072197</v>
      </c>
      <c r="BI100" s="138">
        <v>7.5194087000000007E-2</v>
      </c>
      <c r="BJ100" s="138">
        <f>($BI100/$D100)</f>
        <v>0.19673063079505243</v>
      </c>
      <c r="BK100" s="242">
        <f>($BI100/$E100)*1000</f>
        <v>3.0886608599537264</v>
      </c>
      <c r="BL100" s="138">
        <v>0</v>
      </c>
      <c r="BM100" s="138">
        <f>($BL100/$D100)</f>
        <v>0</v>
      </c>
      <c r="BN100" s="242">
        <f>($BL100/$E100)*1000</f>
        <v>0</v>
      </c>
      <c r="BO100" s="138">
        <v>10.07040233</v>
      </c>
      <c r="BP100" s="138">
        <f>($BO100/$D100)</f>
        <v>26.347239281472564</v>
      </c>
      <c r="BQ100" s="242">
        <f>($BO100/$E100)*1000</f>
        <v>413.65031163498014</v>
      </c>
      <c r="BR100" s="138">
        <v>46.535232739999998</v>
      </c>
      <c r="BS100" s="138">
        <f>($BR100/$D100)</f>
        <v>121.7503404374705</v>
      </c>
      <c r="BT100" s="363">
        <f>($BR100/$E100)*1000</f>
        <v>1911.4741292473593</v>
      </c>
    </row>
    <row r="101" spans="2:72" x14ac:dyDescent="0.35">
      <c r="B101" s="237">
        <v>93</v>
      </c>
      <c r="C101" s="239" t="s">
        <v>207</v>
      </c>
      <c r="D101" s="360">
        <v>0.732028699</v>
      </c>
      <c r="E101" s="138">
        <v>78.046435740000007</v>
      </c>
      <c r="F101" s="361">
        <f>$E101/$D101</f>
        <v>106.61663381041842</v>
      </c>
      <c r="G101" s="362">
        <v>5.6688825077777771</v>
      </c>
      <c r="H101" s="138">
        <f>$G101/$D101</f>
        <v>7.7440713943617903</v>
      </c>
      <c r="I101" s="242">
        <f>($G101/$E101)*1000</f>
        <v>72.634739229640275</v>
      </c>
      <c r="J101" s="138">
        <v>0.93360083388888881</v>
      </c>
      <c r="K101" s="138">
        <f>($J101/$D101)</f>
        <v>1.275360973093336</v>
      </c>
      <c r="L101" s="242">
        <f>($J101/$E101)*1000</f>
        <v>11.962120051183886</v>
      </c>
      <c r="M101" s="138">
        <v>6.9957580325000004</v>
      </c>
      <c r="N101" s="138">
        <f>($M101/$D101)</f>
        <v>9.5566718108957645</v>
      </c>
      <c r="O101" s="242">
        <f>($M101/$E101)*1000</f>
        <v>89.635842638673708</v>
      </c>
      <c r="P101" s="138">
        <v>1.7087844572499999</v>
      </c>
      <c r="Q101" s="138">
        <f>($P101/$D101)</f>
        <v>2.3343134764857081</v>
      </c>
      <c r="R101" s="363">
        <f>($P101/$E101)*1000</f>
        <v>21.89445861362022</v>
      </c>
      <c r="S101" s="362">
        <v>0.73213222899999997</v>
      </c>
      <c r="T101" s="138">
        <f>($S101/$D101)</f>
        <v>1.0001414288813286</v>
      </c>
      <c r="U101" s="242">
        <f>($S101/$E101)*1000</f>
        <v>9.3807260005951925</v>
      </c>
      <c r="V101" s="138">
        <v>0</v>
      </c>
      <c r="W101" s="138">
        <f>($V101/$D101)</f>
        <v>0</v>
      </c>
      <c r="X101" s="242">
        <f>($V101/$E101)*1000</f>
        <v>0</v>
      </c>
      <c r="Y101" s="138">
        <v>0</v>
      </c>
      <c r="Z101" s="138">
        <f>($Y101/$D101)</f>
        <v>0</v>
      </c>
      <c r="AA101" s="242">
        <f>($Y101/$E101)*1000</f>
        <v>0</v>
      </c>
      <c r="AB101" s="138">
        <v>0</v>
      </c>
      <c r="AC101" s="138">
        <f>($AB101/$D101)</f>
        <v>0</v>
      </c>
      <c r="AD101" s="242">
        <f>($AB101/$E101)*1000</f>
        <v>0</v>
      </c>
      <c r="AE101" s="138">
        <v>0</v>
      </c>
      <c r="AF101" s="138">
        <f>($AE101/$D101)</f>
        <v>0</v>
      </c>
      <c r="AG101" s="242">
        <f>($AE101/$E101)*1000</f>
        <v>0</v>
      </c>
      <c r="AH101" s="138">
        <v>0</v>
      </c>
      <c r="AI101" s="138">
        <f>($AH101/$D101)</f>
        <v>0</v>
      </c>
      <c r="AJ101" s="242">
        <f>($AH101/$E101)*1000</f>
        <v>0</v>
      </c>
      <c r="AK101" s="138">
        <v>4.7528450119999999</v>
      </c>
      <c r="AL101" s="138">
        <f>($AK101/$D101)</f>
        <v>6.4927031119035403</v>
      </c>
      <c r="AM101" s="364">
        <f>($AK101/$E101)*1000</f>
        <v>60.897656208585744</v>
      </c>
      <c r="AN101" s="138">
        <v>0</v>
      </c>
      <c r="AO101" s="365">
        <f>($AN101/$D101)</f>
        <v>0</v>
      </c>
      <c r="AP101" s="361">
        <f>($AN101/$E101)*1000</f>
        <v>0</v>
      </c>
      <c r="AQ101" s="362">
        <v>24.417398039999998</v>
      </c>
      <c r="AR101" s="138">
        <f>($AQ101/$D101)</f>
        <v>33.355793390827152</v>
      </c>
      <c r="AS101" s="364">
        <f>($AQ101/$E101)*1000</f>
        <v>312.85731127226484</v>
      </c>
      <c r="AT101" s="138">
        <v>3.7147421760000001</v>
      </c>
      <c r="AU101" s="138">
        <f>($AT101/$D101)</f>
        <v>5.0745854378039894</v>
      </c>
      <c r="AV101" s="242">
        <f>($AT101/$E101)*1000</f>
        <v>47.596564029843805</v>
      </c>
      <c r="AW101" s="138">
        <v>48.704804289999998</v>
      </c>
      <c r="AX101" s="138">
        <f>($AW101/$D101)</f>
        <v>66.534009331237982</v>
      </c>
      <c r="AY101" s="242">
        <f>($AW101/$E101)*1000</f>
        <v>624.04905269797007</v>
      </c>
      <c r="AZ101" s="138">
        <v>0.56308223700000004</v>
      </c>
      <c r="BA101" s="138">
        <f>($AZ101/$D101)</f>
        <v>0.76920787090616516</v>
      </c>
      <c r="BB101" s="242">
        <f>($AZ101/$E101)*1000</f>
        <v>7.2147079064036186</v>
      </c>
      <c r="BC101" s="138">
        <v>290.96134929999999</v>
      </c>
      <c r="BD101" s="138">
        <f>($BC101/$D101)</f>
        <v>397.47259868017824</v>
      </c>
      <c r="BE101" s="242">
        <f>($BC101/$E101)*1000</f>
        <v>3728.0542864160266</v>
      </c>
      <c r="BF101" s="138">
        <v>57.150526050000003</v>
      </c>
      <c r="BG101" s="138">
        <f>($BF101/$D101)</f>
        <v>78.071428248744112</v>
      </c>
      <c r="BH101" s="242">
        <f>($BF101/$E101)*1000</f>
        <v>732.26311372358384</v>
      </c>
      <c r="BI101" s="138">
        <v>0.187099603</v>
      </c>
      <c r="BJ101" s="138">
        <f>($BI101/$D101)</f>
        <v>0.25559052979151026</v>
      </c>
      <c r="BK101" s="242">
        <f>($BI101/$E101)*1000</f>
        <v>2.3972856828887643</v>
      </c>
      <c r="BL101" s="138">
        <v>8.6059699999999995E-4</v>
      </c>
      <c r="BM101" s="138">
        <f>($BL101/$D101)</f>
        <v>1.1756328695522904E-3</v>
      </c>
      <c r="BN101" s="242">
        <f>($BL101/$E101)*1000</f>
        <v>1.1026730328428448E-2</v>
      </c>
      <c r="BO101" s="138">
        <v>27.047652159999998</v>
      </c>
      <c r="BP101" s="138">
        <f>($BO101/$D101)</f>
        <v>36.948895851964402</v>
      </c>
      <c r="BQ101" s="242">
        <f>($BO101/$E101)*1000</f>
        <v>346.55845463725205</v>
      </c>
      <c r="BR101" s="138">
        <v>57.816519700000001</v>
      </c>
      <c r="BS101" s="138">
        <f>($BR101/$D101)</f>
        <v>78.981219969901758</v>
      </c>
      <c r="BT101" s="363">
        <f>($BR101/$E101)*1000</f>
        <v>740.7964137223006</v>
      </c>
    </row>
    <row r="102" spans="2:72" x14ac:dyDescent="0.35">
      <c r="B102" s="237">
        <v>94</v>
      </c>
      <c r="C102" s="239" t="s">
        <v>208</v>
      </c>
      <c r="D102" s="360">
        <v>0.63778539300000003</v>
      </c>
      <c r="E102" s="138">
        <v>25.012114149999999</v>
      </c>
      <c r="F102" s="361">
        <f>$E102/$D102</f>
        <v>39.217132321498617</v>
      </c>
      <c r="G102" s="362">
        <v>0.32764497255555558</v>
      </c>
      <c r="H102" s="138">
        <f>$G102/$D102</f>
        <v>0.51372291706836815</v>
      </c>
      <c r="I102" s="242">
        <f>($G102/$E102)*1000</f>
        <v>13.099451353477674</v>
      </c>
      <c r="J102" s="138">
        <v>0.10032345044444445</v>
      </c>
      <c r="K102" s="138">
        <f>($J102/$D102)</f>
        <v>0.15729969915514269</v>
      </c>
      <c r="L102" s="242">
        <f>($J102/$E102)*1000</f>
        <v>4.0109944262526263</v>
      </c>
      <c r="M102" s="138">
        <v>5.2648834300000003</v>
      </c>
      <c r="N102" s="138">
        <f>($M102/$D102)</f>
        <v>8.2549451395165452</v>
      </c>
      <c r="O102" s="242">
        <f>($M102/$E102)*1000</f>
        <v>210.49333928455627</v>
      </c>
      <c r="P102" s="138">
        <v>0.94856172875</v>
      </c>
      <c r="Q102" s="138">
        <f>($P102/$D102)</f>
        <v>1.4872741507737854</v>
      </c>
      <c r="R102" s="363">
        <f>($P102/$E102)*1000</f>
        <v>37.924092424230366</v>
      </c>
      <c r="S102" s="362">
        <v>0.58823272699999996</v>
      </c>
      <c r="T102" s="138">
        <f>($S102/$D102)</f>
        <v>0.92230510992590253</v>
      </c>
      <c r="U102" s="242">
        <f>($S102/$E102)*1000</f>
        <v>23.517913098921305</v>
      </c>
      <c r="V102" s="138">
        <v>0</v>
      </c>
      <c r="W102" s="138">
        <f>($V102/$D102)</f>
        <v>0</v>
      </c>
      <c r="X102" s="242">
        <f>($V102/$E102)*1000</f>
        <v>0</v>
      </c>
      <c r="Y102" s="138">
        <v>0</v>
      </c>
      <c r="Z102" s="138">
        <f>($Y102/$D102)</f>
        <v>0</v>
      </c>
      <c r="AA102" s="242">
        <f>($Y102/$E102)*1000</f>
        <v>0</v>
      </c>
      <c r="AB102" s="138">
        <v>0</v>
      </c>
      <c r="AC102" s="138">
        <f>($AB102/$D102)</f>
        <v>0</v>
      </c>
      <c r="AD102" s="242">
        <f>($AB102/$E102)*1000</f>
        <v>0</v>
      </c>
      <c r="AE102" s="138">
        <v>0</v>
      </c>
      <c r="AF102" s="138">
        <f>($AE102/$D102)</f>
        <v>0</v>
      </c>
      <c r="AG102" s="242">
        <f>($AE102/$E102)*1000</f>
        <v>0</v>
      </c>
      <c r="AH102" s="138">
        <v>0</v>
      </c>
      <c r="AI102" s="138">
        <f>($AH102/$D102)</f>
        <v>0</v>
      </c>
      <c r="AJ102" s="242">
        <f>($AH102/$E102)*1000</f>
        <v>0</v>
      </c>
      <c r="AK102" s="138">
        <v>2.5918764E-2</v>
      </c>
      <c r="AL102" s="138">
        <f>($AK102/$D102)</f>
        <v>4.0638691767592737E-2</v>
      </c>
      <c r="AM102" s="364">
        <f>($AK102/$E102)*1000</f>
        <v>1.0362484292436351</v>
      </c>
      <c r="AN102" s="138">
        <v>0</v>
      </c>
      <c r="AO102" s="365">
        <f>($AN102/$D102)</f>
        <v>0</v>
      </c>
      <c r="AP102" s="361">
        <f>($AN102/$E102)*1000</f>
        <v>0</v>
      </c>
      <c r="AQ102" s="362">
        <v>12.734448609999999</v>
      </c>
      <c r="AR102" s="138">
        <f>($AQ102/$D102)</f>
        <v>19.966667079187872</v>
      </c>
      <c r="AS102" s="364">
        <f>($AQ102/$E102)*1000</f>
        <v>509.13123671315088</v>
      </c>
      <c r="AT102" s="138">
        <v>1.4182137109999999</v>
      </c>
      <c r="AU102" s="138">
        <f>($AT102/$D102)</f>
        <v>2.2236534837040396</v>
      </c>
      <c r="AV102" s="242">
        <f>($AT102/$E102)*1000</f>
        <v>56.701073027847187</v>
      </c>
      <c r="AW102" s="138">
        <v>14.54498297</v>
      </c>
      <c r="AX102" s="138">
        <f>($AW102/$D102)</f>
        <v>22.805450124192479</v>
      </c>
      <c r="AY102" s="242">
        <f>($AW102/$E102)*1000</f>
        <v>581.51753517405086</v>
      </c>
      <c r="AZ102" s="138">
        <v>0.312016817</v>
      </c>
      <c r="BA102" s="138">
        <f>($AZ102/$D102)</f>
        <v>0.48921913299447417</v>
      </c>
      <c r="BB102" s="242">
        <f>($AZ102/$E102)*1000</f>
        <v>12.474627899457273</v>
      </c>
      <c r="BC102" s="138">
        <v>249.09637290000001</v>
      </c>
      <c r="BD102" s="138">
        <f>($BC102/$D102)</f>
        <v>390.56456236525941</v>
      </c>
      <c r="BE102" s="242">
        <f>($BC102/$E102)*1000</f>
        <v>9959.0291091007202</v>
      </c>
      <c r="BF102" s="138">
        <v>141.98203430000001</v>
      </c>
      <c r="BG102" s="138">
        <f>($BF102/$D102)</f>
        <v>222.61725630332836</v>
      </c>
      <c r="BH102" s="242">
        <f>($BF102/$E102)*1000</f>
        <v>5676.5307182159977</v>
      </c>
      <c r="BI102" s="138">
        <v>9.8258984999999993E-2</v>
      </c>
      <c r="BJ102" s="138">
        <f>($BI102/$D102)</f>
        <v>0.15406277108011471</v>
      </c>
      <c r="BK102" s="242">
        <f>($BI102/$E102)*1000</f>
        <v>3.9284558038849342</v>
      </c>
      <c r="BL102" s="138">
        <v>0</v>
      </c>
      <c r="BM102" s="138">
        <f>($BL102/$D102)</f>
        <v>0</v>
      </c>
      <c r="BN102" s="242">
        <f>($BL102/$E102)*1000</f>
        <v>0</v>
      </c>
      <c r="BO102" s="138">
        <v>15.202179490000001</v>
      </c>
      <c r="BP102" s="138">
        <f>($BO102/$D102)</f>
        <v>23.835885325771329</v>
      </c>
      <c r="BQ102" s="242">
        <f>($BO102/$E102)*1000</f>
        <v>607.79266394000535</v>
      </c>
      <c r="BR102" s="138">
        <v>10.4222296</v>
      </c>
      <c r="BS102" s="138">
        <f>($BR102/$D102)</f>
        <v>16.341279863711144</v>
      </c>
      <c r="BT102" s="363">
        <f>($BR102/$E102)*1000</f>
        <v>416.68727151559074</v>
      </c>
    </row>
    <row r="103" spans="2:72" x14ac:dyDescent="0.35">
      <c r="B103" s="237">
        <v>95</v>
      </c>
      <c r="C103" s="239" t="s">
        <v>210</v>
      </c>
      <c r="D103" s="360">
        <v>0.394886817</v>
      </c>
      <c r="E103" s="138">
        <v>49.532885389999997</v>
      </c>
      <c r="F103" s="361">
        <f>$E103/$D103</f>
        <v>125.43565208458199</v>
      </c>
      <c r="G103" s="362">
        <v>0.75051751599999994</v>
      </c>
      <c r="H103" s="138">
        <f>$G103/$D103</f>
        <v>1.9005889376144962</v>
      </c>
      <c r="I103" s="242">
        <f>($G103/$E103)*1000</f>
        <v>15.151903832994131</v>
      </c>
      <c r="J103" s="138">
        <v>0.2681115361111111</v>
      </c>
      <c r="K103" s="138">
        <f>($J103/$D103)</f>
        <v>0.678957930649559</v>
      </c>
      <c r="L103" s="242">
        <f>($J103/$E103)*1000</f>
        <v>5.4127986690078647</v>
      </c>
      <c r="M103" s="138">
        <v>10.444463725</v>
      </c>
      <c r="N103" s="138">
        <f>($M103/$D103)</f>
        <v>26.449259067060726</v>
      </c>
      <c r="O103" s="242">
        <f>($M103/$E103)*1000</f>
        <v>210.85918259687315</v>
      </c>
      <c r="P103" s="138">
        <v>1.0154452174999999</v>
      </c>
      <c r="Q103" s="138">
        <f>($P103/$D103)</f>
        <v>2.5714842172105228</v>
      </c>
      <c r="R103" s="363">
        <f>($P103/$E103)*1000</f>
        <v>20.500425313503023</v>
      </c>
      <c r="S103" s="362">
        <v>0.75010295800000004</v>
      </c>
      <c r="T103" s="138">
        <f>($S103/$D103)</f>
        <v>1.8995391228773282</v>
      </c>
      <c r="U103" s="242">
        <f>($S103/$E103)*1000</f>
        <v>15.143534484091157</v>
      </c>
      <c r="V103" s="138">
        <v>0</v>
      </c>
      <c r="W103" s="138">
        <f>($V103/$D103)</f>
        <v>0</v>
      </c>
      <c r="X103" s="242">
        <f>($V103/$E103)*1000</f>
        <v>0</v>
      </c>
      <c r="Y103" s="138">
        <v>0</v>
      </c>
      <c r="Z103" s="138">
        <f>($Y103/$D103)</f>
        <v>0</v>
      </c>
      <c r="AA103" s="242">
        <f>($Y103/$E103)*1000</f>
        <v>0</v>
      </c>
      <c r="AB103" s="138">
        <v>0</v>
      </c>
      <c r="AC103" s="138">
        <f>($AB103/$D103)</f>
        <v>0</v>
      </c>
      <c r="AD103" s="242">
        <f>($AB103/$E103)*1000</f>
        <v>0</v>
      </c>
      <c r="AE103" s="138">
        <v>0</v>
      </c>
      <c r="AF103" s="138">
        <f>($AE103/$D103)</f>
        <v>0</v>
      </c>
      <c r="AG103" s="242">
        <f>($AE103/$E103)*1000</f>
        <v>0</v>
      </c>
      <c r="AH103" s="138">
        <v>0</v>
      </c>
      <c r="AI103" s="138">
        <f>($AH103/$D103)</f>
        <v>0</v>
      </c>
      <c r="AJ103" s="242">
        <f>($AH103/$E103)*1000</f>
        <v>0</v>
      </c>
      <c r="AK103" s="138">
        <v>0.19530166400000001</v>
      </c>
      <c r="AL103" s="138">
        <f>($AK103/$D103)</f>
        <v>0.49457630792470847</v>
      </c>
      <c r="AM103" s="364">
        <f>($AK103/$E103)*1000</f>
        <v>3.9428687116100996</v>
      </c>
      <c r="AN103" s="138">
        <v>0</v>
      </c>
      <c r="AO103" s="365">
        <f>($AN103/$D103)</f>
        <v>0</v>
      </c>
      <c r="AP103" s="361">
        <f>($AN103/$E103)*1000</f>
        <v>0</v>
      </c>
      <c r="AQ103" s="362">
        <v>32.907049000000001</v>
      </c>
      <c r="AR103" s="138">
        <f>($AQ103/$D103)</f>
        <v>83.332862945384178</v>
      </c>
      <c r="AS103" s="364">
        <f>($AQ103/$E103)*1000</f>
        <v>664.34750854718993</v>
      </c>
      <c r="AT103" s="138">
        <v>2.818370866</v>
      </c>
      <c r="AU103" s="138">
        <f>($AT103/$D103)</f>
        <v>7.1371611932033678</v>
      </c>
      <c r="AV103" s="242">
        <f>($AT103/$E103)*1000</f>
        <v>56.898984256810323</v>
      </c>
      <c r="AW103" s="138">
        <v>16.606343720000002</v>
      </c>
      <c r="AX103" s="138">
        <f>($AW103/$D103)</f>
        <v>42.053426463208574</v>
      </c>
      <c r="AY103" s="242">
        <f>($AW103/$E103)*1000</f>
        <v>335.2589615817655</v>
      </c>
      <c r="AZ103" s="138">
        <v>0.36009576599999998</v>
      </c>
      <c r="BA103" s="138">
        <f>($AZ103/$D103)</f>
        <v>0.91189614466162339</v>
      </c>
      <c r="BB103" s="242">
        <f>($AZ103/$E103)*1000</f>
        <v>7.2698322168144545</v>
      </c>
      <c r="BC103" s="138">
        <v>320.61184150000003</v>
      </c>
      <c r="BD103" s="138">
        <f>($BC103/$D103)</f>
        <v>811.90819165786445</v>
      </c>
      <c r="BE103" s="242">
        <f>($BC103/$E103)*1000</f>
        <v>6472.7067477625105</v>
      </c>
      <c r="BF103" s="138">
        <v>838.96483260000002</v>
      </c>
      <c r="BG103" s="138">
        <f>($BF103/$D103)</f>
        <v>2124.5703743004415</v>
      </c>
      <c r="BH103" s="242">
        <f>($BF103/$E103)*1000</f>
        <v>16937.532025327466</v>
      </c>
      <c r="BI103" s="138">
        <v>0.15328399500000001</v>
      </c>
      <c r="BJ103" s="138">
        <f>($BI103/$D103)</f>
        <v>0.38817197333786913</v>
      </c>
      <c r="BK103" s="242">
        <f>($BI103/$E103)*1000</f>
        <v>3.094590468395082</v>
      </c>
      <c r="BL103" s="138">
        <v>8.0085099999999999E-4</v>
      </c>
      <c r="BM103" s="138">
        <f>($BL103/$D103)</f>
        <v>2.0280520025564692E-3</v>
      </c>
      <c r="BN103" s="242">
        <f>($BL103/$E103)*1000</f>
        <v>1.6168066804395788E-2</v>
      </c>
      <c r="BO103" s="138">
        <v>6.9799136390000003</v>
      </c>
      <c r="BP103" s="138">
        <f>($BO103/$D103)</f>
        <v>17.675732231395308</v>
      </c>
      <c r="BQ103" s="242">
        <f>($BO103/$E103)*1000</f>
        <v>140.91473945124037</v>
      </c>
      <c r="BR103" s="138">
        <v>75.884481789999995</v>
      </c>
      <c r="BS103" s="138">
        <f>($BR103/$D103)</f>
        <v>192.16767570642907</v>
      </c>
      <c r="BT103" s="363">
        <f>($BR103/$E103)*1000</f>
        <v>1532.0020465700554</v>
      </c>
    </row>
    <row r="104" spans="2:72" x14ac:dyDescent="0.35">
      <c r="B104" s="237">
        <v>96</v>
      </c>
      <c r="C104" s="239" t="s">
        <v>211</v>
      </c>
      <c r="D104" s="360">
        <v>0.33320499199999998</v>
      </c>
      <c r="E104" s="138">
        <v>96.25990856</v>
      </c>
      <c r="F104" s="361">
        <f>$E104/$D104</f>
        <v>288.89095563130098</v>
      </c>
      <c r="G104" s="362">
        <v>1.2135124177777776</v>
      </c>
      <c r="H104" s="138">
        <f>$G104/$D104</f>
        <v>3.6419394874425461</v>
      </c>
      <c r="I104" s="242">
        <f>($G104/$E104)*1000</f>
        <v>12.606623421228166</v>
      </c>
      <c r="J104" s="138">
        <v>0.38556582733333333</v>
      </c>
      <c r="K104" s="138">
        <f>($J104/$D104)</f>
        <v>1.1571430098302169</v>
      </c>
      <c r="L104" s="242">
        <f>($J104/$E104)*1000</f>
        <v>4.0054663784872115</v>
      </c>
      <c r="M104" s="138">
        <v>20.507315729999998</v>
      </c>
      <c r="N104" s="138">
        <f>($M104/$D104)</f>
        <v>61.545643739935322</v>
      </c>
      <c r="O104" s="242">
        <f>($M104/$E104)*1000</f>
        <v>213.04108882689758</v>
      </c>
      <c r="P104" s="138">
        <v>2.0894625417500001</v>
      </c>
      <c r="Q104" s="138">
        <f>($P104/$D104)</f>
        <v>6.2708020345325446</v>
      </c>
      <c r="R104" s="363">
        <f>($P104/$E104)*1000</f>
        <v>21.706467136810254</v>
      </c>
      <c r="S104" s="362">
        <v>0.73711711199999996</v>
      </c>
      <c r="T104" s="138">
        <f>($S104/$D104)</f>
        <v>2.2122030872814773</v>
      </c>
      <c r="U104" s="242">
        <f>($S104/$E104)*1000</f>
        <v>7.6575712882642692</v>
      </c>
      <c r="V104" s="138">
        <v>0</v>
      </c>
      <c r="W104" s="138">
        <f>($V104/$D104)</f>
        <v>0</v>
      </c>
      <c r="X104" s="242">
        <f>($V104/$E104)*1000</f>
        <v>0</v>
      </c>
      <c r="Y104" s="138">
        <v>0</v>
      </c>
      <c r="Z104" s="138">
        <f>($Y104/$D104)</f>
        <v>0</v>
      </c>
      <c r="AA104" s="242">
        <f>($Y104/$E104)*1000</f>
        <v>0</v>
      </c>
      <c r="AB104" s="138">
        <v>0</v>
      </c>
      <c r="AC104" s="138">
        <f>($AB104/$D104)</f>
        <v>0</v>
      </c>
      <c r="AD104" s="242">
        <f>($AB104/$E104)*1000</f>
        <v>0</v>
      </c>
      <c r="AE104" s="138">
        <v>0</v>
      </c>
      <c r="AF104" s="138">
        <f>($AE104/$D104)</f>
        <v>0</v>
      </c>
      <c r="AG104" s="242">
        <f>($AE104/$E104)*1000</f>
        <v>0</v>
      </c>
      <c r="AH104" s="138">
        <v>0</v>
      </c>
      <c r="AI104" s="138">
        <f>($AH104/$D104)</f>
        <v>0</v>
      </c>
      <c r="AJ104" s="242">
        <f>($AH104/$E104)*1000</f>
        <v>0</v>
      </c>
      <c r="AK104" s="138">
        <v>0.40380623100000002</v>
      </c>
      <c r="AL104" s="138">
        <f>($AK104/$D104)</f>
        <v>1.2118852979249484</v>
      </c>
      <c r="AM104" s="364">
        <f>($AK104/$E104)*1000</f>
        <v>4.1949575585593095</v>
      </c>
      <c r="AN104" s="138">
        <v>0</v>
      </c>
      <c r="AO104" s="365">
        <f>($AN104/$D104)</f>
        <v>0</v>
      </c>
      <c r="AP104" s="361">
        <f>($AN104/$E104)*1000</f>
        <v>0</v>
      </c>
      <c r="AQ104" s="362">
        <v>7.2928559100000001</v>
      </c>
      <c r="AR104" s="138">
        <f>($AQ104/$D104)</f>
        <v>21.886994748265959</v>
      </c>
      <c r="AS104" s="364">
        <f>($AQ104/$E104)*1000</f>
        <v>75.762132118110955</v>
      </c>
      <c r="AT104" s="138">
        <v>1.8812906410000001</v>
      </c>
      <c r="AU104" s="138">
        <f>($AT104/$D104)</f>
        <v>5.6460457861327606</v>
      </c>
      <c r="AV104" s="242">
        <f>($AT104/$E104)*1000</f>
        <v>19.543864825379178</v>
      </c>
      <c r="AW104" s="138">
        <v>22.37069765</v>
      </c>
      <c r="AX104" s="138">
        <f>($AW104/$D104)</f>
        <v>67.137942669238285</v>
      </c>
      <c r="AY104" s="242">
        <f>($AW104/$E104)*1000</f>
        <v>232.39890817116313</v>
      </c>
      <c r="AZ104" s="138">
        <v>0.54475672200000003</v>
      </c>
      <c r="BA104" s="138">
        <f>($AZ104/$D104)</f>
        <v>1.6348996415996075</v>
      </c>
      <c r="BB104" s="242">
        <f>($AZ104/$E104)*1000</f>
        <v>5.6592275034257531</v>
      </c>
      <c r="BC104" s="138">
        <v>362.6441787</v>
      </c>
      <c r="BD104" s="138">
        <f>($BC104/$D104)</f>
        <v>1088.3515775778053</v>
      </c>
      <c r="BE104" s="242">
        <f>($BC104/$E104)*1000</f>
        <v>3767.3438934752298</v>
      </c>
      <c r="BF104" s="138">
        <v>7.981752041</v>
      </c>
      <c r="BG104" s="138">
        <f>($BF104/$D104)</f>
        <v>23.954479172388872</v>
      </c>
      <c r="BH104" s="242">
        <f>($BF104/$E104)*1000</f>
        <v>82.918757771568778</v>
      </c>
      <c r="BI104" s="138">
        <v>0.22703690900000001</v>
      </c>
      <c r="BJ104" s="138">
        <f>($BI104/$D104)</f>
        <v>0.68137307198566832</v>
      </c>
      <c r="BK104" s="242">
        <f>($BI104/$E104)*1000</f>
        <v>2.3585822217822394</v>
      </c>
      <c r="BL104" s="138">
        <v>6.4716700000000003E-4</v>
      </c>
      <c r="BM104" s="138">
        <f>($BL104/$D104)</f>
        <v>1.9422488124067484E-3</v>
      </c>
      <c r="BN104" s="242">
        <f>($BL104/$E104)*1000</f>
        <v>6.7231208680882219E-3</v>
      </c>
      <c r="BO104" s="138">
        <v>8.7822014950000007</v>
      </c>
      <c r="BP104" s="138">
        <f>($BO104/$D104)</f>
        <v>26.356752467261959</v>
      </c>
      <c r="BQ104" s="242">
        <f>($BO104/$E104)*1000</f>
        <v>91.234259686897005</v>
      </c>
      <c r="BR104" s="138">
        <v>101.2893512</v>
      </c>
      <c r="BS104" s="138">
        <f>($BR104/$D104)</f>
        <v>303.98509515727784</v>
      </c>
      <c r="BT104" s="363">
        <f>($BR104/$E104)*1000</f>
        <v>1052.2485707210608</v>
      </c>
    </row>
    <row r="105" spans="2:72" ht="15" thickBot="1" x14ac:dyDescent="0.4">
      <c r="B105" s="243">
        <v>97</v>
      </c>
      <c r="C105" s="245" t="s">
        <v>213</v>
      </c>
      <c r="D105" s="366">
        <v>0.52170043399999999</v>
      </c>
      <c r="E105" s="367">
        <v>88.133998750000003</v>
      </c>
      <c r="F105" s="368">
        <f>$E105/$D105</f>
        <v>168.93602727959396</v>
      </c>
      <c r="G105" s="369">
        <v>1.5708214633333333</v>
      </c>
      <c r="H105" s="367">
        <f>$G105/$D105</f>
        <v>3.0109644557691384</v>
      </c>
      <c r="I105" s="248">
        <f>($G105/$E105)*1000</f>
        <v>17.823104427487845</v>
      </c>
      <c r="J105" s="367">
        <v>0.50794893933333329</v>
      </c>
      <c r="K105" s="367">
        <f>($J105/$D105)</f>
        <v>0.97364101355785593</v>
      </c>
      <c r="L105" s="248">
        <f>($J105/$E105)*1000</f>
        <v>5.7633710774224145</v>
      </c>
      <c r="M105" s="367">
        <v>17.383176875</v>
      </c>
      <c r="N105" s="367">
        <f>($M105/$D105)</f>
        <v>33.320226977231151</v>
      </c>
      <c r="O105" s="248">
        <f>($M105/$E105)*1000</f>
        <v>197.23576737178283</v>
      </c>
      <c r="P105" s="367">
        <v>3.3506536874999999</v>
      </c>
      <c r="Q105" s="367">
        <f>($P105/$D105)</f>
        <v>6.4225625840671619</v>
      </c>
      <c r="R105" s="370">
        <f>($P105/$E105)*1000</f>
        <v>38.017720006151421</v>
      </c>
      <c r="S105" s="369">
        <v>0.62071851700000003</v>
      </c>
      <c r="T105" s="367">
        <f>($S105/$D105)</f>
        <v>1.1897987361076261</v>
      </c>
      <c r="U105" s="248">
        <f>($S105/$E105)*1000</f>
        <v>7.042895202800497</v>
      </c>
      <c r="V105" s="367">
        <v>0</v>
      </c>
      <c r="W105" s="367">
        <f>($V105/$D105)</f>
        <v>0</v>
      </c>
      <c r="X105" s="248">
        <f>($V105/$E105)*1000</f>
        <v>0</v>
      </c>
      <c r="Y105" s="367">
        <v>0</v>
      </c>
      <c r="Z105" s="367">
        <f>($Y105/$D105)</f>
        <v>0</v>
      </c>
      <c r="AA105" s="248">
        <f>($Y105/$E105)*1000</f>
        <v>0</v>
      </c>
      <c r="AB105" s="367">
        <v>0</v>
      </c>
      <c r="AC105" s="367">
        <f>($AB105/$D105)</f>
        <v>0</v>
      </c>
      <c r="AD105" s="248">
        <f>($AB105/$E105)*1000</f>
        <v>0</v>
      </c>
      <c r="AE105" s="367">
        <v>0</v>
      </c>
      <c r="AF105" s="367">
        <f>($AE105/$D105)</f>
        <v>0</v>
      </c>
      <c r="AG105" s="248">
        <f>($AE105/$E105)*1000</f>
        <v>0</v>
      </c>
      <c r="AH105" s="367">
        <v>0</v>
      </c>
      <c r="AI105" s="367">
        <f>($AH105/$D105)</f>
        <v>0</v>
      </c>
      <c r="AJ105" s="248">
        <f>($AH105/$E105)*1000</f>
        <v>0</v>
      </c>
      <c r="AK105" s="367">
        <v>0.133915858</v>
      </c>
      <c r="AL105" s="367">
        <f>($AK105/$D105)</f>
        <v>0.25669109947491436</v>
      </c>
      <c r="AM105" s="371">
        <f>($AK105/$E105)*1000</f>
        <v>1.5194574159725165</v>
      </c>
      <c r="AN105" s="367">
        <v>0</v>
      </c>
      <c r="AO105" s="372">
        <f>($AN105/$D105)</f>
        <v>0</v>
      </c>
      <c r="AP105" s="368">
        <f>($AN105/$E105)*1000</f>
        <v>0</v>
      </c>
      <c r="AQ105" s="369">
        <v>9.8792961689999998</v>
      </c>
      <c r="AR105" s="367">
        <f>($AQ105/$D105)</f>
        <v>18.936722159215226</v>
      </c>
      <c r="AS105" s="371">
        <f>($AQ105/$E105)*1000</f>
        <v>112.09404213036458</v>
      </c>
      <c r="AT105" s="367">
        <v>3.0113783359999999</v>
      </c>
      <c r="AU105" s="367">
        <f>($AT105/$D105)</f>
        <v>5.7722365935390423</v>
      </c>
      <c r="AV105" s="248">
        <f>($AT105/$E105)*1000</f>
        <v>34.168180029389625</v>
      </c>
      <c r="AW105" s="367">
        <v>33.130396019999999</v>
      </c>
      <c r="AX105" s="367">
        <f>($AW105/$D105)</f>
        <v>63.504635727406736</v>
      </c>
      <c r="AY105" s="248">
        <f>($AW105/$E105)*1000</f>
        <v>375.90937084311059</v>
      </c>
      <c r="AZ105" s="367">
        <v>0.71832872400000003</v>
      </c>
      <c r="BA105" s="367">
        <f>($AZ105/$D105)</f>
        <v>1.3768988430628755</v>
      </c>
      <c r="BB105" s="248">
        <f>($AZ105/$E105)*1000</f>
        <v>8.1504156646472374</v>
      </c>
      <c r="BC105" s="367">
        <v>200.7734691</v>
      </c>
      <c r="BD105" s="367">
        <f>($BC105/$D105)</f>
        <v>384.84435897555721</v>
      </c>
      <c r="BE105" s="248">
        <f>($BC105/$E105)*1000</f>
        <v>2278.0478810397785</v>
      </c>
      <c r="BF105" s="367">
        <v>32.747877690000003</v>
      </c>
      <c r="BG105" s="367">
        <f>($BF105/$D105)</f>
        <v>62.771421213730491</v>
      </c>
      <c r="BH105" s="248">
        <f>($BF105/$E105)*1000</f>
        <v>371.56918050311435</v>
      </c>
      <c r="BI105" s="367">
        <v>0.12442692700000001</v>
      </c>
      <c r="BJ105" s="367">
        <f>($BI105/$D105)</f>
        <v>0.23850263271968067</v>
      </c>
      <c r="BK105" s="248">
        <f>($BI105/$E105)*1000</f>
        <v>1.4117925972353547</v>
      </c>
      <c r="BL105" s="367">
        <v>2.4120599999999999E-4</v>
      </c>
      <c r="BM105" s="367">
        <f>($BL105/$D105)</f>
        <v>4.6234579133970971E-4</v>
      </c>
      <c r="BN105" s="248">
        <f>($BL105/$E105)*1000</f>
        <v>2.7368098965326929E-3</v>
      </c>
      <c r="BO105" s="367">
        <v>5.52236043</v>
      </c>
      <c r="BP105" s="367">
        <f>($BO105/$D105)</f>
        <v>10.585309250480709</v>
      </c>
      <c r="BQ105" s="248">
        <f>($BO105/$E105)*1000</f>
        <v>62.658684597582727</v>
      </c>
      <c r="BR105" s="367">
        <v>98.412783790000006</v>
      </c>
      <c r="BS105" s="367">
        <f>($BR105/$D105)</f>
        <v>188.63849323537272</v>
      </c>
      <c r="BT105" s="370">
        <f>($BR105/$E105)*1000</f>
        <v>1116.6267863229116</v>
      </c>
    </row>
  </sheetData>
  <sheetProtection formatCells="0" formatColumns="0" formatRows="0" insertColumns="0" insertRows="0" insertHyperlinks="0" deleteColumns="0" deleteRows="0" selectLockedCells="1" sort="0" autoFilter="0" pivotTables="0"/>
  <autoFilter ref="B8:BT8" xr:uid="{DD70468C-027A-4562-8B4E-D0664D49B175}">
    <sortState xmlns:xlrd2="http://schemas.microsoft.com/office/spreadsheetml/2017/richdata2" ref="B9:BT105">
      <sortCondition ref="B8"/>
    </sortState>
  </autoFilter>
  <mergeCells count="28">
    <mergeCell ref="B2:R2"/>
    <mergeCell ref="AQ6:AS6"/>
    <mergeCell ref="AQ5:BT5"/>
    <mergeCell ref="AT6:AV6"/>
    <mergeCell ref="AW6:AY6"/>
    <mergeCell ref="AZ6:BB6"/>
    <mergeCell ref="BC6:BE6"/>
    <mergeCell ref="AH6:AJ6"/>
    <mergeCell ref="AK6:AM6"/>
    <mergeCell ref="S5:AP5"/>
    <mergeCell ref="AN6:AP6"/>
    <mergeCell ref="E5:F5"/>
    <mergeCell ref="E6:F6"/>
    <mergeCell ref="G5:R5"/>
    <mergeCell ref="G6:I6"/>
    <mergeCell ref="J6:L6"/>
    <mergeCell ref="M6:O6"/>
    <mergeCell ref="P6:R6"/>
    <mergeCell ref="S6:U6"/>
    <mergeCell ref="V6:X6"/>
    <mergeCell ref="Y6:AA6"/>
    <mergeCell ref="BO6:BQ6"/>
    <mergeCell ref="BR6:BT6"/>
    <mergeCell ref="AB6:AD6"/>
    <mergeCell ref="AE6:AG6"/>
    <mergeCell ref="BF6:BH6"/>
    <mergeCell ref="BI6:BK6"/>
    <mergeCell ref="BL6:BN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B7699-B2CE-4B45-B86C-451FF08E3825}">
  <sheetPr>
    <tabColor theme="0"/>
  </sheetPr>
  <dimension ref="A1:BF113"/>
  <sheetViews>
    <sheetView zoomScale="83" zoomScaleNormal="67" workbookViewId="0">
      <pane xSplit="2" ySplit="3" topLeftCell="C4" activePane="bottomRight" state="frozen"/>
      <selection pane="topRight" activeCell="C1" sqref="C1"/>
      <selection pane="bottomLeft" activeCell="A5" sqref="A5"/>
      <selection pane="bottomRight" sqref="A1:XFD1048576"/>
    </sheetView>
  </sheetViews>
  <sheetFormatPr defaultRowHeight="15" customHeight="1" x14ac:dyDescent="0.35"/>
  <cols>
    <col min="2" max="2" width="33.453125" customWidth="1"/>
    <col min="3" max="3" width="13.54296875" customWidth="1"/>
    <col min="4" max="6" width="12.7265625" customWidth="1"/>
    <col min="7" max="7" width="11.81640625" customWidth="1"/>
    <col min="8" max="8" width="9" customWidth="1"/>
    <col min="9" max="9" width="12.54296875" customWidth="1"/>
    <col min="10" max="10" width="13" customWidth="1"/>
    <col min="11" max="11" width="10.1796875" customWidth="1"/>
    <col min="12" max="12" width="13.453125" customWidth="1"/>
    <col min="13" max="13" width="14.54296875" customWidth="1"/>
    <col min="14" max="14" width="12.26953125" customWidth="1"/>
    <col min="15" max="15" width="10.453125" customWidth="1"/>
    <col min="16" max="17" width="10.81640625" customWidth="1"/>
    <col min="18" max="18" width="10.453125" customWidth="1"/>
    <col min="20" max="21" width="11.54296875" customWidth="1"/>
    <col min="22" max="22" width="10.81640625" customWidth="1"/>
    <col min="23" max="25" width="11.1796875" customWidth="1"/>
    <col min="26" max="26" width="10.453125" customWidth="1"/>
    <col min="27" max="27" width="10.54296875" customWidth="1"/>
    <col min="28" max="28" width="10.7265625" customWidth="1"/>
    <col min="29" max="29" width="10.453125" customWidth="1"/>
    <col min="30" max="30" width="11.1796875" customWidth="1"/>
    <col min="31" max="31" width="10.81640625" customWidth="1"/>
    <col min="32" max="33" width="10.7265625" customWidth="1"/>
    <col min="34" max="34" width="11.54296875" customWidth="1"/>
    <col min="35" max="35" width="12.26953125" customWidth="1"/>
    <col min="36" max="36" width="10.54296875" customWidth="1"/>
    <col min="37" max="37" width="11.1796875" customWidth="1"/>
    <col min="38" max="38" width="11" customWidth="1"/>
    <col min="39" max="39" width="11.54296875" customWidth="1"/>
    <col min="40" max="40" width="11.1796875" customWidth="1"/>
    <col min="41" max="41" width="11.453125" customWidth="1"/>
    <col min="42" max="42" width="11.1796875" customWidth="1"/>
    <col min="43" max="43" width="11.54296875" customWidth="1"/>
    <col min="44" max="44" width="11" customWidth="1"/>
    <col min="45" max="45" width="14.1796875" customWidth="1"/>
    <col min="46" max="46" width="18.7265625" customWidth="1"/>
    <col min="47" max="47" width="19" customWidth="1"/>
    <col min="48" max="48" width="15.81640625" customWidth="1"/>
    <col min="49" max="49" width="13.7265625" customWidth="1"/>
    <col min="50" max="50" width="12" customWidth="1"/>
    <col min="51" max="52" width="10.81640625" customWidth="1"/>
    <col min="53" max="53" width="10.54296875" customWidth="1"/>
    <col min="54" max="54" width="11.453125" customWidth="1"/>
    <col min="55" max="55" width="11.81640625" customWidth="1"/>
    <col min="56" max="56" width="14" customWidth="1"/>
    <col min="57" max="57" width="11.453125" customWidth="1"/>
    <col min="58" max="58" width="13.26953125" customWidth="1"/>
  </cols>
  <sheetData>
    <row r="1" spans="1:58" ht="14.5" x14ac:dyDescent="0.35">
      <c r="B1" s="3"/>
      <c r="C1" s="1"/>
      <c r="D1" s="1"/>
      <c r="E1" s="1"/>
      <c r="F1" s="1"/>
      <c r="H1" s="1"/>
    </row>
    <row r="2" spans="1:58" ht="14.5" x14ac:dyDescent="0.35">
      <c r="C2" s="31"/>
      <c r="D2" s="31" t="s">
        <v>499</v>
      </c>
      <c r="E2" s="31"/>
      <c r="F2" s="31"/>
      <c r="G2" s="35" t="s">
        <v>499</v>
      </c>
    </row>
    <row r="3" spans="1:58" s="17" customFormat="1" ht="39" customHeight="1" thickBot="1" x14ac:dyDescent="0.4">
      <c r="A3" s="17" t="s">
        <v>500</v>
      </c>
      <c r="B3" s="19" t="s">
        <v>501</v>
      </c>
      <c r="C3" s="21" t="s">
        <v>502</v>
      </c>
      <c r="D3" s="21" t="s">
        <v>503</v>
      </c>
      <c r="E3" s="21" t="s">
        <v>504</v>
      </c>
      <c r="F3" s="21" t="s">
        <v>505</v>
      </c>
      <c r="G3" s="21" t="s">
        <v>506</v>
      </c>
      <c r="H3" s="21" t="s">
        <v>507</v>
      </c>
      <c r="I3" s="21" t="s">
        <v>508</v>
      </c>
      <c r="J3" s="21" t="s">
        <v>509</v>
      </c>
      <c r="K3" s="21" t="s">
        <v>510</v>
      </c>
      <c r="L3" s="21" t="s">
        <v>511</v>
      </c>
      <c r="M3" s="21" t="s">
        <v>512</v>
      </c>
      <c r="N3" s="21" t="s">
        <v>513</v>
      </c>
      <c r="O3" s="21" t="s">
        <v>514</v>
      </c>
      <c r="P3" s="21" t="s">
        <v>515</v>
      </c>
      <c r="Q3" s="21" t="s">
        <v>516</v>
      </c>
      <c r="R3" s="21" t="s">
        <v>517</v>
      </c>
      <c r="S3" s="21" t="s">
        <v>518</v>
      </c>
      <c r="T3" s="21" t="s">
        <v>519</v>
      </c>
      <c r="U3" s="21" t="s">
        <v>520</v>
      </c>
      <c r="V3" s="21" t="s">
        <v>521</v>
      </c>
      <c r="W3" s="21" t="s">
        <v>522</v>
      </c>
      <c r="X3" s="21" t="s">
        <v>523</v>
      </c>
      <c r="Y3" s="21" t="s">
        <v>524</v>
      </c>
      <c r="Z3" s="21" t="s">
        <v>525</v>
      </c>
      <c r="AA3" s="21" t="s">
        <v>526</v>
      </c>
      <c r="AB3" s="21" t="s">
        <v>527</v>
      </c>
      <c r="AC3" s="21" t="s">
        <v>528</v>
      </c>
      <c r="AD3" s="21" t="s">
        <v>529</v>
      </c>
      <c r="AE3" s="21" t="s">
        <v>530</v>
      </c>
      <c r="AF3" s="21" t="s">
        <v>531</v>
      </c>
      <c r="AG3" s="21" t="s">
        <v>532</v>
      </c>
      <c r="AH3" s="21" t="s">
        <v>533</v>
      </c>
      <c r="AI3" s="21" t="s">
        <v>534</v>
      </c>
      <c r="AJ3" s="21" t="s">
        <v>535</v>
      </c>
      <c r="AK3" s="21" t="s">
        <v>536</v>
      </c>
      <c r="AL3" s="21" t="s">
        <v>537</v>
      </c>
      <c r="AM3" s="21" t="s">
        <v>538</v>
      </c>
      <c r="AN3" s="21" t="s">
        <v>539</v>
      </c>
      <c r="AO3" s="21" t="s">
        <v>540</v>
      </c>
      <c r="AP3" s="21" t="s">
        <v>541</v>
      </c>
      <c r="AQ3" s="26" t="s">
        <v>542</v>
      </c>
      <c r="AR3" s="21" t="s">
        <v>543</v>
      </c>
      <c r="AS3" s="21" t="s">
        <v>544</v>
      </c>
      <c r="AT3" s="21" t="s">
        <v>545</v>
      </c>
      <c r="AU3" s="21" t="s">
        <v>546</v>
      </c>
      <c r="AV3" s="26" t="s">
        <v>547</v>
      </c>
      <c r="AW3" s="26" t="s">
        <v>548</v>
      </c>
      <c r="AX3" s="21" t="s">
        <v>549</v>
      </c>
      <c r="AY3" s="21" t="s">
        <v>550</v>
      </c>
      <c r="AZ3" s="21" t="s">
        <v>551</v>
      </c>
      <c r="BA3" s="21" t="s">
        <v>552</v>
      </c>
      <c r="BB3" s="21" t="s">
        <v>553</v>
      </c>
      <c r="BC3" s="21" t="s">
        <v>554</v>
      </c>
      <c r="BD3" s="21" t="s">
        <v>555</v>
      </c>
      <c r="BE3" s="21" t="s">
        <v>556</v>
      </c>
      <c r="BF3" s="21" t="s">
        <v>557</v>
      </c>
    </row>
    <row r="4" spans="1:58" ht="14.5" x14ac:dyDescent="0.35">
      <c r="A4" s="4">
        <v>1</v>
      </c>
      <c r="B4" t="s">
        <v>41</v>
      </c>
      <c r="C4" s="2">
        <f>'Your Model Diet'!E12</f>
        <v>19.799135208129879</v>
      </c>
      <c r="D4">
        <f>'Nutrient Content_TFP'!$G6</f>
        <v>157.30952464999999</v>
      </c>
      <c r="E4">
        <f>$C4/$D4</f>
        <v>0.12586100715885598</v>
      </c>
      <c r="F4">
        <f>$E4*100</f>
        <v>12.586100715885598</v>
      </c>
      <c r="G4">
        <f>Cost_TFP!C6</f>
        <v>0.32140266920959998</v>
      </c>
      <c r="H4" s="1">
        <f>$E4*$G4</f>
        <v>4.0452063650264887E-2</v>
      </c>
      <c r="I4">
        <f>$E4*'Nutrient Content_TFP'!$Z6</f>
        <v>4.3579583442139835</v>
      </c>
      <c r="J4">
        <f>$E4*'Nutrient Content_TFP'!$AA6</f>
        <v>12.212935707631981</v>
      </c>
      <c r="K4">
        <f>$E4*'Nutrient Content_TFP'!$AB6</f>
        <v>3.7238629671240471</v>
      </c>
      <c r="L4">
        <f>$E4*'Nutrient Content_TFP'!$AC6</f>
        <v>1.2091015993986813</v>
      </c>
      <c r="M4">
        <f>$E4*'Nutrient Content_TFP'!$AD6</f>
        <v>0.28366648466112543</v>
      </c>
      <c r="N4">
        <f>$E4*'Nutrient Content_TFP'!$AE6</f>
        <v>0.58322697568564685</v>
      </c>
      <c r="O4">
        <f>$E4*'Nutrient Content_TFP'!$C6</f>
        <v>5.4736474789981449</v>
      </c>
      <c r="P4">
        <f>$E4*'Nutrient Content_TFP'!$D6</f>
        <v>4.2092683563223838</v>
      </c>
      <c r="Q4">
        <f>$E4*'Nutrient Content_TFP'!$E6</f>
        <v>1.149494386867312E-2</v>
      </c>
      <c r="R4">
        <f>$E4*'Nutrient Content_TFP'!$F6</f>
        <v>2.8832455635886121E-2</v>
      </c>
      <c r="S4">
        <f>$E4*'Nutrient Content_TFP'!$H6</f>
        <v>1.0309840577300957</v>
      </c>
      <c r="T4">
        <f>$E4*'Nutrient Content_TFP'!$I6</f>
        <v>0</v>
      </c>
      <c r="U4">
        <f>$E4*'Nutrient Content_TFP'!$J6</f>
        <v>18.286201732531893</v>
      </c>
      <c r="V4">
        <f>$E4*'Nutrient Content_TFP'!$K6</f>
        <v>0.29550231440845109</v>
      </c>
      <c r="W4">
        <f>$E4*'Nutrient Content_TFP'!$L6</f>
        <v>6.6181834399636816</v>
      </c>
      <c r="X4">
        <f>$E4*'Nutrient Content_TFP'!$M6</f>
        <v>5.1892554986420335E-2</v>
      </c>
      <c r="Y4">
        <f>$E4*'Nutrient Content_TFP'!$N6</f>
        <v>17.811230416415032</v>
      </c>
      <c r="Z4">
        <f>$E4*'Nutrient Content_TFP'!$O6</f>
        <v>51.300159456210309</v>
      </c>
      <c r="AA4">
        <f>$E4*'Nutrient Content_TFP'!$P6</f>
        <v>7.6974243537823736E-3</v>
      </c>
      <c r="AB4">
        <f>$E4*'Nutrient Content_TFP'!$Q6</f>
        <v>16.820547033039439</v>
      </c>
      <c r="AC4">
        <f>$E4*'Nutrient Content_TFP'!$R6</f>
        <v>2.2758517510816621E-2</v>
      </c>
      <c r="AD4">
        <f>$E4*'Nutrient Content_TFP'!$S6</f>
        <v>1.9158235271102447E-5</v>
      </c>
      <c r="AE4">
        <f>$E4*'Nutrient Content_TFP'!$T6</f>
        <v>2.0436943621238476E-2</v>
      </c>
      <c r="AF4">
        <f>$E4*'Nutrient Content_TFP'!$U6</f>
        <v>9.7147909883435551E-2</v>
      </c>
      <c r="AG4">
        <f>$E4*'Nutrient Content_TFP'!$W6</f>
        <v>0.13337072138708747</v>
      </c>
      <c r="AH4">
        <f>$E4*'Nutrient Content_TFP'!$X6</f>
        <v>0.84960192432169213</v>
      </c>
      <c r="AI4">
        <f>$E4*'Nutrient Content_TFP'!$V6</f>
        <v>7.4830091655935394E-3</v>
      </c>
      <c r="AJ4">
        <f>$E4*'Nutrient Content_TFP'!$Y6</f>
        <v>0.13062687348530266</v>
      </c>
      <c r="AK4">
        <f>$E4*'Nutrient Content_TFP'!$AF6</f>
        <v>0</v>
      </c>
      <c r="AL4">
        <f>$E4*'Nutrient Content_TFP'!$AI6</f>
        <v>7.1740774080547909E-2</v>
      </c>
      <c r="AM4">
        <f>$E4*'Nutrient Content_TFP'!$AO6</f>
        <v>0</v>
      </c>
      <c r="AN4">
        <f>$E4*'Nutrient Content_TFP'!$AP6</f>
        <v>0</v>
      </c>
      <c r="AO4">
        <f>$E4*'Nutrient Content_TFP'!$AQ6</f>
        <v>0</v>
      </c>
      <c r="AP4">
        <f>$E4*'Nutrient Content_TFP'!$AZ6</f>
        <v>0.31869793224484272</v>
      </c>
      <c r="AQ4">
        <f>$E4*'Nutrient Content_TFP'!$BA6</f>
        <v>0</v>
      </c>
      <c r="AR4">
        <f>$E4*'Nutrient Content_TFP'!$AG6</f>
        <v>0</v>
      </c>
      <c r="AS4">
        <f>$E4*'Nutrient Content_TFP'!$AJ6</f>
        <v>0</v>
      </c>
      <c r="AT4">
        <f>$E4*'Nutrient Content_TFP'!$AK6</f>
        <v>0</v>
      </c>
      <c r="AU4">
        <f>$E4*'Nutrient Content_TFP'!$AL6</f>
        <v>7.1740774080547909E-2</v>
      </c>
      <c r="AV4">
        <f>$E4*'Nutrient Content_TFP'!$AM6</f>
        <v>0</v>
      </c>
      <c r="AW4">
        <f>$E4*'Nutrient Content_TFP'!AN6</f>
        <v>0</v>
      </c>
      <c r="AX4">
        <f>$E4*'Nutrient Content_TFP'!AH6</f>
        <v>0</v>
      </c>
      <c r="AY4">
        <f>$E4*'Nutrient Content_TFP'!$AR6</f>
        <v>0</v>
      </c>
      <c r="AZ4">
        <f>$E4*'Nutrient Content_TFP'!$AS6</f>
        <v>0</v>
      </c>
      <c r="BA4">
        <f>$E4*'Nutrient Content_TFP'!$AT6</f>
        <v>0</v>
      </c>
      <c r="BB4">
        <f>$E4*'Nutrient Content_TFP'!$AU6</f>
        <v>0</v>
      </c>
      <c r="BC4">
        <f>$E4*'Nutrient Content_TFP'!$AV6</f>
        <v>0</v>
      </c>
      <c r="BD4">
        <f>$E4*'Nutrient Content_TFP'!$AW6</f>
        <v>0</v>
      </c>
      <c r="BE4">
        <f>$E4*'Nutrient Content_TFP'!$AX6</f>
        <v>0</v>
      </c>
      <c r="BF4">
        <f>$E4*'Nutrient Content_TFP'!$AY6</f>
        <v>0</v>
      </c>
    </row>
    <row r="5" spans="1:58" ht="14.5" x14ac:dyDescent="0.35">
      <c r="A5" s="4">
        <v>2</v>
      </c>
      <c r="B5" t="s">
        <v>43</v>
      </c>
      <c r="C5" s="2">
        <f>'Your Model Diet'!E13</f>
        <v>13.049125671386721</v>
      </c>
      <c r="D5">
        <f>'Nutrient Content_TFP'!$G7</f>
        <v>34.202256450999997</v>
      </c>
      <c r="E5">
        <f t="shared" ref="E5:E68" si="0">$C5/$D5</f>
        <v>0.38152820969814094</v>
      </c>
      <c r="F5">
        <f t="shared" ref="F5:F68" si="1">$E5*100</f>
        <v>38.152820969814094</v>
      </c>
      <c r="G5">
        <f>Cost_TFP!C7</f>
        <v>0.13168759030639998</v>
      </c>
      <c r="H5" s="1">
        <f t="shared" ref="H5:H68" si="2">$E5*$G5</f>
        <v>5.0242530569063047E-2</v>
      </c>
      <c r="I5">
        <f>$E5*'Nutrient Content_TFP'!$Z7</f>
        <v>0.17984552844552393</v>
      </c>
      <c r="J5">
        <f>$E5*'Nutrient Content_TFP'!$AA7</f>
        <v>12.643007962850612</v>
      </c>
      <c r="K5">
        <f>$E5*'Nutrient Content_TFP'!$AB7</f>
        <v>0.45860167227622556</v>
      </c>
      <c r="L5">
        <f>$E5*'Nutrient Content_TFP'!$AC7</f>
        <v>1.6865871138511311E-2</v>
      </c>
      <c r="M5">
        <f>$E5*'Nutrient Content_TFP'!$AD7</f>
        <v>9.4217845799616038E-3</v>
      </c>
      <c r="N5">
        <f>$E5*'Nutrient Content_TFP'!$AE7</f>
        <v>0.13061667434186802</v>
      </c>
      <c r="O5">
        <f>$E5*'Nutrient Content_TFP'!$C7</f>
        <v>1.9186945287671675</v>
      </c>
      <c r="P5">
        <f>$E5*'Nutrient Content_TFP'!$D7</f>
        <v>0.26849524834942456</v>
      </c>
      <c r="Q5">
        <f>$E5*'Nutrient Content_TFP'!$E7</f>
        <v>0.10815963014231399</v>
      </c>
      <c r="R5">
        <f>$E5*'Nutrient Content_TFP'!$F7</f>
        <v>3.6425899914523945E-3</v>
      </c>
      <c r="S5">
        <f>$E5*'Nutrient Content_TFP'!$H7</f>
        <v>2.4784557042817554E-3</v>
      </c>
      <c r="T5">
        <f>$E5*'Nutrient Content_TFP'!$I7</f>
        <v>0</v>
      </c>
      <c r="U5">
        <f>$E5*'Nutrient Content_TFP'!$J7</f>
        <v>1.2352340285767731</v>
      </c>
      <c r="V5">
        <f>$E5*'Nutrient Content_TFP'!$K7</f>
        <v>7.0414357644252266E-3</v>
      </c>
      <c r="W5">
        <f>$E5*'Nutrient Content_TFP'!$L7</f>
        <v>1.4962520399156467</v>
      </c>
      <c r="X5">
        <f>$E5*'Nutrient Content_TFP'!$M7</f>
        <v>4.3897965462803661E-2</v>
      </c>
      <c r="Y5">
        <f>$E5*'Nutrient Content_TFP'!$N7</f>
        <v>2.2021863507153818</v>
      </c>
      <c r="Z5">
        <f>$E5*'Nutrient Content_TFP'!$O7</f>
        <v>12.959357067929282</v>
      </c>
      <c r="AA5">
        <f>$E5*'Nutrient Content_TFP'!$P7</f>
        <v>7.5878487534388672E-3</v>
      </c>
      <c r="AB5">
        <f>$E5*'Nutrient Content_TFP'!$Q7</f>
        <v>2.1389761726693215</v>
      </c>
      <c r="AC5">
        <f>$E5*'Nutrient Content_TFP'!$R7</f>
        <v>6.8477633081864483E-4</v>
      </c>
      <c r="AD5">
        <f>$E5*'Nutrient Content_TFP'!$S7</f>
        <v>7.3688896375874611E-3</v>
      </c>
      <c r="AE5">
        <f>$E5*'Nutrient Content_TFP'!$T7</f>
        <v>4.4454282046626174E-4</v>
      </c>
      <c r="AF5">
        <f>$E5*'Nutrient Content_TFP'!$U7</f>
        <v>1.9194910132766432E-2</v>
      </c>
      <c r="AG5">
        <f>$E5*'Nutrient Content_TFP'!$W7</f>
        <v>7.9723638711850923E-4</v>
      </c>
      <c r="AH5">
        <f>$E5*'Nutrient Content_TFP'!$X7</f>
        <v>2.6782708028494947E-3</v>
      </c>
      <c r="AI5">
        <f>$E5*'Nutrient Content_TFP'!$V7</f>
        <v>0.51363701690816677</v>
      </c>
      <c r="AJ5">
        <f>$E5*'Nutrient Content_TFP'!$Y7</f>
        <v>1.1923278979644443E-2</v>
      </c>
      <c r="AK5">
        <f>$E5*'Nutrient Content_TFP'!$AF7</f>
        <v>0</v>
      </c>
      <c r="AL5">
        <f>$E5*'Nutrient Content_TFP'!$AI7</f>
        <v>0</v>
      </c>
      <c r="AM5">
        <f>$E5*'Nutrient Content_TFP'!$AO7</f>
        <v>4.5532953862213152E-4</v>
      </c>
      <c r="AN5">
        <f>$E5*'Nutrient Content_TFP'!$AP7</f>
        <v>5.1512526837538897E-3</v>
      </c>
      <c r="AO5">
        <f>$E5*'Nutrient Content_TFP'!$AQ7</f>
        <v>0</v>
      </c>
      <c r="AP5">
        <f>$E5*'Nutrient Content_TFP'!$AZ7</f>
        <v>0</v>
      </c>
      <c r="AQ5">
        <f>$E5*'Nutrient Content_TFP'!$BA7</f>
        <v>11.532892677653514</v>
      </c>
      <c r="AR5">
        <f>$E5*'Nutrient Content_TFP'!$AG7</f>
        <v>0</v>
      </c>
      <c r="AS5">
        <f>$E5*'Nutrient Content_TFP'!$AJ7</f>
        <v>0</v>
      </c>
      <c r="AT5">
        <f>$E5*'Nutrient Content_TFP'!$AK7</f>
        <v>0</v>
      </c>
      <c r="AU5">
        <f>$E5*'Nutrient Content_TFP'!$AL7</f>
        <v>0</v>
      </c>
      <c r="AV5">
        <f>$E5*'Nutrient Content_TFP'!$AM7</f>
        <v>0</v>
      </c>
      <c r="AW5">
        <f>$E5*'Nutrient Content_TFP'!AN7</f>
        <v>0</v>
      </c>
      <c r="AX5">
        <f>$E5*'Nutrient Content_TFP'!AH7</f>
        <v>0</v>
      </c>
      <c r="AY5">
        <f>$E5*'Nutrient Content_TFP'!$AR7</f>
        <v>0</v>
      </c>
      <c r="AZ5">
        <f>$E5*'Nutrient Content_TFP'!$AS7</f>
        <v>0</v>
      </c>
      <c r="BA5">
        <f>$E5*'Nutrient Content_TFP'!$AT7</f>
        <v>0</v>
      </c>
      <c r="BB5">
        <f>$E5*'Nutrient Content_TFP'!$AU7</f>
        <v>0</v>
      </c>
      <c r="BC5">
        <f>$E5*'Nutrient Content_TFP'!$AV7</f>
        <v>0</v>
      </c>
      <c r="BD5">
        <f>$E5*'Nutrient Content_TFP'!$AW7</f>
        <v>0</v>
      </c>
      <c r="BE5">
        <f>$E5*'Nutrient Content_TFP'!$AX7</f>
        <v>0</v>
      </c>
      <c r="BF5">
        <f>$E5*'Nutrient Content_TFP'!$AY7</f>
        <v>0</v>
      </c>
    </row>
    <row r="6" spans="1:58" ht="14.5" x14ac:dyDescent="0.35">
      <c r="A6" s="4">
        <v>3</v>
      </c>
      <c r="B6" t="s">
        <v>45</v>
      </c>
      <c r="C6" s="2">
        <f>'Your Model Diet'!E14</f>
        <v>1.407788991928101</v>
      </c>
      <c r="D6">
        <f>'Nutrient Content_TFP'!$G8</f>
        <v>1.1593526827</v>
      </c>
      <c r="E6">
        <f t="shared" si="0"/>
        <v>1.2142888121408588</v>
      </c>
      <c r="F6">
        <f t="shared" si="1"/>
        <v>121.42888121408588</v>
      </c>
      <c r="G6">
        <f>Cost_TFP!C8</f>
        <v>5.4746853334599999E-2</v>
      </c>
      <c r="H6" s="1">
        <f t="shared" si="2"/>
        <v>6.6478491504121245E-2</v>
      </c>
      <c r="I6">
        <f>$E6*'Nutrient Content_TFP'!$Z8</f>
        <v>0.47714195746230148</v>
      </c>
      <c r="J6">
        <f>$E6*'Nutrient Content_TFP'!$AA8</f>
        <v>0.58230942885507953</v>
      </c>
      <c r="K6">
        <f>$E6*'Nutrient Content_TFP'!$AB8</f>
        <v>0.15211669601815242</v>
      </c>
      <c r="L6">
        <f>$E6*'Nutrient Content_TFP'!$AC8</f>
        <v>1.9459300001092479E-2</v>
      </c>
      <c r="M6">
        <f>$E6*'Nutrient Content_TFP'!$AD8</f>
        <v>4.5264181905118172E-3</v>
      </c>
      <c r="N6">
        <f>$E6*'Nutrient Content_TFP'!$AE8</f>
        <v>2.7987817158775238E-2</v>
      </c>
      <c r="O6">
        <f>$E6*'Nutrient Content_TFP'!$C8</f>
        <v>2.1734364172521254</v>
      </c>
      <c r="P6">
        <f>$E6*'Nutrient Content_TFP'!$D8</f>
        <v>2.2194138761697904</v>
      </c>
      <c r="Q6">
        <f>$E6*'Nutrient Content_TFP'!$E8</f>
        <v>0</v>
      </c>
      <c r="R6">
        <f>$E6*'Nutrient Content_TFP'!$F8</f>
        <v>6.0682264382098837E-3</v>
      </c>
      <c r="S6">
        <f>$E6*'Nutrient Content_TFP'!$H8</f>
        <v>0</v>
      </c>
      <c r="T6">
        <f>$E6*'Nutrient Content_TFP'!$I8</f>
        <v>0</v>
      </c>
      <c r="U6">
        <f>$E6*'Nutrient Content_TFP'!$J8</f>
        <v>2.3726394296453965</v>
      </c>
      <c r="V6">
        <f>$E6*'Nutrient Content_TFP'!$K8</f>
        <v>2.2791140079748754E-2</v>
      </c>
      <c r="W6">
        <f>$E6*'Nutrient Content_TFP'!$L8</f>
        <v>4.3864802564708798</v>
      </c>
      <c r="X6">
        <f>$E6*'Nutrient Content_TFP'!$M8</f>
        <v>0.23485957425201892</v>
      </c>
      <c r="Y6">
        <f>$E6*'Nutrient Content_TFP'!$N8</f>
        <v>3.1202160907035741</v>
      </c>
      <c r="Z6">
        <f>$E6*'Nutrient Content_TFP'!$O8</f>
        <v>51.776087792943294</v>
      </c>
      <c r="AA6">
        <f>$E6*'Nutrient Content_TFP'!$P8</f>
        <v>6.5135449178637075E-2</v>
      </c>
      <c r="AB6">
        <f>$E6*'Nutrient Content_TFP'!$Q8</f>
        <v>3.0100494132784084</v>
      </c>
      <c r="AC6">
        <f>$E6*'Nutrient Content_TFP'!$R8</f>
        <v>1.1246042333404028E-2</v>
      </c>
      <c r="AD6">
        <f>$E6*'Nutrient Content_TFP'!$S8</f>
        <v>0</v>
      </c>
      <c r="AE6">
        <f>$E6*'Nutrient Content_TFP'!$T8</f>
        <v>1.0590742875910529E-3</v>
      </c>
      <c r="AF6">
        <f>$E6*'Nutrient Content_TFP'!$U8</f>
        <v>0.13033094396760347</v>
      </c>
      <c r="AG6">
        <f>$E6*'Nutrient Content_TFP'!$W8</f>
        <v>7.4819947306850442E-3</v>
      </c>
      <c r="AH6">
        <f>$E6*'Nutrient Content_TFP'!$X8</f>
        <v>8.3288204410799649E-2</v>
      </c>
      <c r="AI6">
        <f>$E6*'Nutrient Content_TFP'!$V8</f>
        <v>3.4438095285949E-3</v>
      </c>
      <c r="AJ6">
        <f>$E6*'Nutrient Content_TFP'!$Y8</f>
        <v>2.3138549930335473E-2</v>
      </c>
      <c r="AK6">
        <f>$E6*'Nutrient Content_TFP'!$AF8</f>
        <v>0</v>
      </c>
      <c r="AL6">
        <f>$E6*'Nutrient Content_TFP'!$AI8</f>
        <v>0</v>
      </c>
      <c r="AM6">
        <f>$E6*'Nutrient Content_TFP'!$AO8</f>
        <v>0</v>
      </c>
      <c r="AN6">
        <f>$E6*'Nutrient Content_TFP'!$AP8</f>
        <v>0</v>
      </c>
      <c r="AO6">
        <f>$E6*'Nutrient Content_TFP'!$AQ8</f>
        <v>0</v>
      </c>
      <c r="AP6">
        <f>$E6*'Nutrient Content_TFP'!$AZ8</f>
        <v>0</v>
      </c>
      <c r="AQ6">
        <f>$E6*'Nutrient Content_TFP'!$BA8</f>
        <v>0</v>
      </c>
      <c r="AR6">
        <f>$E6*'Nutrient Content_TFP'!$AG8</f>
        <v>0</v>
      </c>
      <c r="AS6">
        <f>$E6*'Nutrient Content_TFP'!$AJ8</f>
        <v>0</v>
      </c>
      <c r="AT6">
        <f>$E6*'Nutrient Content_TFP'!$AK8</f>
        <v>0</v>
      </c>
      <c r="AU6">
        <f>$E6*'Nutrient Content_TFP'!$AL8</f>
        <v>0</v>
      </c>
      <c r="AV6">
        <f>$E6*'Nutrient Content_TFP'!$AM8</f>
        <v>0</v>
      </c>
      <c r="AW6">
        <f>$E6*'Nutrient Content_TFP'!AN8</f>
        <v>0</v>
      </c>
      <c r="AX6">
        <f>$E6*'Nutrient Content_TFP'!AH8</f>
        <v>0</v>
      </c>
      <c r="AY6">
        <f>$E6*'Nutrient Content_TFP'!$AR8</f>
        <v>0</v>
      </c>
      <c r="AZ6">
        <f>$E6*'Nutrient Content_TFP'!$AS8</f>
        <v>0</v>
      </c>
      <c r="BA6">
        <f>$E6*'Nutrient Content_TFP'!$AT8</f>
        <v>0</v>
      </c>
      <c r="BB6">
        <f>$E6*'Nutrient Content_TFP'!$AU8</f>
        <v>0</v>
      </c>
      <c r="BC6">
        <f>$E6*'Nutrient Content_TFP'!$AV8</f>
        <v>0</v>
      </c>
      <c r="BD6">
        <f>$E6*'Nutrient Content_TFP'!$AW8</f>
        <v>0</v>
      </c>
      <c r="BE6">
        <f>$E6*'Nutrient Content_TFP'!$AX8</f>
        <v>0</v>
      </c>
      <c r="BF6">
        <f>$E6*'Nutrient Content_TFP'!$AY8</f>
        <v>0</v>
      </c>
    </row>
    <row r="7" spans="1:58" ht="14.5" x14ac:dyDescent="0.35">
      <c r="A7" s="4">
        <v>4</v>
      </c>
      <c r="B7" t="s">
        <v>47</v>
      </c>
      <c r="C7" s="2">
        <f>'Your Model Diet'!E15</f>
        <v>0</v>
      </c>
      <c r="D7">
        <f>'Nutrient Content_TFP'!$G9</f>
        <v>1.6578389487</v>
      </c>
      <c r="E7">
        <f t="shared" si="0"/>
        <v>0</v>
      </c>
      <c r="F7">
        <f t="shared" si="1"/>
        <v>0</v>
      </c>
      <c r="G7">
        <f>Cost_TFP!C9</f>
        <v>0.1007799649314</v>
      </c>
      <c r="H7" s="1">
        <f t="shared" si="2"/>
        <v>0</v>
      </c>
      <c r="I7">
        <f>$E7*'Nutrient Content_TFP'!$Z9</f>
        <v>0</v>
      </c>
      <c r="J7">
        <f>$E7*'Nutrient Content_TFP'!$AA9</f>
        <v>0</v>
      </c>
      <c r="K7">
        <f>$E7*'Nutrient Content_TFP'!$AB9</f>
        <v>0</v>
      </c>
      <c r="L7">
        <f>$E7*'Nutrient Content_TFP'!$AC9</f>
        <v>0</v>
      </c>
      <c r="M7">
        <f>$E7*'Nutrient Content_TFP'!$AD9</f>
        <v>0</v>
      </c>
      <c r="N7">
        <f>$E7*'Nutrient Content_TFP'!$AE9</f>
        <v>0</v>
      </c>
      <c r="O7">
        <f>$E7*'Nutrient Content_TFP'!$C9</f>
        <v>0</v>
      </c>
      <c r="P7">
        <f>$E7*'Nutrient Content_TFP'!$D9</f>
        <v>0</v>
      </c>
      <c r="Q7">
        <f>$E7*'Nutrient Content_TFP'!$E9</f>
        <v>0</v>
      </c>
      <c r="R7">
        <f>$E7*'Nutrient Content_TFP'!$F9</f>
        <v>0</v>
      </c>
      <c r="S7">
        <f>$E7*'Nutrient Content_TFP'!$H9</f>
        <v>0</v>
      </c>
      <c r="T7">
        <f>$E7*'Nutrient Content_TFP'!$I9</f>
        <v>0</v>
      </c>
      <c r="U7">
        <f>$E7*'Nutrient Content_TFP'!$J9</f>
        <v>0</v>
      </c>
      <c r="V7">
        <f>$E7*'Nutrient Content_TFP'!$K9</f>
        <v>0</v>
      </c>
      <c r="W7">
        <f>$E7*'Nutrient Content_TFP'!$L9</f>
        <v>0</v>
      </c>
      <c r="X7">
        <f>$E7*'Nutrient Content_TFP'!$M9</f>
        <v>0</v>
      </c>
      <c r="Y7">
        <f>$E7*'Nutrient Content_TFP'!$N9</f>
        <v>0</v>
      </c>
      <c r="Z7">
        <f>$E7*'Nutrient Content_TFP'!$O9</f>
        <v>0</v>
      </c>
      <c r="AA7">
        <f>$E7*'Nutrient Content_TFP'!$P9</f>
        <v>0</v>
      </c>
      <c r="AB7">
        <f>$E7*'Nutrient Content_TFP'!$Q9</f>
        <v>0</v>
      </c>
      <c r="AC7">
        <f>$E7*'Nutrient Content_TFP'!$R9</f>
        <v>0</v>
      </c>
      <c r="AD7">
        <f>$E7*'Nutrient Content_TFP'!$S9</f>
        <v>0</v>
      </c>
      <c r="AE7">
        <f>$E7*'Nutrient Content_TFP'!$T9</f>
        <v>0</v>
      </c>
      <c r="AF7">
        <f>$E7*'Nutrient Content_TFP'!$U9</f>
        <v>0</v>
      </c>
      <c r="AG7">
        <f>$E7*'Nutrient Content_TFP'!$W9</f>
        <v>0</v>
      </c>
      <c r="AH7">
        <f>$E7*'Nutrient Content_TFP'!$X9</f>
        <v>0</v>
      </c>
      <c r="AI7">
        <f>$E7*'Nutrient Content_TFP'!$V9</f>
        <v>0</v>
      </c>
      <c r="AJ7">
        <f>$E7*'Nutrient Content_TFP'!$Y9</f>
        <v>0</v>
      </c>
      <c r="AK7">
        <f>$E7*'Nutrient Content_TFP'!$AF9</f>
        <v>0</v>
      </c>
      <c r="AL7">
        <f>$E7*'Nutrient Content_TFP'!$AI9</f>
        <v>0</v>
      </c>
      <c r="AM7">
        <f>$E7*'Nutrient Content_TFP'!$AO9</f>
        <v>0</v>
      </c>
      <c r="AN7">
        <f>$E7*'Nutrient Content_TFP'!$AP9</f>
        <v>0</v>
      </c>
      <c r="AO7">
        <f>$E7*'Nutrient Content_TFP'!$AQ9</f>
        <v>0</v>
      </c>
      <c r="AP7">
        <f>$E7*'Nutrient Content_TFP'!$AZ9</f>
        <v>0</v>
      </c>
      <c r="AQ7">
        <f>$E7*'Nutrient Content_TFP'!$BA9</f>
        <v>0</v>
      </c>
      <c r="AR7">
        <f>$E7*'Nutrient Content_TFP'!$AG9</f>
        <v>0</v>
      </c>
      <c r="AS7">
        <f>$E7*'Nutrient Content_TFP'!$AJ9</f>
        <v>0</v>
      </c>
      <c r="AT7">
        <f>$E7*'Nutrient Content_TFP'!$AK9</f>
        <v>0</v>
      </c>
      <c r="AU7">
        <f>$E7*'Nutrient Content_TFP'!$AL9</f>
        <v>0</v>
      </c>
      <c r="AV7">
        <f>$E7*'Nutrient Content_TFP'!$AM9</f>
        <v>0</v>
      </c>
      <c r="AW7">
        <f>$E7*'Nutrient Content_TFP'!AN9</f>
        <v>0</v>
      </c>
      <c r="AX7">
        <f>$E7*'Nutrient Content_TFP'!AH9</f>
        <v>0</v>
      </c>
      <c r="AY7">
        <f>$E7*'Nutrient Content_TFP'!$AR9</f>
        <v>0</v>
      </c>
      <c r="AZ7">
        <f>$E7*'Nutrient Content_TFP'!$AS9</f>
        <v>0</v>
      </c>
      <c r="BA7">
        <f>$E7*'Nutrient Content_TFP'!$AT9</f>
        <v>0</v>
      </c>
      <c r="BB7">
        <f>$E7*'Nutrient Content_TFP'!$AU9</f>
        <v>0</v>
      </c>
      <c r="BC7">
        <f>$E7*'Nutrient Content_TFP'!$AV9</f>
        <v>0</v>
      </c>
      <c r="BD7">
        <f>$E7*'Nutrient Content_TFP'!$AW9</f>
        <v>0</v>
      </c>
      <c r="BE7">
        <f>$E7*'Nutrient Content_TFP'!$AX9</f>
        <v>0</v>
      </c>
      <c r="BF7">
        <f>$E7*'Nutrient Content_TFP'!$AY9</f>
        <v>0</v>
      </c>
    </row>
    <row r="8" spans="1:58" ht="14.5" x14ac:dyDescent="0.35">
      <c r="A8" s="4">
        <v>5</v>
      </c>
      <c r="B8" t="s">
        <v>49</v>
      </c>
      <c r="C8" s="2">
        <f>'Your Model Diet'!E16</f>
        <v>0.19421657919883731</v>
      </c>
      <c r="D8">
        <f>'Nutrient Content_TFP'!$G10</f>
        <v>20.104912886000001</v>
      </c>
      <c r="E8">
        <f t="shared" si="0"/>
        <v>9.6601552217656945E-3</v>
      </c>
      <c r="F8">
        <f t="shared" si="1"/>
        <v>0.9660155221765695</v>
      </c>
      <c r="G8">
        <f>Cost_TFP!C10</f>
        <v>0.219735134064</v>
      </c>
      <c r="H8" s="1">
        <f t="shared" si="2"/>
        <v>2.1226755027337345E-3</v>
      </c>
      <c r="I8">
        <f>$E8*'Nutrient Content_TFP'!$Z10</f>
        <v>3.478964431903789E-3</v>
      </c>
      <c r="J8">
        <f>$E8*'Nutrient Content_TFP'!$AA10</f>
        <v>0.1869870316103168</v>
      </c>
      <c r="K8">
        <f>$E8*'Nutrient Content_TFP'!$AB10</f>
        <v>4.9886314773656274E-3</v>
      </c>
      <c r="L8">
        <f>$E8*'Nutrient Content_TFP'!$AC10</f>
        <v>1.6286166780159835E-4</v>
      </c>
      <c r="M8">
        <f>$E8*'Nutrient Content_TFP'!$AD10</f>
        <v>3.5424446088769878E-5</v>
      </c>
      <c r="N8">
        <f>$E8*'Nutrient Content_TFP'!$AE10</f>
        <v>2.0165566297311707E-4</v>
      </c>
      <c r="O8">
        <f>$E8*'Nutrient Content_TFP'!$C10</f>
        <v>4.3250540997602401E-2</v>
      </c>
      <c r="P8">
        <f>$E8*'Nutrient Content_TFP'!$D10</f>
        <v>1.0153499793308408E-2</v>
      </c>
      <c r="Q8">
        <f>$E8*'Nutrient Content_TFP'!$E10</f>
        <v>0</v>
      </c>
      <c r="R8">
        <f>$E8*'Nutrient Content_TFP'!$F10</f>
        <v>1.1202177205756697E-4</v>
      </c>
      <c r="S8">
        <f>$E8*'Nutrient Content_TFP'!$H10</f>
        <v>7.0631878722513843E-5</v>
      </c>
      <c r="T8">
        <f>$E8*'Nutrient Content_TFP'!$I10</f>
        <v>0</v>
      </c>
      <c r="U8">
        <f>$E8*'Nutrient Content_TFP'!$J10</f>
        <v>1.9668214587121303E-2</v>
      </c>
      <c r="V8">
        <f>$E8*'Nutrient Content_TFP'!$K10</f>
        <v>1.1178759704698492E-3</v>
      </c>
      <c r="W8">
        <f>$E8*'Nutrient Content_TFP'!$L10</f>
        <v>5.5057829179790074E-2</v>
      </c>
      <c r="X8">
        <f>$E8*'Nutrient Content_TFP'!$M10</f>
        <v>1.1353732328421929E-3</v>
      </c>
      <c r="Y8">
        <f>$E8*'Nutrient Content_TFP'!$N10</f>
        <v>6.8033823820166456E-2</v>
      </c>
      <c r="Z8">
        <f>$E8*'Nutrient Content_TFP'!$O10</f>
        <v>0.90806890026002252</v>
      </c>
      <c r="AA8">
        <f>$E8*'Nutrient Content_TFP'!$P10</f>
        <v>1.3907634667316985E-4</v>
      </c>
      <c r="AB8">
        <f>$E8*'Nutrient Content_TFP'!$Q10</f>
        <v>0.12839968458734022</v>
      </c>
      <c r="AC8">
        <f>$E8*'Nutrient Content_TFP'!$R10</f>
        <v>1.7465206016654185E-4</v>
      </c>
      <c r="AD8">
        <f>$E8*'Nutrient Content_TFP'!$S10</f>
        <v>0</v>
      </c>
      <c r="AE8">
        <f>$E8*'Nutrient Content_TFP'!$T10</f>
        <v>2.0102357100250682E-4</v>
      </c>
      <c r="AF8">
        <f>$E8*'Nutrient Content_TFP'!$U10</f>
        <v>0.19150101594943469</v>
      </c>
      <c r="AG8">
        <f>$E8*'Nutrient Content_TFP'!$W10</f>
        <v>2.2859666024573114E-3</v>
      </c>
      <c r="AH8">
        <f>$E8*'Nutrient Content_TFP'!$X10</f>
        <v>2.8392270985639354E-3</v>
      </c>
      <c r="AI8">
        <f>$E8*'Nutrient Content_TFP'!$V10</f>
        <v>5.5144995377292123E-2</v>
      </c>
      <c r="AJ8">
        <f>$E8*'Nutrient Content_TFP'!$Y10</f>
        <v>3.1697589696318704E-4</v>
      </c>
      <c r="AK8">
        <f>$E8*'Nutrient Content_TFP'!$AF10</f>
        <v>0</v>
      </c>
      <c r="AL8">
        <f>$E8*'Nutrient Content_TFP'!$AI10</f>
        <v>7.9851673836464303E-6</v>
      </c>
      <c r="AM8">
        <f>$E8*'Nutrient Content_TFP'!$AO10</f>
        <v>1.3649853067798424E-3</v>
      </c>
      <c r="AN8">
        <f>$E8*'Nutrient Content_TFP'!$AP10</f>
        <v>0</v>
      </c>
      <c r="AO8">
        <f>$E8*'Nutrient Content_TFP'!$AQ10</f>
        <v>0</v>
      </c>
      <c r="AP8">
        <f>$E8*'Nutrient Content_TFP'!$AZ10</f>
        <v>0</v>
      </c>
      <c r="AQ8">
        <f>$E8*'Nutrient Content_TFP'!$BA10</f>
        <v>0</v>
      </c>
      <c r="AR8">
        <f>$E8*'Nutrient Content_TFP'!$AG10</f>
        <v>0</v>
      </c>
      <c r="AS8">
        <f>$E8*'Nutrient Content_TFP'!$AJ10</f>
        <v>0</v>
      </c>
      <c r="AT8">
        <f>$E8*'Nutrient Content_TFP'!$AK10</f>
        <v>7.9851673836464303E-6</v>
      </c>
      <c r="AU8">
        <f>$E8*'Nutrient Content_TFP'!$AL10</f>
        <v>0</v>
      </c>
      <c r="AV8">
        <f>$E8*'Nutrient Content_TFP'!$AM10</f>
        <v>0</v>
      </c>
      <c r="AW8">
        <f>$E8*'Nutrient Content_TFP'!AN10</f>
        <v>0</v>
      </c>
      <c r="AX8">
        <f>$E8*'Nutrient Content_TFP'!AH10</f>
        <v>0</v>
      </c>
      <c r="AY8">
        <f>$E8*'Nutrient Content_TFP'!$AR10</f>
        <v>0</v>
      </c>
      <c r="AZ8">
        <f>$E8*'Nutrient Content_TFP'!$AS10</f>
        <v>0</v>
      </c>
      <c r="BA8">
        <f>$E8*'Nutrient Content_TFP'!$AT10</f>
        <v>0</v>
      </c>
      <c r="BB8">
        <f>$E8*'Nutrient Content_TFP'!$AU10</f>
        <v>0</v>
      </c>
      <c r="BC8">
        <f>$E8*'Nutrient Content_TFP'!$AV10</f>
        <v>0</v>
      </c>
      <c r="BD8">
        <f>$E8*'Nutrient Content_TFP'!$AW10</f>
        <v>0</v>
      </c>
      <c r="BE8">
        <f>$E8*'Nutrient Content_TFP'!$AX10</f>
        <v>0</v>
      </c>
      <c r="BF8">
        <f>$E8*'Nutrient Content_TFP'!$AY10</f>
        <v>0</v>
      </c>
    </row>
    <row r="9" spans="1:58" ht="14.5" x14ac:dyDescent="0.35">
      <c r="A9" s="4">
        <v>6</v>
      </c>
      <c r="B9" t="s">
        <v>52</v>
      </c>
      <c r="C9" s="2">
        <f>'Your Model Diet'!E17</f>
        <v>6.281407356262207</v>
      </c>
      <c r="D9">
        <f>'Nutrient Content_TFP'!$G11</f>
        <v>35.812749676999999</v>
      </c>
      <c r="E9">
        <f t="shared" si="0"/>
        <v>0.17539584122735796</v>
      </c>
      <c r="F9">
        <f t="shared" si="1"/>
        <v>17.539584122735796</v>
      </c>
      <c r="G9">
        <f>Cost_TFP!C11</f>
        <v>0.1098630292734</v>
      </c>
      <c r="H9" s="1">
        <f t="shared" si="2"/>
        <v>1.9269518439193847E-2</v>
      </c>
      <c r="I9">
        <f>$E9*'Nutrient Content_TFP'!$Z11</f>
        <v>2.7854879392793266E-2</v>
      </c>
      <c r="J9">
        <f>$E9*'Nutrient Content_TFP'!$AA11</f>
        <v>6.3896348230294828</v>
      </c>
      <c r="K9">
        <f>$E9*'Nutrient Content_TFP'!$AB11</f>
        <v>7.9359351049648238E-2</v>
      </c>
      <c r="L9">
        <f>$E9*'Nutrient Content_TFP'!$AC11</f>
        <v>2.0697769883480141E-2</v>
      </c>
      <c r="M9">
        <f>$E9*'Nutrient Content_TFP'!$AD11</f>
        <v>4.3640072629729772E-3</v>
      </c>
      <c r="N9">
        <f>$E9*'Nutrient Content_TFP'!$AE11</f>
        <v>1.2783346576809747E-2</v>
      </c>
      <c r="O9">
        <f>$E9*'Nutrient Content_TFP'!$C11</f>
        <v>0.96811920667634033</v>
      </c>
      <c r="P9">
        <f>$E9*'Nutrient Content_TFP'!$D11</f>
        <v>0.12593944430522844</v>
      </c>
      <c r="Q9">
        <f>$E9*'Nutrient Content_TFP'!$E11</f>
        <v>0</v>
      </c>
      <c r="R9">
        <f>$E9*'Nutrient Content_TFP'!$F11</f>
        <v>1.8654877166265022E-3</v>
      </c>
      <c r="S9">
        <f>$E9*'Nutrient Content_TFP'!$H11</f>
        <v>8.3579822354211113E-3</v>
      </c>
      <c r="T9">
        <f>$E9*'Nutrient Content_TFP'!$I11</f>
        <v>1.3366806174686125E-2</v>
      </c>
      <c r="U9">
        <f>$E9*'Nutrient Content_TFP'!$J11</f>
        <v>0.11115702878466759</v>
      </c>
      <c r="V9">
        <f>$E9*'Nutrient Content_TFP'!$K11</f>
        <v>1.50204054193741E-2</v>
      </c>
      <c r="W9">
        <f>$E9*'Nutrient Content_TFP'!$L11</f>
        <v>0.95384599031184902</v>
      </c>
      <c r="X9">
        <f>$E9*'Nutrient Content_TFP'!$M11</f>
        <v>6.0185706410605926E-3</v>
      </c>
      <c r="Y9">
        <f>$E9*'Nutrient Content_TFP'!$N11</f>
        <v>0.75147351764119175</v>
      </c>
      <c r="Z9">
        <f>$E9*'Nutrient Content_TFP'!$O11</f>
        <v>6.344515261221999</v>
      </c>
      <c r="AA9">
        <f>$E9*'Nutrient Content_TFP'!$P11</f>
        <v>8.7371929903173819E-4</v>
      </c>
      <c r="AB9">
        <f>$E9*'Nutrient Content_TFP'!$Q11</f>
        <v>2.4150504434940174</v>
      </c>
      <c r="AC9">
        <f>$E9*'Nutrient Content_TFP'!$R11</f>
        <v>1.2317309232759846E-3</v>
      </c>
      <c r="AD9">
        <f>$E9*'Nutrient Content_TFP'!$S11</f>
        <v>4.1771268528537341E-4</v>
      </c>
      <c r="AE9">
        <f>$E9*'Nutrient Content_TFP'!$T11</f>
        <v>1.8259347441984283E-3</v>
      </c>
      <c r="AF9">
        <f>$E9*'Nutrient Content_TFP'!$U11</f>
        <v>1.9722896419426807</v>
      </c>
      <c r="AG9">
        <f>$E9*'Nutrient Content_TFP'!$W11</f>
        <v>2.2714757336529348E-2</v>
      </c>
      <c r="AH9">
        <f>$E9*'Nutrient Content_TFP'!$X11</f>
        <v>2.1782235880142772E-2</v>
      </c>
      <c r="AI9">
        <f>$E9*'Nutrient Content_TFP'!$V11</f>
        <v>1.02756211796098</v>
      </c>
      <c r="AJ9">
        <f>$E9*'Nutrient Content_TFP'!$Y11</f>
        <v>3.585840250641752E-3</v>
      </c>
      <c r="AK9">
        <f>$E9*'Nutrient Content_TFP'!$AF11</f>
        <v>0</v>
      </c>
      <c r="AL9">
        <f>$E9*'Nutrient Content_TFP'!$AI11</f>
        <v>8.2555542563486446E-5</v>
      </c>
      <c r="AM9">
        <f>$E9*'Nutrient Content_TFP'!$AO11</f>
        <v>3.6020842032249254E-3</v>
      </c>
      <c r="AN9">
        <f>$E9*'Nutrient Content_TFP'!$AP11</f>
        <v>0</v>
      </c>
      <c r="AO9">
        <f>$E9*'Nutrient Content_TFP'!$AQ11</f>
        <v>0</v>
      </c>
      <c r="AP9">
        <f>$E9*'Nutrient Content_TFP'!$AZ11</f>
        <v>0</v>
      </c>
      <c r="AQ9">
        <f>$E9*'Nutrient Content_TFP'!$BA11</f>
        <v>5.5255650279324549</v>
      </c>
      <c r="AR9">
        <f>$E9*'Nutrient Content_TFP'!$AG11</f>
        <v>0</v>
      </c>
      <c r="AS9">
        <f>$E9*'Nutrient Content_TFP'!$AJ11</f>
        <v>0</v>
      </c>
      <c r="AT9">
        <f>$E9*'Nutrient Content_TFP'!$AK11</f>
        <v>8.2555542563486446E-5</v>
      </c>
      <c r="AU9">
        <f>$E9*'Nutrient Content_TFP'!$AL11</f>
        <v>0</v>
      </c>
      <c r="AV9">
        <f>$E9*'Nutrient Content_TFP'!$AM11</f>
        <v>0</v>
      </c>
      <c r="AW9">
        <f>$E9*'Nutrient Content_TFP'!AN11</f>
        <v>0</v>
      </c>
      <c r="AX9">
        <f>$E9*'Nutrient Content_TFP'!AH11</f>
        <v>0</v>
      </c>
      <c r="AY9">
        <f>$E9*'Nutrient Content_TFP'!$AR11</f>
        <v>0</v>
      </c>
      <c r="AZ9">
        <f>$E9*'Nutrient Content_TFP'!$AS11</f>
        <v>0</v>
      </c>
      <c r="BA9">
        <f>$E9*'Nutrient Content_TFP'!$AT11</f>
        <v>0</v>
      </c>
      <c r="BB9">
        <f>$E9*'Nutrient Content_TFP'!$AU11</f>
        <v>0</v>
      </c>
      <c r="BC9">
        <f>$E9*'Nutrient Content_TFP'!$AV11</f>
        <v>0</v>
      </c>
      <c r="BD9">
        <f>$E9*'Nutrient Content_TFP'!$AW11</f>
        <v>0</v>
      </c>
      <c r="BE9">
        <f>$E9*'Nutrient Content_TFP'!$AX11</f>
        <v>0</v>
      </c>
      <c r="BF9">
        <f>$E9*'Nutrient Content_TFP'!$AY11</f>
        <v>0</v>
      </c>
    </row>
    <row r="10" spans="1:58" ht="14.5" x14ac:dyDescent="0.35">
      <c r="A10" s="4">
        <v>7</v>
      </c>
      <c r="B10" t="s">
        <v>55</v>
      </c>
      <c r="C10" s="2">
        <f>'Your Model Diet'!E18</f>
        <v>36.960758209228523</v>
      </c>
      <c r="D10">
        <f>'Nutrient Content_TFP'!$G12</f>
        <v>65.028251931</v>
      </c>
      <c r="E10">
        <f t="shared" si="0"/>
        <v>0.5683800057926629</v>
      </c>
      <c r="F10">
        <f t="shared" si="1"/>
        <v>56.838000579266293</v>
      </c>
      <c r="G10">
        <f>Cost_TFP!C12</f>
        <v>0.37237198850520004</v>
      </c>
      <c r="H10" s="1">
        <f t="shared" si="2"/>
        <v>0.211648792983611</v>
      </c>
      <c r="I10">
        <f>$E10*'Nutrient Content_TFP'!$Z12</f>
        <v>5.7136304230703256</v>
      </c>
      <c r="J10">
        <f>$E10*'Nutrient Content_TFP'!$AA12</f>
        <v>24.863131379473277</v>
      </c>
      <c r="K10">
        <f>$E10*'Nutrient Content_TFP'!$AB12</f>
        <v>7.343168678409917</v>
      </c>
      <c r="L10">
        <f>$E10*'Nutrient Content_TFP'!$AC12</f>
        <v>0.93482437905223237</v>
      </c>
      <c r="M10">
        <f>$E10*'Nutrient Content_TFP'!$AD12</f>
        <v>0.17650110300793662</v>
      </c>
      <c r="N10">
        <f>$E10*'Nutrient Content_TFP'!$AE12</f>
        <v>2.4693847352636391</v>
      </c>
      <c r="O10">
        <f>$E10*'Nutrient Content_TFP'!$C12</f>
        <v>60.808027740310344</v>
      </c>
      <c r="P10">
        <f>$E10*'Nutrient Content_TFP'!$D12</f>
        <v>6.7673048636668023</v>
      </c>
      <c r="Q10">
        <f>$E10*'Nutrient Content_TFP'!$E12</f>
        <v>1.078612923860518</v>
      </c>
      <c r="R10">
        <f>$E10*'Nutrient Content_TFP'!$F12</f>
        <v>3.7718258289142825E-2</v>
      </c>
      <c r="S10">
        <f>$E10*'Nutrient Content_TFP'!$H12</f>
        <v>0.40560694078783405</v>
      </c>
      <c r="T10">
        <f>$E10*'Nutrient Content_TFP'!$I12</f>
        <v>5.4955151846890784</v>
      </c>
      <c r="U10">
        <f>$E10*'Nutrient Content_TFP'!$J12</f>
        <v>15.630252863230618</v>
      </c>
      <c r="V10">
        <f>$E10*'Nutrient Content_TFP'!$K12</f>
        <v>0.35364529104772724</v>
      </c>
      <c r="W10">
        <f>$E10*'Nutrient Content_TFP'!$L12</f>
        <v>11.241117428695166</v>
      </c>
      <c r="X10">
        <f>$E10*'Nutrient Content_TFP'!$M12</f>
        <v>0.36196972675148198</v>
      </c>
      <c r="Y10">
        <f>$E10*'Nutrient Content_TFP'!$N12</f>
        <v>34.408899452977892</v>
      </c>
      <c r="Z10">
        <f>$E10*'Nutrient Content_TFP'!$O12</f>
        <v>86.168469136328895</v>
      </c>
      <c r="AA10">
        <f>$E10*'Nutrient Content_TFP'!$P12</f>
        <v>7.1467147277311696E-2</v>
      </c>
      <c r="AB10">
        <f>$E10*'Nutrient Content_TFP'!$Q12</f>
        <v>25.225210439120612</v>
      </c>
      <c r="AC10">
        <f>$E10*'Nutrient Content_TFP'!$R12</f>
        <v>3.8222531396138147E-2</v>
      </c>
      <c r="AD10">
        <f>$E10*'Nutrient Content_TFP'!$S12</f>
        <v>0.22488986322912821</v>
      </c>
      <c r="AE10">
        <f>$E10*'Nutrient Content_TFP'!$T12</f>
        <v>6.0888639013312498E-2</v>
      </c>
      <c r="AF10">
        <f>$E10*'Nutrient Content_TFP'!$U12</f>
        <v>5.1299084624292908</v>
      </c>
      <c r="AG10">
        <f>$E10*'Nutrient Content_TFP'!$W12</f>
        <v>0.69963988370256214</v>
      </c>
      <c r="AH10">
        <f>$E10*'Nutrient Content_TFP'!$X12</f>
        <v>6.8657101935259037</v>
      </c>
      <c r="AI10">
        <f>$E10*'Nutrient Content_TFP'!$V12</f>
        <v>34.26139767533958</v>
      </c>
      <c r="AJ10">
        <f>$E10*'Nutrient Content_TFP'!$Y12</f>
        <v>0.32393179102856312</v>
      </c>
      <c r="AK10">
        <f>$E10*'Nutrient Content_TFP'!$AF12</f>
        <v>1.334935351697436E-2</v>
      </c>
      <c r="AL10">
        <f>$E10*'Nutrient Content_TFP'!$AI12</f>
        <v>1.5203192202059818E-2</v>
      </c>
      <c r="AM10">
        <f>$E10*'Nutrient Content_TFP'!$AO12</f>
        <v>9.4700283519976947E-2</v>
      </c>
      <c r="AN10">
        <f>$E10*'Nutrient Content_TFP'!$AP12</f>
        <v>7.0778925825085673E-2</v>
      </c>
      <c r="AO10">
        <f>$E10*'Nutrient Content_TFP'!$AQ12</f>
        <v>3.0683787040338792E-2</v>
      </c>
      <c r="AP10">
        <f>$E10*'Nutrient Content_TFP'!$AZ12</f>
        <v>0.34870238319407942</v>
      </c>
      <c r="AQ10">
        <f>$E10*'Nutrient Content_TFP'!$BA12</f>
        <v>6.0680338034551395</v>
      </c>
      <c r="AR10">
        <f>$E10*'Nutrient Content_TFP'!$AG12</f>
        <v>2.963180386219347E-4</v>
      </c>
      <c r="AS10">
        <f>$E10*'Nutrient Content_TFP'!$AJ12</f>
        <v>1.5203192202059818E-2</v>
      </c>
      <c r="AT10">
        <f>$E10*'Nutrient Content_TFP'!$AK12</f>
        <v>0</v>
      </c>
      <c r="AU10">
        <f>$E10*'Nutrient Content_TFP'!$AL12</f>
        <v>0</v>
      </c>
      <c r="AV10">
        <f>$E10*'Nutrient Content_TFP'!$AM12</f>
        <v>0</v>
      </c>
      <c r="AW10">
        <f>$E10*'Nutrient Content_TFP'!AN12</f>
        <v>0</v>
      </c>
      <c r="AX10">
        <f>$E10*'Nutrient Content_TFP'!AH12</f>
        <v>1.3053035535190428E-2</v>
      </c>
      <c r="AY10">
        <f>$E10*'Nutrient Content_TFP'!$AR12</f>
        <v>0</v>
      </c>
      <c r="AZ10">
        <f>$E10*'Nutrient Content_TFP'!$AS12</f>
        <v>0</v>
      </c>
      <c r="BA10">
        <f>$E10*'Nutrient Content_TFP'!$AT12</f>
        <v>0</v>
      </c>
      <c r="BB10">
        <f>$E10*'Nutrient Content_TFP'!$AU12</f>
        <v>1.3514414026232581E-2</v>
      </c>
      <c r="BC10">
        <f>$E10*'Nutrient Content_TFP'!$AV12</f>
        <v>1.7169373127782214E-2</v>
      </c>
      <c r="BD10">
        <f>$E10*'Nutrient Content_TFP'!$AW12</f>
        <v>0</v>
      </c>
      <c r="BE10">
        <f>$E10*'Nutrient Content_TFP'!$AX12</f>
        <v>0</v>
      </c>
      <c r="BF10">
        <f>$E10*'Nutrient Content_TFP'!$AY12</f>
        <v>3.0683787154014795E-2</v>
      </c>
    </row>
    <row r="11" spans="1:58" ht="14.5" x14ac:dyDescent="0.35">
      <c r="A11" s="4">
        <v>8</v>
      </c>
      <c r="B11" t="s">
        <v>58</v>
      </c>
      <c r="C11" s="2">
        <f>'Your Model Diet'!E19</f>
        <v>40.154331207275391</v>
      </c>
      <c r="D11">
        <f>'Nutrient Content_TFP'!$G13</f>
        <v>39.564153843</v>
      </c>
      <c r="E11">
        <f t="shared" si="0"/>
        <v>1.0149169717269162</v>
      </c>
      <c r="F11">
        <f t="shared" si="1"/>
        <v>101.49169717269162</v>
      </c>
      <c r="G11">
        <f>Cost_TFP!C13</f>
        <v>0.1395130797452</v>
      </c>
      <c r="H11" s="1">
        <f t="shared" si="2"/>
        <v>0.14159419241129415</v>
      </c>
      <c r="I11">
        <f>$E11*'Nutrient Content_TFP'!$Z13</f>
        <v>0.11758074834095823</v>
      </c>
      <c r="J11">
        <f>$E11*'Nutrient Content_TFP'!$AA13</f>
        <v>40.246025996173032</v>
      </c>
      <c r="K11">
        <f>$E11*'Nutrient Content_TFP'!$AB13</f>
        <v>1.0305631016601593</v>
      </c>
      <c r="L11">
        <f>$E11*'Nutrient Content_TFP'!$AC13</f>
        <v>2.2221627394300269E-3</v>
      </c>
      <c r="M11">
        <f>$E11*'Nutrient Content_TFP'!$AD13</f>
        <v>0</v>
      </c>
      <c r="N11">
        <f>$E11*'Nutrient Content_TFP'!$AE13</f>
        <v>1.6161184666673252E-3</v>
      </c>
      <c r="O11">
        <f>$E11*'Nutrient Content_TFP'!$C13</f>
        <v>1.7467933211953481</v>
      </c>
      <c r="P11">
        <f>$E11*'Nutrient Content_TFP'!$D13</f>
        <v>0.26816121510672492</v>
      </c>
      <c r="Q11">
        <f>$E11*'Nutrient Content_TFP'!$E13</f>
        <v>0</v>
      </c>
      <c r="R11">
        <f>$E11*'Nutrient Content_TFP'!$F13</f>
        <v>4.6693766188884833E-3</v>
      </c>
      <c r="S11">
        <f>$E11*'Nutrient Content_TFP'!$H13</f>
        <v>0</v>
      </c>
      <c r="T11">
        <f>$E11*'Nutrient Content_TFP'!$I13</f>
        <v>0.10403656656615304</v>
      </c>
      <c r="U11">
        <f>$E11*'Nutrient Content_TFP'!$J13</f>
        <v>0.18206399169375123</v>
      </c>
      <c r="V11">
        <f>$E11*'Nutrient Content_TFP'!$K13</f>
        <v>5.4814937135568439E-2</v>
      </c>
      <c r="W11">
        <f>$E11*'Nutrient Content_TFP'!$L13</f>
        <v>0.72610709656916317</v>
      </c>
      <c r="X11">
        <f>$E11*'Nutrient Content_TFP'!$M13</f>
        <v>0.62576048444291554</v>
      </c>
      <c r="Y11">
        <f>$E11*'Nutrient Content_TFP'!$N13</f>
        <v>5.4028801505349824</v>
      </c>
      <c r="Z11">
        <f>$E11*'Nutrient Content_TFP'!$O13</f>
        <v>5.1349042836253025</v>
      </c>
      <c r="AA11">
        <f>$E11*'Nutrient Content_TFP'!$P13</f>
        <v>3.4038500154208534E-2</v>
      </c>
      <c r="AB11">
        <f>$E11*'Nutrient Content_TFP'!$Q13</f>
        <v>15.380179883235606</v>
      </c>
      <c r="AC11">
        <f>$E11*'Nutrient Content_TFP'!$R13</f>
        <v>3.1873293946281635E-3</v>
      </c>
      <c r="AD11">
        <f>$E11*'Nutrient Content_TFP'!$S13</f>
        <v>0.17115348769367614</v>
      </c>
      <c r="AE11">
        <f>$E11*'Nutrient Content_TFP'!$T13</f>
        <v>8.8032240159227698E-2</v>
      </c>
      <c r="AF11">
        <f>$E11*'Nutrient Content_TFP'!$U13</f>
        <v>0.23967503868631471</v>
      </c>
      <c r="AG11">
        <f>$E11*'Nutrient Content_TFP'!$W13</f>
        <v>2.4708684478267989E-2</v>
      </c>
      <c r="AH11">
        <f>$E11*'Nutrient Content_TFP'!$X13</f>
        <v>2.4477639644571329E-2</v>
      </c>
      <c r="AI11">
        <f>$E11*'Nutrient Content_TFP'!$V13</f>
        <v>0.41614626606162874</v>
      </c>
      <c r="AJ11">
        <f>$E11*'Nutrient Content_TFP'!$Y13</f>
        <v>6.0123194549431179E-2</v>
      </c>
      <c r="AK11">
        <f>$E11*'Nutrient Content_TFP'!$AF13</f>
        <v>0</v>
      </c>
      <c r="AL11">
        <f>$E11*'Nutrient Content_TFP'!$AI13</f>
        <v>0</v>
      </c>
      <c r="AM11">
        <f>$E11*'Nutrient Content_TFP'!$AO13</f>
        <v>1.1876964369937064E-5</v>
      </c>
      <c r="AN11">
        <f>$E11*'Nutrient Content_TFP'!$AP13</f>
        <v>0</v>
      </c>
      <c r="AO11">
        <f>$E11*'Nutrient Content_TFP'!$AQ13</f>
        <v>0</v>
      </c>
      <c r="AP11">
        <f>$E11*'Nutrient Content_TFP'!$AZ13</f>
        <v>0</v>
      </c>
      <c r="AQ11">
        <f>$E11*'Nutrient Content_TFP'!$BA13</f>
        <v>38.073291143284116</v>
      </c>
      <c r="AR11">
        <f>$E11*'Nutrient Content_TFP'!$AG13</f>
        <v>0</v>
      </c>
      <c r="AS11">
        <f>$E11*'Nutrient Content_TFP'!$AJ13</f>
        <v>0</v>
      </c>
      <c r="AT11">
        <f>$E11*'Nutrient Content_TFP'!$AK13</f>
        <v>0</v>
      </c>
      <c r="AU11">
        <f>$E11*'Nutrient Content_TFP'!$AL13</f>
        <v>0</v>
      </c>
      <c r="AV11">
        <f>$E11*'Nutrient Content_TFP'!$AM13</f>
        <v>0</v>
      </c>
      <c r="AW11">
        <f>$E11*'Nutrient Content_TFP'!AN13</f>
        <v>0</v>
      </c>
      <c r="AX11">
        <f>$E11*'Nutrient Content_TFP'!AH13</f>
        <v>0</v>
      </c>
      <c r="AY11">
        <f>$E11*'Nutrient Content_TFP'!$AR13</f>
        <v>0</v>
      </c>
      <c r="AZ11">
        <f>$E11*'Nutrient Content_TFP'!$AS13</f>
        <v>0</v>
      </c>
      <c r="BA11">
        <f>$E11*'Nutrient Content_TFP'!$AT13</f>
        <v>0</v>
      </c>
      <c r="BB11">
        <f>$E11*'Nutrient Content_TFP'!$AU13</f>
        <v>0</v>
      </c>
      <c r="BC11">
        <f>$E11*'Nutrient Content_TFP'!$AV13</f>
        <v>0</v>
      </c>
      <c r="BD11">
        <f>$E11*'Nutrient Content_TFP'!$AW13</f>
        <v>0</v>
      </c>
      <c r="BE11">
        <f>$E11*'Nutrient Content_TFP'!$AX13</f>
        <v>0</v>
      </c>
      <c r="BF11">
        <f>$E11*'Nutrient Content_TFP'!$AY13</f>
        <v>0</v>
      </c>
    </row>
    <row r="12" spans="1:58" ht="14.5" x14ac:dyDescent="0.35">
      <c r="A12" s="4">
        <v>9</v>
      </c>
      <c r="B12" t="s">
        <v>61</v>
      </c>
      <c r="C12" s="2">
        <f>'Your Model Diet'!E20</f>
        <v>26.988901138305661</v>
      </c>
      <c r="D12">
        <f>'Nutrient Content_TFP'!$G14</f>
        <v>301.38697301000002</v>
      </c>
      <c r="E12">
        <f t="shared" si="0"/>
        <v>8.9548996988035603E-2</v>
      </c>
      <c r="F12">
        <f t="shared" si="1"/>
        <v>8.9548996988035601</v>
      </c>
      <c r="G12">
        <f>Cost_TFP!C14</f>
        <v>0.73324832925859995</v>
      </c>
      <c r="H12" s="1">
        <f t="shared" si="2"/>
        <v>6.5661652428260511E-2</v>
      </c>
      <c r="I12">
        <f>$E12*'Nutrient Content_TFP'!$Z14</f>
        <v>2.470645466893242</v>
      </c>
      <c r="J12">
        <f>$E12*'Nutrient Content_TFP'!$AA14</f>
        <v>15.247952483738123</v>
      </c>
      <c r="K12">
        <f>$E12*'Nutrient Content_TFP'!$AB14</f>
        <v>9.3003267761750124</v>
      </c>
      <c r="L12">
        <f>$E12*'Nutrient Content_TFP'!$AC14</f>
        <v>2.4842015316940995</v>
      </c>
      <c r="M12">
        <f>$E12*'Nutrient Content_TFP'!$AD14</f>
        <v>0.29406512299573956</v>
      </c>
      <c r="N12">
        <f>$E12*'Nutrient Content_TFP'!$AE14</f>
        <v>2.6426880488836071</v>
      </c>
      <c r="O12">
        <f>$E12*'Nutrient Content_TFP'!$C14</f>
        <v>14.278612861065495</v>
      </c>
      <c r="P12">
        <f>$E12*'Nutrient Content_TFP'!$D14</f>
        <v>3.4395640380623429</v>
      </c>
      <c r="Q12">
        <f>$E12*'Nutrient Content_TFP'!$E14</f>
        <v>3.3732373374942481</v>
      </c>
      <c r="R12">
        <f>$E12*'Nutrient Content_TFP'!$F14</f>
        <v>7.5420877433795353E-3</v>
      </c>
      <c r="S12">
        <f>$E12*'Nutrient Content_TFP'!$H14</f>
        <v>0.19293692716051786</v>
      </c>
      <c r="T12">
        <f>$E12*'Nutrient Content_TFP'!$I14</f>
        <v>3.7057110368436263</v>
      </c>
      <c r="U12">
        <f>$E12*'Nutrient Content_TFP'!$J14</f>
        <v>7.5339657962130762</v>
      </c>
      <c r="V12">
        <f>$E12*'Nutrient Content_TFP'!$K14</f>
        <v>0.25764760144629206</v>
      </c>
      <c r="W12">
        <f>$E12*'Nutrient Content_TFP'!$L14</f>
        <v>1.9967112514782284</v>
      </c>
      <c r="X12">
        <f>$E12*'Nutrient Content_TFP'!$M14</f>
        <v>0.27676662680827002</v>
      </c>
      <c r="Y12">
        <f>$E12*'Nutrient Content_TFP'!$N14</f>
        <v>26.167486720203847</v>
      </c>
      <c r="Z12">
        <f>$E12*'Nutrient Content_TFP'!$O14</f>
        <v>13.622580576162573</v>
      </c>
      <c r="AA12">
        <f>$E12*'Nutrient Content_TFP'!$P14</f>
        <v>2.9645267835343454E-2</v>
      </c>
      <c r="AB12">
        <f>$E12*'Nutrient Content_TFP'!$Q14</f>
        <v>52.388290874708289</v>
      </c>
      <c r="AC12">
        <f>$E12*'Nutrient Content_TFP'!$R14</f>
        <v>2.6871418853144664E-2</v>
      </c>
      <c r="AD12">
        <f>$E12*'Nutrient Content_TFP'!$S14</f>
        <v>4.6982643877986133E-2</v>
      </c>
      <c r="AE12">
        <f>$E12*'Nutrient Content_TFP'!$T14</f>
        <v>2.1610186634643563E-2</v>
      </c>
      <c r="AF12">
        <f>$E12*'Nutrient Content_TFP'!$U14</f>
        <v>1.1366241419274515E-2</v>
      </c>
      <c r="AG12">
        <f>$E12*'Nutrient Content_TFP'!$W14</f>
        <v>9.2798228166603297E-2</v>
      </c>
      <c r="AH12">
        <f>$E12*'Nutrient Content_TFP'!$X14</f>
        <v>0.96039029471241533</v>
      </c>
      <c r="AI12">
        <f>$E12*'Nutrient Content_TFP'!$V14</f>
        <v>9.695099955496298</v>
      </c>
      <c r="AJ12">
        <f>$E12*'Nutrient Content_TFP'!$Y14</f>
        <v>5.941055642723473E-2</v>
      </c>
      <c r="AK12">
        <f>$E12*'Nutrient Content_TFP'!$AF14</f>
        <v>0.22679601387868098</v>
      </c>
      <c r="AL12">
        <f>$E12*'Nutrient Content_TFP'!$AI14</f>
        <v>2.6939082970758789E-4</v>
      </c>
      <c r="AM12">
        <f>$E12*'Nutrient Content_TFP'!$AO14</f>
        <v>9.735149512204998E-4</v>
      </c>
      <c r="AN12">
        <f>$E12*'Nutrient Content_TFP'!$AP14</f>
        <v>1.2254889675641891E-2</v>
      </c>
      <c r="AO12">
        <f>$E12*'Nutrient Content_TFP'!$AQ14</f>
        <v>2.0620636628096999E-2</v>
      </c>
      <c r="AP12">
        <f>$E12*'Nutrient Content_TFP'!$AZ14</f>
        <v>0.56706936932764618</v>
      </c>
      <c r="AQ12">
        <f>$E12*'Nutrient Content_TFP'!$BA14</f>
        <v>2.6468493350741653</v>
      </c>
      <c r="AR12">
        <f>$E12*'Nutrient Content_TFP'!$AG14</f>
        <v>1.2891812101606221E-2</v>
      </c>
      <c r="AS12">
        <f>$E12*'Nutrient Content_TFP'!$AJ14</f>
        <v>0</v>
      </c>
      <c r="AT12">
        <f>$E12*'Nutrient Content_TFP'!$AK14</f>
        <v>1.5945484837316486E-4</v>
      </c>
      <c r="AU12">
        <f>$E12*'Nutrient Content_TFP'!$AL14</f>
        <v>1.0409917771074288E-4</v>
      </c>
      <c r="AV12">
        <f>$E12*'Nutrient Content_TFP'!$AM14</f>
        <v>0</v>
      </c>
      <c r="AW12">
        <f>$E12*'Nutrient Content_TFP'!AN14</f>
        <v>5.8368125785798595E-6</v>
      </c>
      <c r="AX12">
        <f>$E12*'Nutrient Content_TFP'!AH14</f>
        <v>0.21390420178602965</v>
      </c>
      <c r="AY12">
        <f>$E12*'Nutrient Content_TFP'!$AR14</f>
        <v>0</v>
      </c>
      <c r="AZ12">
        <f>$E12*'Nutrient Content_TFP'!$AS14</f>
        <v>0</v>
      </c>
      <c r="BA12">
        <f>$E12*'Nutrient Content_TFP'!$AT14</f>
        <v>1.9652000476375501E-2</v>
      </c>
      <c r="BB12">
        <f>$E12*'Nutrient Content_TFP'!$AU14</f>
        <v>6.8294453003928362E-5</v>
      </c>
      <c r="BC12">
        <f>$E12*'Nutrient Content_TFP'!$AV14</f>
        <v>9.0034173453716778E-4</v>
      </c>
      <c r="BD12">
        <f>$E12*'Nutrient Content_TFP'!$AW14</f>
        <v>1.9652000476375501E-2</v>
      </c>
      <c r="BE12">
        <f>$E12*'Nutrient Content_TFP'!$AX14</f>
        <v>0</v>
      </c>
      <c r="BF12">
        <f>$E12*'Nutrient Content_TFP'!$AY14</f>
        <v>9.6863618754109619E-4</v>
      </c>
    </row>
    <row r="13" spans="1:58" ht="14.5" x14ac:dyDescent="0.35">
      <c r="A13" s="4">
        <v>10</v>
      </c>
      <c r="B13" t="s">
        <v>63</v>
      </c>
      <c r="C13" s="2">
        <f>'Your Model Diet'!E21</f>
        <v>6.8205256462097168</v>
      </c>
      <c r="D13">
        <f>'Nutrient Content_TFP'!$G15</f>
        <v>171.28659228000001</v>
      </c>
      <c r="E13">
        <f t="shared" si="0"/>
        <v>3.9819378478032248E-2</v>
      </c>
      <c r="F13">
        <f t="shared" si="1"/>
        <v>3.9819378478032248</v>
      </c>
      <c r="G13">
        <f>Cost_TFP!C15</f>
        <v>1.0630710616482</v>
      </c>
      <c r="H13" s="1">
        <f t="shared" si="2"/>
        <v>4.2330828952813225E-2</v>
      </c>
      <c r="I13">
        <f>$E13*'Nutrient Content_TFP'!$Z15</f>
        <v>0.45861617692347567</v>
      </c>
      <c r="J13">
        <f>$E13*'Nutrient Content_TFP'!$AA15</f>
        <v>1.5901212230194592</v>
      </c>
      <c r="K13">
        <f>$E13*'Nutrient Content_TFP'!$AB15</f>
        <v>4.8702106619992627</v>
      </c>
      <c r="L13">
        <f>$E13*'Nutrient Content_TFP'!$AC15</f>
        <v>1.5894191292910904</v>
      </c>
      <c r="M13">
        <f>$E13*'Nutrient Content_TFP'!$AD15</f>
        <v>0.21328866776438804</v>
      </c>
      <c r="N13">
        <f>$E13*'Nutrient Content_TFP'!$AE15</f>
        <v>1.1953286896525819</v>
      </c>
      <c r="O13">
        <f>$E13*'Nutrient Content_TFP'!$C15</f>
        <v>2.3319555814309227</v>
      </c>
      <c r="P13">
        <f>$E13*'Nutrient Content_TFP'!$D15</f>
        <v>0.47686453782210525</v>
      </c>
      <c r="Q13">
        <f>$E13*'Nutrient Content_TFP'!$E15</f>
        <v>0.54548205562625285</v>
      </c>
      <c r="R13">
        <f>$E13*'Nutrient Content_TFP'!$F15</f>
        <v>2.4988937225401014E-3</v>
      </c>
      <c r="S13">
        <f>$E13*'Nutrient Content_TFP'!$H15</f>
        <v>3.1971114126982648E-2</v>
      </c>
      <c r="T13">
        <f>$E13*'Nutrient Content_TFP'!$I15</f>
        <v>9.5299192194857621E-2</v>
      </c>
      <c r="U13">
        <f>$E13*'Nutrient Content_TFP'!$J15</f>
        <v>0.64138428326390562</v>
      </c>
      <c r="V13">
        <f>$E13*'Nutrient Content_TFP'!$K15</f>
        <v>2.2693533953978082E-2</v>
      </c>
      <c r="W13">
        <f>$E13*'Nutrient Content_TFP'!$L15</f>
        <v>0.89511202200835682</v>
      </c>
      <c r="X13">
        <f>$E13*'Nutrient Content_TFP'!$M15</f>
        <v>2.3296009301377481E-2</v>
      </c>
      <c r="Y13">
        <f>$E13*'Nutrient Content_TFP'!$N15</f>
        <v>2.3862435330826552</v>
      </c>
      <c r="Z13">
        <f>$E13*'Nutrient Content_TFP'!$O15</f>
        <v>5.3785268994631679</v>
      </c>
      <c r="AA13">
        <f>$E13*'Nutrient Content_TFP'!$P15</f>
        <v>3.1036994632274903E-3</v>
      </c>
      <c r="AB13">
        <f>$E13*'Nutrient Content_TFP'!$Q15</f>
        <v>49.235298984431552</v>
      </c>
      <c r="AC13">
        <f>$E13*'Nutrient Content_TFP'!$R15</f>
        <v>1.669828973340199E-3</v>
      </c>
      <c r="AD13">
        <f>$E13*'Nutrient Content_TFP'!$S15</f>
        <v>5.364123493210967E-3</v>
      </c>
      <c r="AE13">
        <f>$E13*'Nutrient Content_TFP'!$T15</f>
        <v>2.9618088738670259E-3</v>
      </c>
      <c r="AF13">
        <f>$E13*'Nutrient Content_TFP'!$U15</f>
        <v>0.20229594326143541</v>
      </c>
      <c r="AG13">
        <f>$E13*'Nutrient Content_TFP'!$W15</f>
        <v>4.6957536764833732E-2</v>
      </c>
      <c r="AH13">
        <f>$E13*'Nutrient Content_TFP'!$X15</f>
        <v>1.1546368677558889</v>
      </c>
      <c r="AI13">
        <f>$E13*'Nutrient Content_TFP'!$V15</f>
        <v>1.7260048325244295</v>
      </c>
      <c r="AJ13">
        <f>$E13*'Nutrient Content_TFP'!$Y15</f>
        <v>1.3803892773702069E-2</v>
      </c>
      <c r="AK13">
        <f>$E13*'Nutrient Content_TFP'!$AF15</f>
        <v>4.4813063499789252E-3</v>
      </c>
      <c r="AL13">
        <f>$E13*'Nutrient Content_TFP'!$AI15</f>
        <v>8.1416036658680749E-3</v>
      </c>
      <c r="AM13">
        <f>$E13*'Nutrient Content_TFP'!$AO15</f>
        <v>7.3249073492031203E-4</v>
      </c>
      <c r="AN13">
        <f>$E13*'Nutrient Content_TFP'!$AP15</f>
        <v>4.4986564256777458E-3</v>
      </c>
      <c r="AO13">
        <f>$E13*'Nutrient Content_TFP'!$AQ15</f>
        <v>2.5042889894979145E-3</v>
      </c>
      <c r="AP13">
        <f>$E13*'Nutrient Content_TFP'!$AZ15</f>
        <v>0.39278046324643862</v>
      </c>
      <c r="AQ13">
        <f>$E13*'Nutrient Content_TFP'!$BA15</f>
        <v>0.509271941650007</v>
      </c>
      <c r="AR13">
        <f>$E13*'Nutrient Content_TFP'!$AG15</f>
        <v>0</v>
      </c>
      <c r="AS13">
        <f>$E13*'Nutrient Content_TFP'!$AJ15</f>
        <v>6.1101708191548204E-4</v>
      </c>
      <c r="AT13">
        <f>$E13*'Nutrient Content_TFP'!$AK15</f>
        <v>1.915240083483498E-3</v>
      </c>
      <c r="AU13">
        <f>$E13*'Nutrient Content_TFP'!$AL15</f>
        <v>0</v>
      </c>
      <c r="AV13">
        <f>$E13*'Nutrient Content_TFP'!$AM15</f>
        <v>4.9447009744059791E-4</v>
      </c>
      <c r="AW13">
        <f>$E13*'Nutrient Content_TFP'!AN15</f>
        <v>5.1208764070104348E-3</v>
      </c>
      <c r="AX13">
        <f>$E13*'Nutrient Content_TFP'!AH15</f>
        <v>4.4813063420150491E-3</v>
      </c>
      <c r="AY13">
        <f>$E13*'Nutrient Content_TFP'!$AR15</f>
        <v>0</v>
      </c>
      <c r="AZ13">
        <f>$E13*'Nutrient Content_TFP'!$AS15</f>
        <v>0</v>
      </c>
      <c r="BA13">
        <f>$E13*'Nutrient Content_TFP'!$AT15</f>
        <v>4.9613551905381445E-4</v>
      </c>
      <c r="BB13">
        <f>$E13*'Nutrient Content_TFP'!$AU15</f>
        <v>0</v>
      </c>
      <c r="BC13">
        <f>$E13*'Nutrient Content_TFP'!$AV15</f>
        <v>1.8526376772890398E-3</v>
      </c>
      <c r="BD13">
        <f>$E13*'Nutrient Content_TFP'!$AW15</f>
        <v>5.6103851771340603E-4</v>
      </c>
      <c r="BE13">
        <f>$E13*'Nutrient Content_TFP'!$AX15</f>
        <v>9.0612778567717789E-5</v>
      </c>
      <c r="BF13">
        <f>$E13*'Nutrient Content_TFP'!$AY15</f>
        <v>1.8526376772890398E-3</v>
      </c>
    </row>
    <row r="14" spans="1:58" ht="14.5" x14ac:dyDescent="0.35">
      <c r="A14" s="4">
        <v>11</v>
      </c>
      <c r="B14" t="s">
        <v>66</v>
      </c>
      <c r="C14" s="2">
        <f>'Your Model Diet'!E22</f>
        <v>7.1413569450378418</v>
      </c>
      <c r="D14">
        <f>'Nutrient Content_TFP'!$G16</f>
        <v>68.072817666000006</v>
      </c>
      <c r="E14">
        <f t="shared" si="0"/>
        <v>0.10490761496133427</v>
      </c>
      <c r="F14">
        <f t="shared" si="1"/>
        <v>10.490761496133427</v>
      </c>
      <c r="G14">
        <f>Cost_TFP!C16</f>
        <v>0.48136559859880002</v>
      </c>
      <c r="H14" s="1">
        <f t="shared" si="2"/>
        <v>5.04989168734351E-2</v>
      </c>
      <c r="I14">
        <f>$E14*'Nutrient Content_TFP'!$Z16</f>
        <v>0.71002575780596422</v>
      </c>
      <c r="J14">
        <f>$E14*'Nutrient Content_TFP'!$AA16</f>
        <v>4.434420042292377</v>
      </c>
      <c r="K14">
        <f>$E14*'Nutrient Content_TFP'!$AB16</f>
        <v>2.4340906745534259</v>
      </c>
      <c r="L14">
        <f>$E14*'Nutrient Content_TFP'!$AC16</f>
        <v>0.47545676274246695</v>
      </c>
      <c r="M14">
        <f>$E14*'Nutrient Content_TFP'!$AD16</f>
        <v>8.4088508889474389E-2</v>
      </c>
      <c r="N14">
        <f>$E14*'Nutrient Content_TFP'!$AE16</f>
        <v>0.72304941140139589</v>
      </c>
      <c r="O14">
        <f>$E14*'Nutrient Content_TFP'!$C16</f>
        <v>2.9138551706715612</v>
      </c>
      <c r="P14">
        <f>$E14*'Nutrient Content_TFP'!$D16</f>
        <v>0.93900073875021683</v>
      </c>
      <c r="Q14">
        <f>$E14*'Nutrient Content_TFP'!$E16</f>
        <v>0.2219582277530493</v>
      </c>
      <c r="R14">
        <f>$E14*'Nutrient Content_TFP'!$F16</f>
        <v>6.1983544830745098E-3</v>
      </c>
      <c r="S14">
        <f>$E14*'Nutrient Content_TFP'!$H16</f>
        <v>0.10906007526848858</v>
      </c>
      <c r="T14">
        <f>$E14*'Nutrient Content_TFP'!$I16</f>
        <v>9.9987592130562838E-2</v>
      </c>
      <c r="U14">
        <f>$E14*'Nutrient Content_TFP'!$J16</f>
        <v>0.80274762959484847</v>
      </c>
      <c r="V14">
        <f>$E14*'Nutrient Content_TFP'!$K16</f>
        <v>5.2244070218083909E-2</v>
      </c>
      <c r="W14">
        <f>$E14*'Nutrient Content_TFP'!$L16</f>
        <v>1.2229041647262742</v>
      </c>
      <c r="X14">
        <f>$E14*'Nutrient Content_TFP'!$M16</f>
        <v>7.9993844998926381E-2</v>
      </c>
      <c r="Y14">
        <f>$E14*'Nutrient Content_TFP'!$N16</f>
        <v>3.2367775855090719</v>
      </c>
      <c r="Z14">
        <f>$E14*'Nutrient Content_TFP'!$O16</f>
        <v>17.931879248079817</v>
      </c>
      <c r="AA14">
        <f>$E14*'Nutrient Content_TFP'!$P16</f>
        <v>6.4664288561115304E-3</v>
      </c>
      <c r="AB14">
        <f>$E14*'Nutrient Content_TFP'!$Q16</f>
        <v>75.431287720878032</v>
      </c>
      <c r="AC14">
        <f>$E14*'Nutrient Content_TFP'!$R16</f>
        <v>6.1013794888907617E-3</v>
      </c>
      <c r="AD14">
        <f>$E14*'Nutrient Content_TFP'!$S16</f>
        <v>2.8592423167420251E-3</v>
      </c>
      <c r="AE14">
        <f>$E14*'Nutrient Content_TFP'!$T16</f>
        <v>8.8465236436643876E-3</v>
      </c>
      <c r="AF14">
        <f>$E14*'Nutrient Content_TFP'!$U16</f>
        <v>0.47732948892921911</v>
      </c>
      <c r="AG14">
        <f>$E14*'Nutrient Content_TFP'!$W16</f>
        <v>7.1820538331119815E-2</v>
      </c>
      <c r="AH14">
        <f>$E14*'Nutrient Content_TFP'!$X16</f>
        <v>0.62081297526060075</v>
      </c>
      <c r="AI14">
        <f>$E14*'Nutrient Content_TFP'!$V16</f>
        <v>1.4885446872857406</v>
      </c>
      <c r="AJ14">
        <f>$E14*'Nutrient Content_TFP'!$Y16</f>
        <v>3.1054340271594785E-2</v>
      </c>
      <c r="AK14">
        <f>$E14*'Nutrient Content_TFP'!$AF16</f>
        <v>8.0703511527629116E-3</v>
      </c>
      <c r="AL14">
        <f>$E14*'Nutrient Content_TFP'!$AI16</f>
        <v>3.2994502111829402E-2</v>
      </c>
      <c r="AM14">
        <f>$E14*'Nutrient Content_TFP'!$AO16</f>
        <v>1.6761965725864919E-3</v>
      </c>
      <c r="AN14">
        <f>$E14*'Nutrient Content_TFP'!$AP16</f>
        <v>1.3452267588087577E-3</v>
      </c>
      <c r="AO14">
        <f>$E14*'Nutrient Content_TFP'!$AQ16</f>
        <v>4.2840545729877788E-5</v>
      </c>
      <c r="AP14">
        <f>$E14*'Nutrient Content_TFP'!$AZ16</f>
        <v>9.2133905919644737E-2</v>
      </c>
      <c r="AQ14">
        <f>$E14*'Nutrient Content_TFP'!$BA16</f>
        <v>1.9613690540212683</v>
      </c>
      <c r="AR14">
        <f>$E14*'Nutrient Content_TFP'!$AG16</f>
        <v>0</v>
      </c>
      <c r="AS14">
        <f>$E14*'Nutrient Content_TFP'!$AJ16</f>
        <v>1.7582121814887369E-4</v>
      </c>
      <c r="AT14">
        <f>$E14*'Nutrient Content_TFP'!$AK16</f>
        <v>1.5473023937690648E-2</v>
      </c>
      <c r="AU14">
        <f>$E14*'Nutrient Content_TFP'!$AL16</f>
        <v>0</v>
      </c>
      <c r="AV14">
        <f>$E14*'Nutrient Content_TFP'!$AM16</f>
        <v>0</v>
      </c>
      <c r="AW14">
        <f>$E14*'Nutrient Content_TFP'!AN16</f>
        <v>1.7345656955989882E-2</v>
      </c>
      <c r="AX14">
        <f>$E14*'Nutrient Content_TFP'!AH16</f>
        <v>8.0703511527629116E-3</v>
      </c>
      <c r="AY14">
        <f>$E14*'Nutrient Content_TFP'!$AR16</f>
        <v>0</v>
      </c>
      <c r="AZ14">
        <f>$E14*'Nutrient Content_TFP'!$AS16</f>
        <v>0</v>
      </c>
      <c r="BA14">
        <f>$E14*'Nutrient Content_TFP'!$AT16</f>
        <v>4.2840598183685267E-5</v>
      </c>
      <c r="BB14">
        <f>$E14*'Nutrient Content_TFP'!$AU16</f>
        <v>0</v>
      </c>
      <c r="BC14">
        <f>$E14*'Nutrient Content_TFP'!$AV16</f>
        <v>0</v>
      </c>
      <c r="BD14">
        <f>$E14*'Nutrient Content_TFP'!$AW16</f>
        <v>4.2840598183685267E-5</v>
      </c>
      <c r="BE14">
        <f>$E14*'Nutrient Content_TFP'!$AX16</f>
        <v>0</v>
      </c>
      <c r="BF14">
        <f>$E14*'Nutrient Content_TFP'!$AY16</f>
        <v>0</v>
      </c>
    </row>
    <row r="15" spans="1:58" ht="14.5" x14ac:dyDescent="0.35">
      <c r="A15" s="4">
        <v>12</v>
      </c>
      <c r="B15" t="s">
        <v>68</v>
      </c>
      <c r="C15" s="2">
        <f>'Your Model Diet'!E23</f>
        <v>11.552620887756349</v>
      </c>
      <c r="D15">
        <f>'Nutrient Content_TFP'!$G17</f>
        <v>135.11385368000001</v>
      </c>
      <c r="E15">
        <f t="shared" si="0"/>
        <v>8.5502859796429645E-2</v>
      </c>
      <c r="F15">
        <f t="shared" si="1"/>
        <v>8.5502859796429647</v>
      </c>
      <c r="G15">
        <f>Cost_TFP!C17</f>
        <v>0.24991978849719998</v>
      </c>
      <c r="H15" s="1">
        <f t="shared" si="2"/>
        <v>2.1368856636229439E-2</v>
      </c>
      <c r="I15">
        <f>$E15*'Nutrient Content_TFP'!$Z17</f>
        <v>1.4792517239078087</v>
      </c>
      <c r="J15">
        <f>$E15*'Nutrient Content_TFP'!$AA17</f>
        <v>8.944870377545536</v>
      </c>
      <c r="K15">
        <f>$E15*'Nutrient Content_TFP'!$AB17</f>
        <v>1.7735229040764791</v>
      </c>
      <c r="L15">
        <f>$E15*'Nutrient Content_TFP'!$AC17</f>
        <v>0.50656376152013738</v>
      </c>
      <c r="M15">
        <f>$E15*'Nutrient Content_TFP'!$AD17</f>
        <v>3.0241818224826016E-2</v>
      </c>
      <c r="N15">
        <f>$E15*'Nutrient Content_TFP'!$AE17</f>
        <v>0.47585001401424049</v>
      </c>
      <c r="O15">
        <f>$E15*'Nutrient Content_TFP'!$C17</f>
        <v>7.3555219954456215</v>
      </c>
      <c r="P15">
        <f>$E15*'Nutrient Content_TFP'!$D17</f>
        <v>1.1292852607600525</v>
      </c>
      <c r="Q15">
        <f>$E15*'Nutrient Content_TFP'!$E17</f>
        <v>0.14332939060717012</v>
      </c>
      <c r="R15">
        <f>$E15*'Nutrient Content_TFP'!$F17</f>
        <v>1.0789065627891834E-2</v>
      </c>
      <c r="S15">
        <f>$E15*'Nutrient Content_TFP'!$H17</f>
        <v>0.29699220341912091</v>
      </c>
      <c r="T15">
        <f>$E15*'Nutrient Content_TFP'!$I17</f>
        <v>8.785950023759403</v>
      </c>
      <c r="U15">
        <f>$E15*'Nutrient Content_TFP'!$J17</f>
        <v>15.668144404528402</v>
      </c>
      <c r="V15">
        <f>$E15*'Nutrient Content_TFP'!$K17</f>
        <v>0.51281932963192745</v>
      </c>
      <c r="W15">
        <f>$E15*'Nutrient Content_TFP'!$L17</f>
        <v>3.382133278601263</v>
      </c>
      <c r="X15">
        <f>$E15*'Nutrient Content_TFP'!$M17</f>
        <v>0.27661074494860388</v>
      </c>
      <c r="Y15">
        <f>$E15*'Nutrient Content_TFP'!$N17</f>
        <v>12.115031397579102</v>
      </c>
      <c r="Z15">
        <f>$E15*'Nutrient Content_TFP'!$O17</f>
        <v>13.667849006202809</v>
      </c>
      <c r="AA15">
        <f>$E15*'Nutrient Content_TFP'!$P17</f>
        <v>2.0134222077752666E-2</v>
      </c>
      <c r="AB15">
        <f>$E15*'Nutrient Content_TFP'!$Q17</f>
        <v>11.545510951316778</v>
      </c>
      <c r="AC15">
        <f>$E15*'Nutrient Content_TFP'!$R17</f>
        <v>2.3804479215732435E-2</v>
      </c>
      <c r="AD15">
        <f>$E15*'Nutrient Content_TFP'!$S17</f>
        <v>6.2775074735613445E-2</v>
      </c>
      <c r="AE15">
        <f>$E15*'Nutrient Content_TFP'!$T17</f>
        <v>3.0574758494610211E-2</v>
      </c>
      <c r="AF15">
        <f>$E15*'Nutrient Content_TFP'!$U17</f>
        <v>0.2046098355092093</v>
      </c>
      <c r="AG15">
        <f>$E15*'Nutrient Content_TFP'!$W17</f>
        <v>4.5747499184123241E-2</v>
      </c>
      <c r="AH15">
        <f>$E15*'Nutrient Content_TFP'!$X17</f>
        <v>6.2736080951196427E-2</v>
      </c>
      <c r="AI15">
        <f>$E15*'Nutrient Content_TFP'!$V17</f>
        <v>10.522669717538035</v>
      </c>
      <c r="AJ15">
        <f>$E15*'Nutrient Content_TFP'!$Y17</f>
        <v>0.19968517679111988</v>
      </c>
      <c r="AK15">
        <f>$E15*'Nutrient Content_TFP'!$AF17</f>
        <v>8.796922774197713E-2</v>
      </c>
      <c r="AL15">
        <f>$E15*'Nutrient Content_TFP'!$AI17</f>
        <v>0</v>
      </c>
      <c r="AM15">
        <f>$E15*'Nutrient Content_TFP'!$AO17</f>
        <v>2.5777877567328077E-4</v>
      </c>
      <c r="AN15">
        <f>$E15*'Nutrient Content_TFP'!$AP17</f>
        <v>6.4091548895251803E-3</v>
      </c>
      <c r="AO15">
        <f>$E15*'Nutrient Content_TFP'!$AQ17</f>
        <v>8.9711910785685684E-4</v>
      </c>
      <c r="AP15">
        <f>$E15*'Nutrient Content_TFP'!$AZ17</f>
        <v>1.4436247151466309E-2</v>
      </c>
      <c r="AQ15">
        <f>$E15*'Nutrient Content_TFP'!$BA17</f>
        <v>1.1549842578350811</v>
      </c>
      <c r="AR15">
        <f>$E15*'Nutrient Content_TFP'!$AG17</f>
        <v>8.3001999603927137E-2</v>
      </c>
      <c r="AS15">
        <f>$E15*'Nutrient Content_TFP'!$AJ17</f>
        <v>0</v>
      </c>
      <c r="AT15">
        <f>$E15*'Nutrient Content_TFP'!$AK17</f>
        <v>0</v>
      </c>
      <c r="AU15">
        <f>$E15*'Nutrient Content_TFP'!$AL17</f>
        <v>0</v>
      </c>
      <c r="AV15">
        <f>$E15*'Nutrient Content_TFP'!$AM17</f>
        <v>0</v>
      </c>
      <c r="AW15">
        <f>$E15*'Nutrient Content_TFP'!AN17</f>
        <v>0</v>
      </c>
      <c r="AX15">
        <f>$E15*'Nutrient Content_TFP'!AH17</f>
        <v>4.9672281038488442E-3</v>
      </c>
      <c r="AY15">
        <f>$E15*'Nutrient Content_TFP'!$AR17</f>
        <v>0</v>
      </c>
      <c r="AZ15">
        <f>$E15*'Nutrient Content_TFP'!$AS17</f>
        <v>0</v>
      </c>
      <c r="BA15">
        <f>$E15*'Nutrient Content_TFP'!$AT17</f>
        <v>0</v>
      </c>
      <c r="BB15">
        <f>$E15*'Nutrient Content_TFP'!$AU17</f>
        <v>0</v>
      </c>
      <c r="BC15">
        <f>$E15*'Nutrient Content_TFP'!$AV17</f>
        <v>8.971190907562848E-4</v>
      </c>
      <c r="BD15">
        <f>$E15*'Nutrient Content_TFP'!$AW17</f>
        <v>0</v>
      </c>
      <c r="BE15">
        <f>$E15*'Nutrient Content_TFP'!$AX17</f>
        <v>0</v>
      </c>
      <c r="BF15">
        <f>$E15*'Nutrient Content_TFP'!$AY17</f>
        <v>8.971190907562848E-4</v>
      </c>
    </row>
    <row r="16" spans="1:58" ht="14.5" x14ac:dyDescent="0.35">
      <c r="A16" s="4">
        <v>13</v>
      </c>
      <c r="B16" t="s">
        <v>70</v>
      </c>
      <c r="C16" s="2">
        <f>'Your Model Diet'!E24</f>
        <v>20.324872970581051</v>
      </c>
      <c r="D16">
        <f>'Nutrient Content_TFP'!$G18</f>
        <v>308.28829796999997</v>
      </c>
      <c r="E16">
        <f t="shared" si="0"/>
        <v>6.5928136437273716E-2</v>
      </c>
      <c r="F16">
        <f t="shared" si="1"/>
        <v>6.5928136437273714</v>
      </c>
      <c r="G16">
        <f>Cost_TFP!C18</f>
        <v>0.58006740903459997</v>
      </c>
      <c r="H16" s="1">
        <f t="shared" si="2"/>
        <v>3.8242763285648969E-2</v>
      </c>
      <c r="I16">
        <f>$E16*'Nutrient Content_TFP'!$Z18</f>
        <v>1.4918515955303675</v>
      </c>
      <c r="J16">
        <f>$E16*'Nutrient Content_TFP'!$AA18</f>
        <v>17.739264760350583</v>
      </c>
      <c r="K16">
        <f>$E16*'Nutrient Content_TFP'!$AB18</f>
        <v>2.1183901606189726</v>
      </c>
      <c r="L16">
        <f>$E16*'Nutrient Content_TFP'!$AC18</f>
        <v>0.50983453939533019</v>
      </c>
      <c r="M16">
        <f>$E16*'Nutrient Content_TFP'!$AD18</f>
        <v>3.5651836967485327E-2</v>
      </c>
      <c r="N16">
        <f>$E16*'Nutrient Content_TFP'!$AE18</f>
        <v>0.54382284807523951</v>
      </c>
      <c r="O16">
        <f>$E16*'Nutrient Content_TFP'!$C18</f>
        <v>7.9905117494185429</v>
      </c>
      <c r="P16">
        <f>$E16*'Nutrient Content_TFP'!$D18</f>
        <v>0.7829031266404104</v>
      </c>
      <c r="Q16">
        <f>$E16*'Nutrient Content_TFP'!$E18</f>
        <v>2.8978622682366853E-2</v>
      </c>
      <c r="R16">
        <f>$E16*'Nutrient Content_TFP'!$F18</f>
        <v>1.2429028853683414E-2</v>
      </c>
      <c r="S16">
        <f>$E16*'Nutrient Content_TFP'!$H18</f>
        <v>0.31119821458287894</v>
      </c>
      <c r="T16">
        <f>$E16*'Nutrient Content_TFP'!$I18</f>
        <v>25.121373221351952</v>
      </c>
      <c r="U16">
        <f>$E16*'Nutrient Content_TFP'!$J18</f>
        <v>43.77087076459965</v>
      </c>
      <c r="V16">
        <f>$E16*'Nutrient Content_TFP'!$K18</f>
        <v>1.0601311922046275</v>
      </c>
      <c r="W16">
        <f>$E16*'Nutrient Content_TFP'!$L18</f>
        <v>3.1337222303321228</v>
      </c>
      <c r="X16">
        <f>$E16*'Nutrient Content_TFP'!$M18</f>
        <v>1.0072137395142935</v>
      </c>
      <c r="Y16">
        <f>$E16*'Nutrient Content_TFP'!$N18</f>
        <v>10.401002092614934</v>
      </c>
      <c r="Z16">
        <f>$E16*'Nutrient Content_TFP'!$O18</f>
        <v>14.209914545836975</v>
      </c>
      <c r="AA16">
        <f>$E16*'Nutrient Content_TFP'!$P18</f>
        <v>7.7093159420269036E-2</v>
      </c>
      <c r="AB16">
        <f>$E16*'Nutrient Content_TFP'!$Q18</f>
        <v>27.705906679672879</v>
      </c>
      <c r="AC16">
        <f>$E16*'Nutrient Content_TFP'!$R18</f>
        <v>7.8127104747159143E-2</v>
      </c>
      <c r="AD16">
        <f>$E16*'Nutrient Content_TFP'!$S18</f>
        <v>0.30212583394401021</v>
      </c>
      <c r="AE16">
        <f>$E16*'Nutrient Content_TFP'!$T18</f>
        <v>0.11992742354521313</v>
      </c>
      <c r="AF16">
        <f>$E16*'Nutrient Content_TFP'!$U18</f>
        <v>1.1106075132385969</v>
      </c>
      <c r="AG16">
        <f>$E16*'Nutrient Content_TFP'!$W18</f>
        <v>0.11592487227488467</v>
      </c>
      <c r="AH16">
        <f>$E16*'Nutrient Content_TFP'!$X18</f>
        <v>0.10354047846392238</v>
      </c>
      <c r="AI16">
        <f>$E16*'Nutrient Content_TFP'!$V18</f>
        <v>30.928972263692788</v>
      </c>
      <c r="AJ16">
        <f>$E16*'Nutrient Content_TFP'!$Y18</f>
        <v>0.392213610009022</v>
      </c>
      <c r="AK16">
        <f>$E16*'Nutrient Content_TFP'!$AF18</f>
        <v>0.1221299477078009</v>
      </c>
      <c r="AL16">
        <f>$E16*'Nutrient Content_TFP'!$AI18</f>
        <v>0</v>
      </c>
      <c r="AM16">
        <f>$E16*'Nutrient Content_TFP'!$AO18</f>
        <v>2.7137017791004792E-3</v>
      </c>
      <c r="AN16">
        <f>$E16*'Nutrient Content_TFP'!$AP18</f>
        <v>4.9815913682954257E-4</v>
      </c>
      <c r="AO16">
        <f>$E16*'Nutrient Content_TFP'!$AQ18</f>
        <v>2.5560641832086768E-3</v>
      </c>
      <c r="AP16">
        <f>$E16*'Nutrient Content_TFP'!$AZ18</f>
        <v>5.9323214313337626E-2</v>
      </c>
      <c r="AQ16">
        <f>$E16*'Nutrient Content_TFP'!$BA18</f>
        <v>5.5829824811813769</v>
      </c>
      <c r="AR16">
        <f>$E16*'Nutrient Content_TFP'!$AG18</f>
        <v>5.4505074334531965E-2</v>
      </c>
      <c r="AS16">
        <f>$E16*'Nutrient Content_TFP'!$AJ18</f>
        <v>0</v>
      </c>
      <c r="AT16">
        <f>$E16*'Nutrient Content_TFP'!$AK18</f>
        <v>0</v>
      </c>
      <c r="AU16">
        <f>$E16*'Nutrient Content_TFP'!$AL18</f>
        <v>0</v>
      </c>
      <c r="AV16">
        <f>$E16*'Nutrient Content_TFP'!$AM18</f>
        <v>0</v>
      </c>
      <c r="AW16">
        <f>$E16*'Nutrient Content_TFP'!AN18</f>
        <v>0</v>
      </c>
      <c r="AX16">
        <f>$E16*'Nutrient Content_TFP'!AH18</f>
        <v>6.7624873373268946E-2</v>
      </c>
      <c r="AY16">
        <f>$E16*'Nutrient Content_TFP'!$AR18</f>
        <v>0</v>
      </c>
      <c r="AZ16">
        <f>$E16*'Nutrient Content_TFP'!$AS18</f>
        <v>0</v>
      </c>
      <c r="BA16">
        <f>$E16*'Nutrient Content_TFP'!$AT18</f>
        <v>0</v>
      </c>
      <c r="BB16">
        <f>$E16*'Nutrient Content_TFP'!$AU18</f>
        <v>2.4254236185772192E-4</v>
      </c>
      <c r="BC16">
        <f>$E16*'Nutrient Content_TFP'!$AV18</f>
        <v>2.3135218147581414E-3</v>
      </c>
      <c r="BD16">
        <f>$E16*'Nutrient Content_TFP'!$AW18</f>
        <v>0</v>
      </c>
      <c r="BE16">
        <f>$E16*'Nutrient Content_TFP'!$AX18</f>
        <v>0</v>
      </c>
      <c r="BF16">
        <f>$E16*'Nutrient Content_TFP'!$AY18</f>
        <v>2.5560641766158632E-3</v>
      </c>
    </row>
    <row r="17" spans="1:58" ht="14.5" x14ac:dyDescent="0.35">
      <c r="A17" s="4">
        <v>14</v>
      </c>
      <c r="B17" t="s">
        <v>73</v>
      </c>
      <c r="C17" s="2">
        <f>'Your Model Diet'!E25</f>
        <v>23.762161254882809</v>
      </c>
      <c r="D17">
        <f>'Nutrient Content_TFP'!$G19</f>
        <v>357.17574148</v>
      </c>
      <c r="E17">
        <f t="shared" si="0"/>
        <v>6.6527925878788627E-2</v>
      </c>
      <c r="F17">
        <f t="shared" si="1"/>
        <v>6.6527925878788627</v>
      </c>
      <c r="G17">
        <f>Cost_TFP!C19</f>
        <v>1.351588972167</v>
      </c>
      <c r="H17" s="1">
        <f t="shared" si="2"/>
        <v>8.9918410958914285E-2</v>
      </c>
      <c r="I17">
        <f>$E17*'Nutrient Content_TFP'!$Z19</f>
        <v>6.1894430447864144</v>
      </c>
      <c r="J17">
        <f>$E17*'Nutrient Content_TFP'!$AA19</f>
        <v>1.1347378071105789</v>
      </c>
      <c r="K17">
        <f>$E17*'Nutrient Content_TFP'!$AB19</f>
        <v>16.429605873597179</v>
      </c>
      <c r="L17">
        <f>$E17*'Nutrient Content_TFP'!$AC19</f>
        <v>0.51823590835234423</v>
      </c>
      <c r="M17">
        <f>$E17*'Nutrient Content_TFP'!$AD19</f>
        <v>8.8288292814058728E-2</v>
      </c>
      <c r="N17">
        <f>$E17*'Nutrient Content_TFP'!$AE19</f>
        <v>9.642256677050387</v>
      </c>
      <c r="O17">
        <f>$E17*'Nutrient Content_TFP'!$C19</f>
        <v>46.916502028129749</v>
      </c>
      <c r="P17">
        <f>$E17*'Nutrient Content_TFP'!$D19</f>
        <v>1.1544019855460899</v>
      </c>
      <c r="Q17">
        <f>$E17*'Nutrient Content_TFP'!$E19</f>
        <v>5.5154458480386079</v>
      </c>
      <c r="R17">
        <f>$E17*'Nutrient Content_TFP'!$F19</f>
        <v>2.1966016529604334E-3</v>
      </c>
      <c r="S17">
        <f>$E17*'Nutrient Content_TFP'!$H19</f>
        <v>1.5981384258871459E-4</v>
      </c>
      <c r="T17">
        <f>$E17*'Nutrient Content_TFP'!$I19</f>
        <v>0</v>
      </c>
      <c r="U17">
        <f>$E17*'Nutrient Content_TFP'!$J19</f>
        <v>1.3914499161609837</v>
      </c>
      <c r="V17">
        <f>$E17*'Nutrient Content_TFP'!$K19</f>
        <v>1.9219512099090025E-2</v>
      </c>
      <c r="W17">
        <f>$E17*'Nutrient Content_TFP'!$L19</f>
        <v>1.8408146612100904</v>
      </c>
      <c r="X17">
        <f>$E17*'Nutrient Content_TFP'!$M19</f>
        <v>6.7867256502559077E-3</v>
      </c>
      <c r="Y17">
        <f>$E17*'Nutrient Content_TFP'!$N19</f>
        <v>34.431357743043506</v>
      </c>
      <c r="Z17">
        <f>$E17*'Nutrient Content_TFP'!$O19</f>
        <v>8.351347382261876</v>
      </c>
      <c r="AA17">
        <f>$E17*'Nutrient Content_TFP'!$P19</f>
        <v>2.5983450264881507E-2</v>
      </c>
      <c r="AB17">
        <f>$E17*'Nutrient Content_TFP'!$Q19</f>
        <v>50.704420014788958</v>
      </c>
      <c r="AC17">
        <f>$E17*'Nutrient Content_TFP'!$R19</f>
        <v>1.8693525418999148E-3</v>
      </c>
      <c r="AD17">
        <f>$E17*'Nutrient Content_TFP'!$S19</f>
        <v>8.4916727976942455E-2</v>
      </c>
      <c r="AE17">
        <f>$E17*'Nutrient Content_TFP'!$T19</f>
        <v>5.4347306108481529E-3</v>
      </c>
      <c r="AF17">
        <f>$E17*'Nutrient Content_TFP'!$U19</f>
        <v>7.4198098769006639E-4</v>
      </c>
      <c r="AG17">
        <f>$E17*'Nutrient Content_TFP'!$W19</f>
        <v>3.3313973777531397E-2</v>
      </c>
      <c r="AH17">
        <f>$E17*'Nutrient Content_TFP'!$X19</f>
        <v>0.13518016939537275</v>
      </c>
      <c r="AI17">
        <f>$E17*'Nutrient Content_TFP'!$V19</f>
        <v>17.414108726940707</v>
      </c>
      <c r="AJ17">
        <f>$E17*'Nutrient Content_TFP'!$Y19</f>
        <v>0.22914222069914111</v>
      </c>
      <c r="AK17">
        <f>$E17*'Nutrient Content_TFP'!$AF19</f>
        <v>0</v>
      </c>
      <c r="AL17">
        <f>$E17*'Nutrient Content_TFP'!$AI19</f>
        <v>3.7574772952562181E-6</v>
      </c>
      <c r="AM17">
        <f>$E17*'Nutrient Content_TFP'!$AO19</f>
        <v>0</v>
      </c>
      <c r="AN17">
        <f>$E17*'Nutrient Content_TFP'!$AP19</f>
        <v>0.15854416553910056</v>
      </c>
      <c r="AO17">
        <f>$E17*'Nutrient Content_TFP'!$AQ19</f>
        <v>1.4406746090993812E-4</v>
      </c>
      <c r="AP17">
        <f>$E17*'Nutrient Content_TFP'!$AZ19</f>
        <v>8.5480027516194484E-4</v>
      </c>
      <c r="AQ17">
        <f>$E17*'Nutrient Content_TFP'!$BA19</f>
        <v>0</v>
      </c>
      <c r="AR17">
        <f>$E17*'Nutrient Content_TFP'!$AG19</f>
        <v>0</v>
      </c>
      <c r="AS17">
        <f>$E17*'Nutrient Content_TFP'!$AJ19</f>
        <v>0</v>
      </c>
      <c r="AT17">
        <f>$E17*'Nutrient Content_TFP'!$AK19</f>
        <v>2.8843448376452324E-6</v>
      </c>
      <c r="AU17">
        <f>$E17*'Nutrient Content_TFP'!$AL19</f>
        <v>0</v>
      </c>
      <c r="AV17">
        <f>$E17*'Nutrient Content_TFP'!$AM19</f>
        <v>0</v>
      </c>
      <c r="AW17">
        <f>$E17*'Nutrient Content_TFP'!AN19</f>
        <v>8.7313911040357345E-7</v>
      </c>
      <c r="AX17">
        <f>$E17*'Nutrient Content_TFP'!AH19</f>
        <v>0</v>
      </c>
      <c r="AY17">
        <f>$E17*'Nutrient Content_TFP'!$AR19</f>
        <v>0</v>
      </c>
      <c r="AZ17">
        <f>$E17*'Nutrient Content_TFP'!$AS19</f>
        <v>0</v>
      </c>
      <c r="BA17">
        <f>$E17*'Nutrient Content_TFP'!$AT19</f>
        <v>0</v>
      </c>
      <c r="BB17">
        <f>$E17*'Nutrient Content_TFP'!$AU19</f>
        <v>0</v>
      </c>
      <c r="BC17">
        <f>$E17*'Nutrient Content_TFP'!$AV19</f>
        <v>1.292241758665884E-4</v>
      </c>
      <c r="BD17">
        <f>$E17*'Nutrient Content_TFP'!$AW19</f>
        <v>1.4843311654520047E-5</v>
      </c>
      <c r="BE17">
        <f>$E17*'Nutrient Content_TFP'!$AX19</f>
        <v>0</v>
      </c>
      <c r="BF17">
        <f>$E17*'Nutrient Content_TFP'!$AY19</f>
        <v>1.292241758665884E-4</v>
      </c>
    </row>
    <row r="18" spans="1:58" ht="14.5" x14ac:dyDescent="0.35">
      <c r="A18" s="4">
        <v>15</v>
      </c>
      <c r="B18" t="s">
        <v>76</v>
      </c>
      <c r="C18" s="2">
        <f>'Your Model Diet'!E26</f>
        <v>13.04429721832275</v>
      </c>
      <c r="D18">
        <f>'Nutrient Content_TFP'!$G20</f>
        <v>241.41319142</v>
      </c>
      <c r="E18">
        <f t="shared" si="0"/>
        <v>5.4033075581312616E-2</v>
      </c>
      <c r="F18">
        <f t="shared" si="1"/>
        <v>5.403307558131262</v>
      </c>
      <c r="G18">
        <f>Cost_TFP!C20</f>
        <v>0.86525299005260004</v>
      </c>
      <c r="H18" s="1">
        <f t="shared" si="2"/>
        <v>4.6752280208468867E-2</v>
      </c>
      <c r="I18">
        <f>$E18*'Nutrient Content_TFP'!$Z20</f>
        <v>3.2610272371250115</v>
      </c>
      <c r="J18">
        <f>$E18*'Nutrient Content_TFP'!$AA20</f>
        <v>1.5140828720283899</v>
      </c>
      <c r="K18">
        <f>$E18*'Nutrient Content_TFP'!$AB20</f>
        <v>8.2680557537721793</v>
      </c>
      <c r="L18">
        <f>$E18*'Nutrient Content_TFP'!$AC20</f>
        <v>0.38545447166311392</v>
      </c>
      <c r="M18">
        <f>$E18*'Nutrient Content_TFP'!$AD20</f>
        <v>4.7978293500286644E-2</v>
      </c>
      <c r="N18">
        <f>$E18*'Nutrient Content_TFP'!$AE20</f>
        <v>4.5032992861489456</v>
      </c>
      <c r="O18">
        <f>$E18*'Nutrient Content_TFP'!$C20</f>
        <v>41.643780779414591</v>
      </c>
      <c r="P18">
        <f>$E18*'Nutrient Content_TFP'!$D20</f>
        <v>1.3461362350151413</v>
      </c>
      <c r="Q18">
        <f>$E18*'Nutrient Content_TFP'!$E20</f>
        <v>3.0125420200595969</v>
      </c>
      <c r="R18">
        <f>$E18*'Nutrient Content_TFP'!$F20</f>
        <v>1.6551149111320356E-3</v>
      </c>
      <c r="S18">
        <f>$E18*'Nutrient Content_TFP'!$H20</f>
        <v>4.8262123626875413E-3</v>
      </c>
      <c r="T18">
        <f>$E18*'Nutrient Content_TFP'!$I20</f>
        <v>3.3117045713107959E-2</v>
      </c>
      <c r="U18">
        <f>$E18*'Nutrient Content_TFP'!$J20</f>
        <v>0.84963734137513924</v>
      </c>
      <c r="V18">
        <f>$E18*'Nutrient Content_TFP'!$K20</f>
        <v>2.8727394838146986E-2</v>
      </c>
      <c r="W18">
        <f>$E18*'Nutrient Content_TFP'!$L20</f>
        <v>1.2641157185986358</v>
      </c>
      <c r="X18">
        <f>$E18*'Nutrient Content_TFP'!$M20</f>
        <v>8.5426109429995178E-3</v>
      </c>
      <c r="Y18">
        <f>$E18*'Nutrient Content_TFP'!$N20</f>
        <v>26.185648074254054</v>
      </c>
      <c r="Z18">
        <f>$E18*'Nutrient Content_TFP'!$O20</f>
        <v>10.375202199320581</v>
      </c>
      <c r="AA18">
        <f>$E18*'Nutrient Content_TFP'!$P20</f>
        <v>1.770596721525344E-2</v>
      </c>
      <c r="AB18">
        <f>$E18*'Nutrient Content_TFP'!$Q20</f>
        <v>45.122469926126257</v>
      </c>
      <c r="AC18">
        <f>$E18*'Nutrient Content_TFP'!$R20</f>
        <v>1.9085632821597967E-3</v>
      </c>
      <c r="AD18">
        <f>$E18*'Nutrient Content_TFP'!$S20</f>
        <v>5.833542785287095E-2</v>
      </c>
      <c r="AE18">
        <f>$E18*'Nutrient Content_TFP'!$T20</f>
        <v>4.7281439298864966E-3</v>
      </c>
      <c r="AF18">
        <f>$E18*'Nutrient Content_TFP'!$U20</f>
        <v>1.7137049742086492E-4</v>
      </c>
      <c r="AG18">
        <f>$E18*'Nutrient Content_TFP'!$W20</f>
        <v>2.7983173140784089E-2</v>
      </c>
      <c r="AH18">
        <f>$E18*'Nutrient Content_TFP'!$X20</f>
        <v>0.14713228601932568</v>
      </c>
      <c r="AI18">
        <f>$E18*'Nutrient Content_TFP'!$V20</f>
        <v>9.8668770042978231</v>
      </c>
      <c r="AJ18">
        <f>$E18*'Nutrient Content_TFP'!$Y20</f>
        <v>9.5138019081824815E-2</v>
      </c>
      <c r="AK18">
        <f>$E18*'Nutrient Content_TFP'!$AF20</f>
        <v>4.541766269843755E-3</v>
      </c>
      <c r="AL18">
        <f>$E18*'Nutrient Content_TFP'!$AI20</f>
        <v>0</v>
      </c>
      <c r="AM18">
        <f>$E18*'Nutrient Content_TFP'!$AO20</f>
        <v>1.7137049201755739E-5</v>
      </c>
      <c r="AN18">
        <f>$E18*'Nutrient Content_TFP'!$AP20</f>
        <v>8.410665386317287E-2</v>
      </c>
      <c r="AO18">
        <f>$E18*'Nutrient Content_TFP'!$AQ20</f>
        <v>0</v>
      </c>
      <c r="AP18">
        <f>$E18*'Nutrient Content_TFP'!$AZ20</f>
        <v>3.3516105658196772E-2</v>
      </c>
      <c r="AQ18">
        <f>$E18*'Nutrient Content_TFP'!$BA20</f>
        <v>2.3032195045721996E-3</v>
      </c>
      <c r="AR18">
        <f>$E18*'Nutrient Content_TFP'!$AG20</f>
        <v>0</v>
      </c>
      <c r="AS18">
        <f>$E18*'Nutrient Content_TFP'!$AJ20</f>
        <v>0</v>
      </c>
      <c r="AT18">
        <f>$E18*'Nutrient Content_TFP'!$AK20</f>
        <v>0</v>
      </c>
      <c r="AU18">
        <f>$E18*'Nutrient Content_TFP'!$AL20</f>
        <v>0</v>
      </c>
      <c r="AV18">
        <f>$E18*'Nutrient Content_TFP'!$AM20</f>
        <v>0</v>
      </c>
      <c r="AW18">
        <f>$E18*'Nutrient Content_TFP'!AN20</f>
        <v>0</v>
      </c>
      <c r="AX18">
        <f>$E18*'Nutrient Content_TFP'!AH20</f>
        <v>4.541766269843755E-3</v>
      </c>
      <c r="AY18">
        <f>$E18*'Nutrient Content_TFP'!$AR20</f>
        <v>0</v>
      </c>
      <c r="AZ18">
        <f>$E18*'Nutrient Content_TFP'!$AS20</f>
        <v>0</v>
      </c>
      <c r="BA18">
        <f>$E18*'Nutrient Content_TFP'!$AT20</f>
        <v>0</v>
      </c>
      <c r="BB18">
        <f>$E18*'Nutrient Content_TFP'!$AU20</f>
        <v>0</v>
      </c>
      <c r="BC18">
        <f>$E18*'Nutrient Content_TFP'!$AV20</f>
        <v>0</v>
      </c>
      <c r="BD18">
        <f>$E18*'Nutrient Content_TFP'!$AW20</f>
        <v>0</v>
      </c>
      <c r="BE18">
        <f>$E18*'Nutrient Content_TFP'!$AX20</f>
        <v>0</v>
      </c>
      <c r="BF18">
        <f>$E18*'Nutrient Content_TFP'!$AY20</f>
        <v>0</v>
      </c>
    </row>
    <row r="19" spans="1:58" ht="14.5" x14ac:dyDescent="0.35">
      <c r="A19" s="4">
        <v>16</v>
      </c>
      <c r="B19" t="s">
        <v>77</v>
      </c>
      <c r="C19" s="2">
        <f>'Your Model Diet'!E27</f>
        <v>11.043459892272949</v>
      </c>
      <c r="D19">
        <f>'Nutrient Content_TFP'!$G21</f>
        <v>40.233085768999999</v>
      </c>
      <c r="E19">
        <f t="shared" si="0"/>
        <v>0.27448702184265583</v>
      </c>
      <c r="F19">
        <f t="shared" si="1"/>
        <v>27.448702184265585</v>
      </c>
      <c r="G19">
        <f>Cost_TFP!C21</f>
        <v>0.13704333699759999</v>
      </c>
      <c r="H19" s="1">
        <f t="shared" si="2"/>
        <v>3.7616617435850673E-2</v>
      </c>
      <c r="I19">
        <f>$E19*'Nutrient Content_TFP'!$Z21</f>
        <v>3.8318484355375713</v>
      </c>
      <c r="J19">
        <f>$E19*'Nutrient Content_TFP'!$AA21</f>
        <v>5.5048557885331588</v>
      </c>
      <c r="K19">
        <f>$E19*'Nutrient Content_TFP'!$AB21</f>
        <v>1.7394169746174517</v>
      </c>
      <c r="L19">
        <f>$E19*'Nutrient Content_TFP'!$AC21</f>
        <v>0.15909929848697019</v>
      </c>
      <c r="M19">
        <f>$E19*'Nutrient Content_TFP'!$AD21</f>
        <v>2.1670900518878627E-2</v>
      </c>
      <c r="N19">
        <f>$E19*'Nutrient Content_TFP'!$AE21</f>
        <v>0.98028190908854784</v>
      </c>
      <c r="O19">
        <f>$E19*'Nutrient Content_TFP'!$C21</f>
        <v>34.204786520083239</v>
      </c>
      <c r="P19">
        <f>$E19*'Nutrient Content_TFP'!$D21</f>
        <v>4.7335226200236766</v>
      </c>
      <c r="Q19">
        <f>$E19*'Nutrient Content_TFP'!$E21</f>
        <v>0.97739267845969757</v>
      </c>
      <c r="R19">
        <f>$E19*'Nutrient Content_TFP'!$F21</f>
        <v>6.6249123954733773E-3</v>
      </c>
      <c r="S19">
        <f>$E19*'Nutrient Content_TFP'!$H21</f>
        <v>6.2921598213632659E-3</v>
      </c>
      <c r="T19">
        <f>$E19*'Nutrient Content_TFP'!$I21</f>
        <v>0</v>
      </c>
      <c r="U19">
        <f>$E19*'Nutrient Content_TFP'!$J21</f>
        <v>1.51331017977853</v>
      </c>
      <c r="V19">
        <f>$E19*'Nutrient Content_TFP'!$K21</f>
        <v>1.8736891367373994E-2</v>
      </c>
      <c r="W19">
        <f>$E19*'Nutrient Content_TFP'!$L21</f>
        <v>3.1821957607191718</v>
      </c>
      <c r="X19">
        <f>$E19*'Nutrient Content_TFP'!$M21</f>
        <v>3.3649687820030846E-2</v>
      </c>
      <c r="Y19">
        <f>$E19*'Nutrient Content_TFP'!$N21</f>
        <v>26.092426174337898</v>
      </c>
      <c r="Z19">
        <f>$E19*'Nutrient Content_TFP'!$O21</f>
        <v>41.950497284421715</v>
      </c>
      <c r="AA19">
        <f>$E19*'Nutrient Content_TFP'!$P21</f>
        <v>5.1135127142631145E-2</v>
      </c>
      <c r="AB19">
        <f>$E19*'Nutrient Content_TFP'!$Q21</f>
        <v>12.337365199988813</v>
      </c>
      <c r="AC19">
        <f>$E19*'Nutrient Content_TFP'!$R21</f>
        <v>8.1400051623190216E-3</v>
      </c>
      <c r="AD19">
        <f>$E19*'Nutrient Content_TFP'!$S21</f>
        <v>0.14166520671043101</v>
      </c>
      <c r="AE19">
        <f>$E19*'Nutrient Content_TFP'!$T21</f>
        <v>1.0229402156750961E-2</v>
      </c>
      <c r="AF19">
        <f>$E19*'Nutrient Content_TFP'!$U21</f>
        <v>7.3352786594928811E-3</v>
      </c>
      <c r="AG19">
        <f>$E19*'Nutrient Content_TFP'!$W21</f>
        <v>4.9966601854256245E-3</v>
      </c>
      <c r="AH19">
        <f>$E19*'Nutrient Content_TFP'!$X21</f>
        <v>8.2162562571031009E-2</v>
      </c>
      <c r="AI19">
        <f>$E19*'Nutrient Content_TFP'!$V21</f>
        <v>15.212898267954724</v>
      </c>
      <c r="AJ19">
        <f>$E19*'Nutrient Content_TFP'!$Y21</f>
        <v>0.1158177213565864</v>
      </c>
      <c r="AK19">
        <f>$E19*'Nutrient Content_TFP'!$AF21</f>
        <v>0</v>
      </c>
      <c r="AL19">
        <f>$E19*'Nutrient Content_TFP'!$AI21</f>
        <v>0</v>
      </c>
      <c r="AM19">
        <f>$E19*'Nutrient Content_TFP'!$AO21</f>
        <v>0</v>
      </c>
      <c r="AN19">
        <f>$E19*'Nutrient Content_TFP'!$AP21</f>
        <v>0.11186815609104529</v>
      </c>
      <c r="AO19">
        <f>$E19*'Nutrient Content_TFP'!$AQ21</f>
        <v>0</v>
      </c>
      <c r="AP19">
        <f>$E19*'Nutrient Content_TFP'!$AZ21</f>
        <v>1.8420444036027595E-2</v>
      </c>
      <c r="AQ19">
        <f>$E19*'Nutrient Content_TFP'!$BA21</f>
        <v>0.28522509160024107</v>
      </c>
      <c r="AR19">
        <f>$E19*'Nutrient Content_TFP'!$AG21</f>
        <v>0</v>
      </c>
      <c r="AS19">
        <f>$E19*'Nutrient Content_TFP'!$AJ21</f>
        <v>0</v>
      </c>
      <c r="AT19">
        <f>$E19*'Nutrient Content_TFP'!$AK21</f>
        <v>0</v>
      </c>
      <c r="AU19">
        <f>$E19*'Nutrient Content_TFP'!$AL21</f>
        <v>0</v>
      </c>
      <c r="AV19">
        <f>$E19*'Nutrient Content_TFP'!$AM21</f>
        <v>0</v>
      </c>
      <c r="AW19">
        <f>$E19*'Nutrient Content_TFP'!AN21</f>
        <v>0</v>
      </c>
      <c r="AX19">
        <f>$E19*'Nutrient Content_TFP'!AH21</f>
        <v>0</v>
      </c>
      <c r="AY19">
        <f>$E19*'Nutrient Content_TFP'!$AR21</f>
        <v>0</v>
      </c>
      <c r="AZ19">
        <f>$E19*'Nutrient Content_TFP'!$AS21</f>
        <v>0</v>
      </c>
      <c r="BA19">
        <f>$E19*'Nutrient Content_TFP'!$AT21</f>
        <v>0</v>
      </c>
      <c r="BB19">
        <f>$E19*'Nutrient Content_TFP'!$AU21</f>
        <v>0</v>
      </c>
      <c r="BC19">
        <f>$E19*'Nutrient Content_TFP'!$AV21</f>
        <v>0</v>
      </c>
      <c r="BD19">
        <f>$E19*'Nutrient Content_TFP'!$AW21</f>
        <v>0</v>
      </c>
      <c r="BE19">
        <f>$E19*'Nutrient Content_TFP'!$AX21</f>
        <v>0</v>
      </c>
      <c r="BF19">
        <f>$E19*'Nutrient Content_TFP'!$AY21</f>
        <v>0</v>
      </c>
    </row>
    <row r="20" spans="1:58" ht="14.5" x14ac:dyDescent="0.35">
      <c r="A20" s="4">
        <v>17</v>
      </c>
      <c r="B20" t="s">
        <v>79</v>
      </c>
      <c r="C20" s="2">
        <f>'Your Model Diet'!E28</f>
        <v>17.289800643920898</v>
      </c>
      <c r="D20">
        <f>'Nutrient Content_TFP'!$G22</f>
        <v>59.899881493000002</v>
      </c>
      <c r="E20">
        <f t="shared" si="0"/>
        <v>0.2886449891548018</v>
      </c>
      <c r="F20">
        <f t="shared" si="1"/>
        <v>28.86449891548018</v>
      </c>
      <c r="G20">
        <f>Cost_TFP!C22</f>
        <v>0.1574359304646</v>
      </c>
      <c r="H20" s="1">
        <f t="shared" si="2"/>
        <v>4.5443092441530594E-2</v>
      </c>
      <c r="I20">
        <f>$E20*'Nutrient Content_TFP'!$Z22</f>
        <v>3.9579984551527563</v>
      </c>
      <c r="J20">
        <f>$E20*'Nutrient Content_TFP'!$AA22</f>
        <v>7.1395353424334527</v>
      </c>
      <c r="K20">
        <f>$E20*'Nutrient Content_TFP'!$AB22</f>
        <v>6.2398048088040508</v>
      </c>
      <c r="L20">
        <f>$E20*'Nutrient Content_TFP'!$AC22</f>
        <v>0.20935627098191034</v>
      </c>
      <c r="M20">
        <f>$E20*'Nutrient Content_TFP'!$AD22</f>
        <v>8.7032639212425739E-2</v>
      </c>
      <c r="N20">
        <f>$E20*'Nutrient Content_TFP'!$AE22</f>
        <v>3.7663236225234256</v>
      </c>
      <c r="O20">
        <f>$E20*'Nutrient Content_TFP'!$C22</f>
        <v>34.246473145515232</v>
      </c>
      <c r="P20">
        <f>$E20*'Nutrient Content_TFP'!$D22</f>
        <v>4.5285778075073875</v>
      </c>
      <c r="Q20">
        <f>$E20*'Nutrient Content_TFP'!$E22</f>
        <v>2.458963324372728</v>
      </c>
      <c r="R20">
        <f>$E20*'Nutrient Content_TFP'!$F22</f>
        <v>5.3910447458373955E-3</v>
      </c>
      <c r="S20">
        <f>$E20*'Nutrient Content_TFP'!$H22</f>
        <v>1.2470669345929632E-2</v>
      </c>
      <c r="T20">
        <f>$E20*'Nutrient Content_TFP'!$I22</f>
        <v>0</v>
      </c>
      <c r="U20">
        <f>$E20*'Nutrient Content_TFP'!$J22</f>
        <v>1.5670581325304855</v>
      </c>
      <c r="V20">
        <f>$E20*'Nutrient Content_TFP'!$K22</f>
        <v>1.2807593730989442E-2</v>
      </c>
      <c r="W20">
        <f>$E20*'Nutrient Content_TFP'!$L22</f>
        <v>3.2279930071761247</v>
      </c>
      <c r="X20">
        <f>$E20*'Nutrient Content_TFP'!$M22</f>
        <v>2.8560089407055695E-2</v>
      </c>
      <c r="Y20">
        <f>$E20*'Nutrient Content_TFP'!$N22</f>
        <v>26.536483748341848</v>
      </c>
      <c r="Z20">
        <f>$E20*'Nutrient Content_TFP'!$O22</f>
        <v>41.259198551313602</v>
      </c>
      <c r="AA20">
        <f>$E20*'Nutrient Content_TFP'!$P22</f>
        <v>5.1907485151538847E-2</v>
      </c>
      <c r="AB20">
        <f>$E20*'Nutrient Content_TFP'!$Q22</f>
        <v>13.962700213881362</v>
      </c>
      <c r="AC20">
        <f>$E20*'Nutrient Content_TFP'!$R22</f>
        <v>1.1867134697219613E-2</v>
      </c>
      <c r="AD20">
        <f>$E20*'Nutrient Content_TFP'!$S22</f>
        <v>0.1376161472359666</v>
      </c>
      <c r="AE20">
        <f>$E20*'Nutrient Content_TFP'!$T22</f>
        <v>1.1077067929181627E-2</v>
      </c>
      <c r="AF20">
        <f>$E20*'Nutrient Content_TFP'!$U22</f>
        <v>7.3554666743647301E-2</v>
      </c>
      <c r="AG20">
        <f>$E20*'Nutrient Content_TFP'!$W22</f>
        <v>1.3458153151294608E-2</v>
      </c>
      <c r="AH20">
        <f>$E20*'Nutrient Content_TFP'!$X22</f>
        <v>6.7277810214779812E-2</v>
      </c>
      <c r="AI20">
        <f>$E20*'Nutrient Content_TFP'!$V22</f>
        <v>14.102270888592932</v>
      </c>
      <c r="AJ20">
        <f>$E20*'Nutrient Content_TFP'!$Y22</f>
        <v>0.13169025386076744</v>
      </c>
      <c r="AK20">
        <f>$E20*'Nutrient Content_TFP'!$AF22</f>
        <v>0</v>
      </c>
      <c r="AL20">
        <f>$E20*'Nutrient Content_TFP'!$AI22</f>
        <v>0</v>
      </c>
      <c r="AM20">
        <f>$E20*'Nutrient Content_TFP'!$AO22</f>
        <v>1.0339214153231855E-3</v>
      </c>
      <c r="AN20">
        <f>$E20*'Nutrient Content_TFP'!$AP22</f>
        <v>0.11559867421556153</v>
      </c>
      <c r="AO20">
        <f>$E20*'Nutrient Content_TFP'!$AQ22</f>
        <v>8.2439924217001854E-5</v>
      </c>
      <c r="AP20">
        <f>$E20*'Nutrient Content_TFP'!$AZ22</f>
        <v>2.4559878463216791E-5</v>
      </c>
      <c r="AQ20">
        <f>$E20*'Nutrient Content_TFP'!$BA22</f>
        <v>1.2423976957410201</v>
      </c>
      <c r="AR20">
        <f>$E20*'Nutrient Content_TFP'!$AG22</f>
        <v>0</v>
      </c>
      <c r="AS20">
        <f>$E20*'Nutrient Content_TFP'!$AJ22</f>
        <v>0</v>
      </c>
      <c r="AT20">
        <f>$E20*'Nutrient Content_TFP'!$AK22</f>
        <v>0</v>
      </c>
      <c r="AU20">
        <f>$E20*'Nutrient Content_TFP'!$AL22</f>
        <v>0</v>
      </c>
      <c r="AV20">
        <f>$E20*'Nutrient Content_TFP'!$AM22</f>
        <v>0</v>
      </c>
      <c r="AW20">
        <f>$E20*'Nutrient Content_TFP'!AN22</f>
        <v>0</v>
      </c>
      <c r="AX20">
        <f>$E20*'Nutrient Content_TFP'!AH22</f>
        <v>0</v>
      </c>
      <c r="AY20">
        <f>$E20*'Nutrient Content_TFP'!$AR22</f>
        <v>0</v>
      </c>
      <c r="AZ20">
        <f>$E20*'Nutrient Content_TFP'!$AS22</f>
        <v>0</v>
      </c>
      <c r="BA20">
        <f>$E20*'Nutrient Content_TFP'!$AT22</f>
        <v>8.2439895352502942E-5</v>
      </c>
      <c r="BB20">
        <f>$E20*'Nutrient Content_TFP'!$AU22</f>
        <v>0</v>
      </c>
      <c r="BC20">
        <f>$E20*'Nutrient Content_TFP'!$AV22</f>
        <v>0</v>
      </c>
      <c r="BD20">
        <f>$E20*'Nutrient Content_TFP'!$AW22</f>
        <v>8.2439895352502942E-5</v>
      </c>
      <c r="BE20">
        <f>$E20*'Nutrient Content_TFP'!$AX22</f>
        <v>0</v>
      </c>
      <c r="BF20">
        <f>$E20*'Nutrient Content_TFP'!$AY22</f>
        <v>0</v>
      </c>
    </row>
    <row r="21" spans="1:58" ht="14.5" x14ac:dyDescent="0.35">
      <c r="A21" s="4">
        <v>18</v>
      </c>
      <c r="B21" t="s">
        <v>82</v>
      </c>
      <c r="C21" s="2">
        <f>'Your Model Diet'!E29</f>
        <v>0</v>
      </c>
      <c r="D21">
        <f>'Nutrient Content_TFP'!$G23</f>
        <v>81.918043041999994</v>
      </c>
      <c r="E21">
        <f t="shared" si="0"/>
        <v>0</v>
      </c>
      <c r="F21">
        <f t="shared" si="1"/>
        <v>0</v>
      </c>
      <c r="G21">
        <f>Cost_TFP!C23</f>
        <v>0.35047434755939999</v>
      </c>
      <c r="H21" s="1">
        <f t="shared" si="2"/>
        <v>0</v>
      </c>
      <c r="I21">
        <f>$E21*'Nutrient Content_TFP'!$Z23</f>
        <v>0</v>
      </c>
      <c r="J21">
        <f>$E21*'Nutrient Content_TFP'!$AA23</f>
        <v>0</v>
      </c>
      <c r="K21">
        <f>$E21*'Nutrient Content_TFP'!$AB23</f>
        <v>0</v>
      </c>
      <c r="L21">
        <f>$E21*'Nutrient Content_TFP'!$AC23</f>
        <v>0</v>
      </c>
      <c r="M21">
        <f>$E21*'Nutrient Content_TFP'!$AD23</f>
        <v>0</v>
      </c>
      <c r="N21">
        <f>$E21*'Nutrient Content_TFP'!$AE23</f>
        <v>0</v>
      </c>
      <c r="O21">
        <f>$E21*'Nutrient Content_TFP'!$C23</f>
        <v>0</v>
      </c>
      <c r="P21">
        <f>$E21*'Nutrient Content_TFP'!$D23</f>
        <v>0</v>
      </c>
      <c r="Q21">
        <f>$E21*'Nutrient Content_TFP'!$E23</f>
        <v>0</v>
      </c>
      <c r="R21">
        <f>$E21*'Nutrient Content_TFP'!$F23</f>
        <v>0</v>
      </c>
      <c r="S21">
        <f>$E21*'Nutrient Content_TFP'!$H23</f>
        <v>0</v>
      </c>
      <c r="T21">
        <f>$E21*'Nutrient Content_TFP'!$I23</f>
        <v>0</v>
      </c>
      <c r="U21">
        <f>$E21*'Nutrient Content_TFP'!$J23</f>
        <v>0</v>
      </c>
      <c r="V21">
        <f>$E21*'Nutrient Content_TFP'!$K23</f>
        <v>0</v>
      </c>
      <c r="W21">
        <f>$E21*'Nutrient Content_TFP'!$L23</f>
        <v>0</v>
      </c>
      <c r="X21">
        <f>$E21*'Nutrient Content_TFP'!$M23</f>
        <v>0</v>
      </c>
      <c r="Y21">
        <f>$E21*'Nutrient Content_TFP'!$N23</f>
        <v>0</v>
      </c>
      <c r="Z21">
        <f>$E21*'Nutrient Content_TFP'!$O23</f>
        <v>0</v>
      </c>
      <c r="AA21">
        <f>$E21*'Nutrient Content_TFP'!$P23</f>
        <v>0</v>
      </c>
      <c r="AB21">
        <f>$E21*'Nutrient Content_TFP'!$Q23</f>
        <v>0</v>
      </c>
      <c r="AC21">
        <f>$E21*'Nutrient Content_TFP'!$R23</f>
        <v>0</v>
      </c>
      <c r="AD21">
        <f>$E21*'Nutrient Content_TFP'!$S23</f>
        <v>0</v>
      </c>
      <c r="AE21">
        <f>$E21*'Nutrient Content_TFP'!$T23</f>
        <v>0</v>
      </c>
      <c r="AF21">
        <f>$E21*'Nutrient Content_TFP'!$U23</f>
        <v>0</v>
      </c>
      <c r="AG21">
        <f>$E21*'Nutrient Content_TFP'!$W23</f>
        <v>0</v>
      </c>
      <c r="AH21">
        <f>$E21*'Nutrient Content_TFP'!$X23</f>
        <v>0</v>
      </c>
      <c r="AI21">
        <f>$E21*'Nutrient Content_TFP'!$V23</f>
        <v>0</v>
      </c>
      <c r="AJ21">
        <f>$E21*'Nutrient Content_TFP'!$Y23</f>
        <v>0</v>
      </c>
      <c r="AK21">
        <f>$E21*'Nutrient Content_TFP'!$AF23</f>
        <v>0</v>
      </c>
      <c r="AL21">
        <f>$E21*'Nutrient Content_TFP'!$AI23</f>
        <v>0</v>
      </c>
      <c r="AM21">
        <f>$E21*'Nutrient Content_TFP'!$AO23</f>
        <v>0</v>
      </c>
      <c r="AN21">
        <f>$E21*'Nutrient Content_TFP'!$AP23</f>
        <v>0</v>
      </c>
      <c r="AO21">
        <f>$E21*'Nutrient Content_TFP'!$AQ23</f>
        <v>0</v>
      </c>
      <c r="AP21">
        <f>$E21*'Nutrient Content_TFP'!$AZ23</f>
        <v>0</v>
      </c>
      <c r="AQ21">
        <f>$E21*'Nutrient Content_TFP'!$BA23</f>
        <v>0</v>
      </c>
      <c r="AR21">
        <f>$E21*'Nutrient Content_TFP'!$AG23</f>
        <v>0</v>
      </c>
      <c r="AS21">
        <f>$E21*'Nutrient Content_TFP'!$AJ23</f>
        <v>0</v>
      </c>
      <c r="AT21">
        <f>$E21*'Nutrient Content_TFP'!$AK23</f>
        <v>0</v>
      </c>
      <c r="AU21">
        <f>$E21*'Nutrient Content_TFP'!$AL23</f>
        <v>0</v>
      </c>
      <c r="AV21">
        <f>$E21*'Nutrient Content_TFP'!$AM23</f>
        <v>0</v>
      </c>
      <c r="AW21">
        <f>$E21*'Nutrient Content_TFP'!AN23</f>
        <v>0</v>
      </c>
      <c r="AX21">
        <f>$E21*'Nutrient Content_TFP'!AH23</f>
        <v>0</v>
      </c>
      <c r="AY21">
        <f>$E21*'Nutrient Content_TFP'!$AR23</f>
        <v>0</v>
      </c>
      <c r="AZ21">
        <f>$E21*'Nutrient Content_TFP'!$AS23</f>
        <v>0</v>
      </c>
      <c r="BA21">
        <f>$E21*'Nutrient Content_TFP'!$AT23</f>
        <v>0</v>
      </c>
      <c r="BB21">
        <f>$E21*'Nutrient Content_TFP'!$AU23</f>
        <v>0</v>
      </c>
      <c r="BC21">
        <f>$E21*'Nutrient Content_TFP'!$AV23</f>
        <v>0</v>
      </c>
      <c r="BD21">
        <f>$E21*'Nutrient Content_TFP'!$AW23</f>
        <v>0</v>
      </c>
      <c r="BE21">
        <f>$E21*'Nutrient Content_TFP'!$AX23</f>
        <v>0</v>
      </c>
      <c r="BF21">
        <f>$E21*'Nutrient Content_TFP'!$AY23</f>
        <v>0</v>
      </c>
    </row>
    <row r="22" spans="1:58" ht="14.5" x14ac:dyDescent="0.35">
      <c r="A22" s="4">
        <v>19</v>
      </c>
      <c r="B22" t="s">
        <v>84</v>
      </c>
      <c r="C22" s="2">
        <f>'Your Model Diet'!E30</f>
        <v>0</v>
      </c>
      <c r="D22">
        <f>'Nutrient Content_TFP'!$G24</f>
        <v>51.949068998000001</v>
      </c>
      <c r="E22">
        <f t="shared" si="0"/>
        <v>0</v>
      </c>
      <c r="F22">
        <f t="shared" si="1"/>
        <v>0</v>
      </c>
      <c r="G22">
        <f>Cost_TFP!C24</f>
        <v>0.1212350975748</v>
      </c>
      <c r="H22" s="1">
        <f t="shared" si="2"/>
        <v>0</v>
      </c>
      <c r="I22">
        <f>$E22*'Nutrient Content_TFP'!$Z24</f>
        <v>0</v>
      </c>
      <c r="J22">
        <f>$E22*'Nutrient Content_TFP'!$AA24</f>
        <v>0</v>
      </c>
      <c r="K22">
        <f>$E22*'Nutrient Content_TFP'!$AB24</f>
        <v>0</v>
      </c>
      <c r="L22">
        <f>$E22*'Nutrient Content_TFP'!$AC24</f>
        <v>0</v>
      </c>
      <c r="M22">
        <f>$E22*'Nutrient Content_TFP'!$AD24</f>
        <v>0</v>
      </c>
      <c r="N22">
        <f>$E22*'Nutrient Content_TFP'!$AE24</f>
        <v>0</v>
      </c>
      <c r="O22">
        <f>$E22*'Nutrient Content_TFP'!$C24</f>
        <v>0</v>
      </c>
      <c r="P22">
        <f>$E22*'Nutrient Content_TFP'!$D24</f>
        <v>0</v>
      </c>
      <c r="Q22">
        <f>$E22*'Nutrient Content_TFP'!$E24</f>
        <v>0</v>
      </c>
      <c r="R22">
        <f>$E22*'Nutrient Content_TFP'!$F24</f>
        <v>0</v>
      </c>
      <c r="S22">
        <f>$E22*'Nutrient Content_TFP'!$H24</f>
        <v>0</v>
      </c>
      <c r="T22">
        <f>$E22*'Nutrient Content_TFP'!$I24</f>
        <v>0</v>
      </c>
      <c r="U22">
        <f>$E22*'Nutrient Content_TFP'!$J24</f>
        <v>0</v>
      </c>
      <c r="V22">
        <f>$E22*'Nutrient Content_TFP'!$K24</f>
        <v>0</v>
      </c>
      <c r="W22">
        <f>$E22*'Nutrient Content_TFP'!$L24</f>
        <v>0</v>
      </c>
      <c r="X22">
        <f>$E22*'Nutrient Content_TFP'!$M24</f>
        <v>0</v>
      </c>
      <c r="Y22">
        <f>$E22*'Nutrient Content_TFP'!$N24</f>
        <v>0</v>
      </c>
      <c r="Z22">
        <f>$E22*'Nutrient Content_TFP'!$O24</f>
        <v>0</v>
      </c>
      <c r="AA22">
        <f>$E22*'Nutrient Content_TFP'!$P24</f>
        <v>0</v>
      </c>
      <c r="AB22">
        <f>$E22*'Nutrient Content_TFP'!$Q24</f>
        <v>0</v>
      </c>
      <c r="AC22">
        <f>$E22*'Nutrient Content_TFP'!$R24</f>
        <v>0</v>
      </c>
      <c r="AD22">
        <f>$E22*'Nutrient Content_TFP'!$S24</f>
        <v>0</v>
      </c>
      <c r="AE22">
        <f>$E22*'Nutrient Content_TFP'!$T24</f>
        <v>0</v>
      </c>
      <c r="AF22">
        <f>$E22*'Nutrient Content_TFP'!$U24</f>
        <v>0</v>
      </c>
      <c r="AG22">
        <f>$E22*'Nutrient Content_TFP'!$W24</f>
        <v>0</v>
      </c>
      <c r="AH22">
        <f>$E22*'Nutrient Content_TFP'!$X24</f>
        <v>0</v>
      </c>
      <c r="AI22">
        <f>$E22*'Nutrient Content_TFP'!$V24</f>
        <v>0</v>
      </c>
      <c r="AJ22">
        <f>$E22*'Nutrient Content_TFP'!$Y24</f>
        <v>0</v>
      </c>
      <c r="AK22">
        <f>$E22*'Nutrient Content_TFP'!$AF24</f>
        <v>0</v>
      </c>
      <c r="AL22">
        <f>$E22*'Nutrient Content_TFP'!$AI24</f>
        <v>0</v>
      </c>
      <c r="AM22">
        <f>$E22*'Nutrient Content_TFP'!$AO24</f>
        <v>0</v>
      </c>
      <c r="AN22">
        <f>$E22*'Nutrient Content_TFP'!$AP24</f>
        <v>0</v>
      </c>
      <c r="AO22">
        <f>$E22*'Nutrient Content_TFP'!$AQ24</f>
        <v>0</v>
      </c>
      <c r="AP22">
        <f>$E22*'Nutrient Content_TFP'!$AZ24</f>
        <v>0</v>
      </c>
      <c r="AQ22">
        <f>$E22*'Nutrient Content_TFP'!$BA24</f>
        <v>0</v>
      </c>
      <c r="AR22">
        <f>$E22*'Nutrient Content_TFP'!$AG24</f>
        <v>0</v>
      </c>
      <c r="AS22">
        <f>$E22*'Nutrient Content_TFP'!$AJ24</f>
        <v>0</v>
      </c>
      <c r="AT22">
        <f>$E22*'Nutrient Content_TFP'!$AK24</f>
        <v>0</v>
      </c>
      <c r="AU22">
        <f>$E22*'Nutrient Content_TFP'!$AL24</f>
        <v>0</v>
      </c>
      <c r="AV22">
        <f>$E22*'Nutrient Content_TFP'!$AM24</f>
        <v>0</v>
      </c>
      <c r="AW22">
        <f>$E22*'Nutrient Content_TFP'!AN24</f>
        <v>0</v>
      </c>
      <c r="AX22">
        <f>$E22*'Nutrient Content_TFP'!AH24</f>
        <v>0</v>
      </c>
      <c r="AY22">
        <f>$E22*'Nutrient Content_TFP'!$AR24</f>
        <v>0</v>
      </c>
      <c r="AZ22">
        <f>$E22*'Nutrient Content_TFP'!$AS24</f>
        <v>0</v>
      </c>
      <c r="BA22">
        <f>$E22*'Nutrient Content_TFP'!$AT24</f>
        <v>0</v>
      </c>
      <c r="BB22">
        <f>$E22*'Nutrient Content_TFP'!$AU24</f>
        <v>0</v>
      </c>
      <c r="BC22">
        <f>$E22*'Nutrient Content_TFP'!$AV24</f>
        <v>0</v>
      </c>
      <c r="BD22">
        <f>$E22*'Nutrient Content_TFP'!$AW24</f>
        <v>0</v>
      </c>
      <c r="BE22">
        <f>$E22*'Nutrient Content_TFP'!$AX24</f>
        <v>0</v>
      </c>
      <c r="BF22">
        <f>$E22*'Nutrient Content_TFP'!$AY24</f>
        <v>0</v>
      </c>
    </row>
    <row r="23" spans="1:58" ht="14.5" x14ac:dyDescent="0.35">
      <c r="A23" s="4">
        <v>20</v>
      </c>
      <c r="B23" t="s">
        <v>86</v>
      </c>
      <c r="C23" s="2">
        <f>'Your Model Diet'!E31</f>
        <v>28.572431564331051</v>
      </c>
      <c r="D23">
        <f>'Nutrient Content_TFP'!$G25</f>
        <v>174.98075352999999</v>
      </c>
      <c r="E23">
        <f t="shared" si="0"/>
        <v>0.16328899600625152</v>
      </c>
      <c r="F23">
        <f t="shared" si="1"/>
        <v>16.328899600625153</v>
      </c>
      <c r="G23">
        <f>Cost_TFP!C25</f>
        <v>0.3777499903182</v>
      </c>
      <c r="H23" s="1">
        <f t="shared" si="2"/>
        <v>6.168241666043011E-2</v>
      </c>
      <c r="I23">
        <f>$E23*'Nutrient Content_TFP'!$Z25</f>
        <v>8.153249885148913</v>
      </c>
      <c r="J23">
        <f>$E23*'Nutrient Content_TFP'!$AA25</f>
        <v>0.81677423563622664</v>
      </c>
      <c r="K23">
        <f>$E23*'Nutrient Content_TFP'!$AB25</f>
        <v>19.013530180963215</v>
      </c>
      <c r="L23">
        <f>$E23*'Nutrient Content_TFP'!$AC25</f>
        <v>3.6456602341090298</v>
      </c>
      <c r="M23">
        <f>$E23*'Nutrient Content_TFP'!$AD25</f>
        <v>0.27481648982724916</v>
      </c>
      <c r="N23">
        <f>$E23*'Nutrient Content_TFP'!$AE25</f>
        <v>5.9496921934759754</v>
      </c>
      <c r="O23">
        <f>$E23*'Nutrient Content_TFP'!$C25</f>
        <v>10.828619300657442</v>
      </c>
      <c r="P23">
        <f>$E23*'Nutrient Content_TFP'!$D25</f>
        <v>38.568708752976832</v>
      </c>
      <c r="Q23">
        <f>$E23*'Nutrient Content_TFP'!$E25</f>
        <v>58.343961285860885</v>
      </c>
      <c r="R23">
        <f>$E23*'Nutrient Content_TFP'!$F25</f>
        <v>1.1424288205384424E-2</v>
      </c>
      <c r="S23">
        <f>$E23*'Nutrient Content_TFP'!$H25</f>
        <v>0</v>
      </c>
      <c r="T23">
        <f>$E23*'Nutrient Content_TFP'!$I25</f>
        <v>0</v>
      </c>
      <c r="U23">
        <f>$E23*'Nutrient Content_TFP'!$J25</f>
        <v>5.5671797129655447</v>
      </c>
      <c r="V23">
        <f>$E23*'Nutrient Content_TFP'!$K25</f>
        <v>0.27173736446442265</v>
      </c>
      <c r="W23">
        <f>$E23*'Nutrient Content_TFP'!$L25</f>
        <v>2.1010790956409831</v>
      </c>
      <c r="X23">
        <f>$E23*'Nutrient Content_TFP'!$M25</f>
        <v>1.3037320313051328E-2</v>
      </c>
      <c r="Y23">
        <f>$E23*'Nutrient Content_TFP'!$N25</f>
        <v>32.345688851052998</v>
      </c>
      <c r="Z23">
        <f>$E23*'Nutrient Content_TFP'!$O25</f>
        <v>24.397494779296334</v>
      </c>
      <c r="AA23">
        <f>$E23*'Nutrient Content_TFP'!$P25</f>
        <v>7.173687790047803E-2</v>
      </c>
      <c r="AB23">
        <f>$E23*'Nutrient Content_TFP'!$Q25</f>
        <v>24.732377272448137</v>
      </c>
      <c r="AC23">
        <f>$E23*'Nutrient Content_TFP'!$R25</f>
        <v>5.9805278315026899E-3</v>
      </c>
      <c r="AD23">
        <f>$E23*'Nutrient Content_TFP'!$S25</f>
        <v>0.12447974314709587</v>
      </c>
      <c r="AE23">
        <f>$E23*'Nutrient Content_TFP'!$T25</f>
        <v>2.6139231221362885E-2</v>
      </c>
      <c r="AF23">
        <f>$E23*'Nutrient Content_TFP'!$U25</f>
        <v>0</v>
      </c>
      <c r="AG23">
        <f>$E23*'Nutrient Content_TFP'!$W25</f>
        <v>0.22010558211110032</v>
      </c>
      <c r="AH23">
        <f>$E23*'Nutrient Content_TFP'!$X25</f>
        <v>0.57724551889202047</v>
      </c>
      <c r="AI23">
        <f>$E23*'Nutrient Content_TFP'!$V25</f>
        <v>27.369680010160533</v>
      </c>
      <c r="AJ23">
        <f>$E23*'Nutrient Content_TFP'!$Y25</f>
        <v>0.20718204947365357</v>
      </c>
      <c r="AK23">
        <f>$E23*'Nutrient Content_TFP'!$AF25</f>
        <v>0</v>
      </c>
      <c r="AL23">
        <f>$E23*'Nutrient Content_TFP'!$AI25</f>
        <v>0</v>
      </c>
      <c r="AM23">
        <f>$E23*'Nutrient Content_TFP'!$AO25</f>
        <v>0</v>
      </c>
      <c r="AN23">
        <f>$E23*'Nutrient Content_TFP'!$AP25</f>
        <v>7.0530204077674944E-3</v>
      </c>
      <c r="AO23">
        <f>$E23*'Nutrient Content_TFP'!$AQ25</f>
        <v>0.29898269619093265</v>
      </c>
      <c r="AP23">
        <f>$E23*'Nutrient Content_TFP'!$AZ25</f>
        <v>0.41140035404626779</v>
      </c>
      <c r="AQ23">
        <f>$E23*'Nutrient Content_TFP'!$BA25</f>
        <v>0</v>
      </c>
      <c r="AR23">
        <f>$E23*'Nutrient Content_TFP'!$AG25</f>
        <v>0</v>
      </c>
      <c r="AS23">
        <f>$E23*'Nutrient Content_TFP'!$AJ25</f>
        <v>0</v>
      </c>
      <c r="AT23">
        <f>$E23*'Nutrient Content_TFP'!$AK25</f>
        <v>0</v>
      </c>
      <c r="AU23">
        <f>$E23*'Nutrient Content_TFP'!$AL25</f>
        <v>0</v>
      </c>
      <c r="AV23">
        <f>$E23*'Nutrient Content_TFP'!$AM25</f>
        <v>0</v>
      </c>
      <c r="AW23">
        <f>$E23*'Nutrient Content_TFP'!AN25</f>
        <v>0</v>
      </c>
      <c r="AX23">
        <f>$E23*'Nutrient Content_TFP'!AH25</f>
        <v>0</v>
      </c>
      <c r="AY23">
        <f>$E23*'Nutrient Content_TFP'!$AR25</f>
        <v>0</v>
      </c>
      <c r="AZ23">
        <f>$E23*'Nutrient Content_TFP'!$AS25</f>
        <v>0</v>
      </c>
      <c r="BA23">
        <f>$E23*'Nutrient Content_TFP'!$AT25</f>
        <v>0.29898269625624818</v>
      </c>
      <c r="BB23">
        <f>$E23*'Nutrient Content_TFP'!$AU25</f>
        <v>0</v>
      </c>
      <c r="BC23">
        <f>$E23*'Nutrient Content_TFP'!$AV25</f>
        <v>0</v>
      </c>
      <c r="BD23">
        <f>$E23*'Nutrient Content_TFP'!$AW25</f>
        <v>0.29898269625624818</v>
      </c>
      <c r="BE23">
        <f>$E23*'Nutrient Content_TFP'!$AX25</f>
        <v>0</v>
      </c>
      <c r="BF23">
        <f>$E23*'Nutrient Content_TFP'!$AY25</f>
        <v>0</v>
      </c>
    </row>
    <row r="24" spans="1:58" ht="14.5" x14ac:dyDescent="0.35">
      <c r="A24" s="4">
        <v>21</v>
      </c>
      <c r="B24" t="s">
        <v>88</v>
      </c>
      <c r="C24" s="2">
        <f>'Your Model Diet'!E32</f>
        <v>7.1721968650817871</v>
      </c>
      <c r="D24">
        <f>'Nutrient Content_TFP'!$G26</f>
        <v>717.21969293999996</v>
      </c>
      <c r="E24">
        <f t="shared" si="0"/>
        <v>9.9999999103228578E-3</v>
      </c>
      <c r="F24">
        <f t="shared" si="1"/>
        <v>0.99999999103228576</v>
      </c>
      <c r="G24">
        <f>Cost_TFP!C26</f>
        <v>0.94969317045539992</v>
      </c>
      <c r="H24" s="1">
        <f t="shared" si="2"/>
        <v>9.4969316193882301E-3</v>
      </c>
      <c r="I24">
        <f>$E24*'Nutrient Content_TFP'!$Z26</f>
        <v>3.0836421433467785E-2</v>
      </c>
      <c r="J24">
        <f>$E24*'Nutrient Content_TFP'!$AA26</f>
        <v>2.709348585803336E-2</v>
      </c>
      <c r="K24">
        <f>$E24*'Nutrient Content_TFP'!$AB26</f>
        <v>7.2443395913348319</v>
      </c>
      <c r="L24">
        <f>$E24*'Nutrient Content_TFP'!$AC26</f>
        <v>0.2452234123409065</v>
      </c>
      <c r="M24">
        <f>$E24*'Nutrient Content_TFP'!$AD26</f>
        <v>2.8013869548779623E-2</v>
      </c>
      <c r="N24">
        <f>$E24*'Nutrient Content_TFP'!$AE26</f>
        <v>4.5049207657011578</v>
      </c>
      <c r="O24">
        <f>$E24*'Nutrient Content_TFP'!$C26</f>
        <v>0.23780306849745</v>
      </c>
      <c r="P24">
        <f>$E24*'Nutrient Content_TFP'!$D26</f>
        <v>0.18799999831406974</v>
      </c>
      <c r="Q24">
        <f>$E24*'Nutrient Content_TFP'!$E26</f>
        <v>2.1719692742224002</v>
      </c>
      <c r="R24">
        <f>$E24*'Nutrient Content_TFP'!$F26</f>
        <v>2.1969293802985649E-5</v>
      </c>
      <c r="S24">
        <f>$E24*'Nutrient Content_TFP'!$H26</f>
        <v>0</v>
      </c>
      <c r="T24">
        <f>$E24*'Nutrient Content_TFP'!$I26</f>
        <v>0</v>
      </c>
      <c r="U24">
        <f>$E24*'Nutrient Content_TFP'!$J26</f>
        <v>3.2196929081267138E-2</v>
      </c>
      <c r="V24">
        <f>$E24*'Nutrient Content_TFP'!$K26</f>
        <v>2.6590787861541411E-4</v>
      </c>
      <c r="W24">
        <f>$E24*'Nutrient Content_TFP'!$L26</f>
        <v>1.7803070472347152E-2</v>
      </c>
      <c r="X24">
        <f>$E24*'Nutrient Content_TFP'!$M26</f>
        <v>3.760614096275887E-4</v>
      </c>
      <c r="Y24">
        <f>$E24*'Nutrient Content_TFP'!$N26</f>
        <v>0.23999999784774859</v>
      </c>
      <c r="Z24">
        <f>$E24*'Nutrient Content_TFP'!$O26</f>
        <v>0.27734779677282423</v>
      </c>
      <c r="AA24">
        <f>$E24*'Nutrient Content_TFP'!$P26</f>
        <v>4.0590787735993411E-4</v>
      </c>
      <c r="AB24">
        <f>$E24*'Nutrient Content_TFP'!$Q26</f>
        <v>6.2981841814196837</v>
      </c>
      <c r="AC24">
        <f>$E24*'Nutrient Content_TFP'!$R26</f>
        <v>5.4393858512211414E-5</v>
      </c>
      <c r="AD24">
        <f>$E24*'Nutrient Content_TFP'!$S26</f>
        <v>1.4803070497250294E-3</v>
      </c>
      <c r="AE24">
        <f>$E24*'Nutrient Content_TFP'!$T26</f>
        <v>4.0984646632461402E-5</v>
      </c>
      <c r="AF24">
        <f>$E24*'Nutrient Content_TFP'!$U26</f>
        <v>0</v>
      </c>
      <c r="AG24">
        <f>$E24*'Nutrient Content_TFP'!$W26</f>
        <v>2.1112916910665396E-2</v>
      </c>
      <c r="AH24">
        <f>$E24*'Nutrient Content_TFP'!$X26</f>
        <v>6.472736893954345E-2</v>
      </c>
      <c r="AI24">
        <f>$E24*'Nutrient Content_TFP'!$V26</f>
        <v>6.8378030092805364</v>
      </c>
      <c r="AJ24">
        <f>$E24*'Nutrient Content_TFP'!$Y26</f>
        <v>8.1212281771711459E-4</v>
      </c>
      <c r="AK24">
        <f>$E24*'Nutrient Content_TFP'!$AF26</f>
        <v>0</v>
      </c>
      <c r="AL24">
        <f>$E24*'Nutrient Content_TFP'!$AI26</f>
        <v>0</v>
      </c>
      <c r="AM24">
        <f>$E24*'Nutrient Content_TFP'!$AO26</f>
        <v>0</v>
      </c>
      <c r="AN24">
        <f>$E24*'Nutrient Content_TFP'!$AP26</f>
        <v>0</v>
      </c>
      <c r="AO24">
        <f>$E24*'Nutrient Content_TFP'!$AQ26</f>
        <v>0</v>
      </c>
      <c r="AP24">
        <f>$E24*'Nutrient Content_TFP'!$AZ26</f>
        <v>0</v>
      </c>
      <c r="AQ24">
        <f>$E24*'Nutrient Content_TFP'!$BA26</f>
        <v>0</v>
      </c>
      <c r="AR24">
        <f>$E24*'Nutrient Content_TFP'!$AG26</f>
        <v>0</v>
      </c>
      <c r="AS24">
        <f>$E24*'Nutrient Content_TFP'!$AJ26</f>
        <v>0</v>
      </c>
      <c r="AT24">
        <f>$E24*'Nutrient Content_TFP'!$AK26</f>
        <v>0</v>
      </c>
      <c r="AU24">
        <f>$E24*'Nutrient Content_TFP'!$AL26</f>
        <v>0</v>
      </c>
      <c r="AV24">
        <f>$E24*'Nutrient Content_TFP'!$AM26</f>
        <v>0</v>
      </c>
      <c r="AW24">
        <f>$E24*'Nutrient Content_TFP'!AN26</f>
        <v>0</v>
      </c>
      <c r="AX24">
        <f>$E24*'Nutrient Content_TFP'!AH26</f>
        <v>0</v>
      </c>
      <c r="AY24">
        <f>$E24*'Nutrient Content_TFP'!$AR26</f>
        <v>0</v>
      </c>
      <c r="AZ24">
        <f>$E24*'Nutrient Content_TFP'!$AS26</f>
        <v>0</v>
      </c>
      <c r="BA24">
        <f>$E24*'Nutrient Content_TFP'!$AT26</f>
        <v>0</v>
      </c>
      <c r="BB24">
        <f>$E24*'Nutrient Content_TFP'!$AU26</f>
        <v>0</v>
      </c>
      <c r="BC24">
        <f>$E24*'Nutrient Content_TFP'!$AV26</f>
        <v>0</v>
      </c>
      <c r="BD24">
        <f>$E24*'Nutrient Content_TFP'!$AW26</f>
        <v>0</v>
      </c>
      <c r="BE24">
        <f>$E24*'Nutrient Content_TFP'!$AX26</f>
        <v>0</v>
      </c>
      <c r="BF24">
        <f>$E24*'Nutrient Content_TFP'!$AY26</f>
        <v>0</v>
      </c>
    </row>
    <row r="25" spans="1:58" ht="14.5" x14ac:dyDescent="0.35">
      <c r="A25" s="4">
        <v>22</v>
      </c>
      <c r="B25" t="s">
        <v>90</v>
      </c>
      <c r="C25" s="2">
        <f>'Your Model Diet'!E33</f>
        <v>47.795597076416023</v>
      </c>
      <c r="D25">
        <f>'Nutrient Content_TFP'!$G27</f>
        <v>322.02716623999999</v>
      </c>
      <c r="E25">
        <f t="shared" si="0"/>
        <v>0.14842100942749339</v>
      </c>
      <c r="F25">
        <f t="shared" si="1"/>
        <v>14.84210094274934</v>
      </c>
      <c r="G25">
        <f>Cost_TFP!C27</f>
        <v>0.54018534974279997</v>
      </c>
      <c r="H25" s="1">
        <f t="shared" si="2"/>
        <v>8.0174854886769925E-2</v>
      </c>
      <c r="I25">
        <f>$E25*'Nutrient Content_TFP'!$Z27</f>
        <v>0.89781889221155198</v>
      </c>
      <c r="J25">
        <f>$E25*'Nutrient Content_TFP'!$AA27</f>
        <v>7.8048392824265047</v>
      </c>
      <c r="K25">
        <f>$E25*'Nutrient Content_TFP'!$AB27</f>
        <v>39.743532666418844</v>
      </c>
      <c r="L25">
        <f>$E25*'Nutrient Content_TFP'!$AC27</f>
        <v>14.45544455482802</v>
      </c>
      <c r="M25">
        <f>$E25*'Nutrient Content_TFP'!$AD27</f>
        <v>1.9848804937382762</v>
      </c>
      <c r="N25">
        <f>$E25*'Nutrient Content_TFP'!$AE27</f>
        <v>9.8121896663197781</v>
      </c>
      <c r="O25">
        <f>$E25*'Nutrient Content_TFP'!$C27</f>
        <v>4.9107501525163437</v>
      </c>
      <c r="P25">
        <f>$E25*'Nutrient Content_TFP'!$D27</f>
        <v>2.0483297963908327</v>
      </c>
      <c r="Q25">
        <f>$E25*'Nutrient Content_TFP'!$E27</f>
        <v>3.1973345869485299</v>
      </c>
      <c r="R25">
        <f>$E25*'Nutrient Content_TFP'!$F27</f>
        <v>4.4708679447791324E-3</v>
      </c>
      <c r="S25">
        <f>$E25*'Nutrient Content_TFP'!$H27</f>
        <v>2.9764302730287271E-2</v>
      </c>
      <c r="T25">
        <f>$E25*'Nutrient Content_TFP'!$I27</f>
        <v>0</v>
      </c>
      <c r="U25">
        <f>$E25*'Nutrient Content_TFP'!$J27</f>
        <v>0.43702228642339486</v>
      </c>
      <c r="V25">
        <f>$E25*'Nutrient Content_TFP'!$K27</f>
        <v>3.9890440545918379E-2</v>
      </c>
      <c r="W25">
        <f>$E25*'Nutrient Content_TFP'!$L27</f>
        <v>0.95987922898052969</v>
      </c>
      <c r="X25">
        <f>$E25*'Nutrient Content_TFP'!$M27</f>
        <v>1.039172327526882E-2</v>
      </c>
      <c r="Y25">
        <f>$E25*'Nutrient Content_TFP'!$N27</f>
        <v>10.588053031681014</v>
      </c>
      <c r="Z25">
        <f>$E25*'Nutrient Content_TFP'!$O27</f>
        <v>16.234408979523543</v>
      </c>
      <c r="AA25">
        <f>$E25*'Nutrient Content_TFP'!$P27</f>
        <v>9.9005553652962257E-3</v>
      </c>
      <c r="AB25">
        <f>$E25*'Nutrient Content_TFP'!$Q27</f>
        <v>63.761699436609753</v>
      </c>
      <c r="AC25">
        <f>$E25*'Nutrient Content_TFP'!$R27</f>
        <v>3.9999734244840759E-3</v>
      </c>
      <c r="AD25">
        <f>$E25*'Nutrient Content_TFP'!$S27</f>
        <v>1.5083661152222705E-2</v>
      </c>
      <c r="AE25">
        <f>$E25*'Nutrient Content_TFP'!$T27</f>
        <v>1.7364125546820087E-2</v>
      </c>
      <c r="AF25">
        <f>$E25*'Nutrient Content_TFP'!$U27</f>
        <v>4.7396122977394255E-2</v>
      </c>
      <c r="AG25">
        <f>$E25*'Nutrient Content_TFP'!$W27</f>
        <v>0.37677217562379173</v>
      </c>
      <c r="AH25">
        <f>$E25*'Nutrient Content_TFP'!$X27</f>
        <v>7.2412920296060772</v>
      </c>
      <c r="AI25">
        <f>$E25*'Nutrient Content_TFP'!$V27</f>
        <v>12.556167904817514</v>
      </c>
      <c r="AJ25">
        <f>$E25*'Nutrient Content_TFP'!$Y27</f>
        <v>2.8156043721806127E-2</v>
      </c>
      <c r="AK25">
        <f>$E25*'Nutrient Content_TFP'!$AF27</f>
        <v>0</v>
      </c>
      <c r="AL25">
        <f>$E25*'Nutrient Content_TFP'!$AI27</f>
        <v>4.9911438565944258E-4</v>
      </c>
      <c r="AM25">
        <f>$E25*'Nutrient Content_TFP'!$AO27</f>
        <v>0</v>
      </c>
      <c r="AN25">
        <f>$E25*'Nutrient Content_TFP'!$AP27</f>
        <v>5.4366556533308064E-3</v>
      </c>
      <c r="AO25">
        <f>$E25*'Nutrient Content_TFP'!$AQ27</f>
        <v>3.2827773558852919E-3</v>
      </c>
      <c r="AP25">
        <f>$E25*'Nutrient Content_TFP'!$AZ27</f>
        <v>2.8196591253655718</v>
      </c>
      <c r="AQ25">
        <f>$E25*'Nutrient Content_TFP'!$BA27</f>
        <v>5.3999616853868435</v>
      </c>
      <c r="AR25">
        <f>$E25*'Nutrient Content_TFP'!$AG27</f>
        <v>0</v>
      </c>
      <c r="AS25">
        <f>$E25*'Nutrient Content_TFP'!$AJ27</f>
        <v>0</v>
      </c>
      <c r="AT25">
        <f>$E25*'Nutrient Content_TFP'!$AK27</f>
        <v>3.8973889191876529E-4</v>
      </c>
      <c r="AU25">
        <f>$E25*'Nutrient Content_TFP'!$AL27</f>
        <v>0</v>
      </c>
      <c r="AV25">
        <f>$E25*'Nutrient Content_TFP'!$AM27</f>
        <v>0</v>
      </c>
      <c r="AW25">
        <f>$E25*'Nutrient Content_TFP'!AN27</f>
        <v>1.0937549374067725E-4</v>
      </c>
      <c r="AX25">
        <f>$E25*'Nutrient Content_TFP'!AH27</f>
        <v>0</v>
      </c>
      <c r="AY25">
        <f>$E25*'Nutrient Content_TFP'!$AR27</f>
        <v>0</v>
      </c>
      <c r="AZ25">
        <f>$E25*'Nutrient Content_TFP'!$AS27</f>
        <v>0</v>
      </c>
      <c r="BA25">
        <f>$E25*'Nutrient Content_TFP'!$AT27</f>
        <v>3.2827773707273934E-3</v>
      </c>
      <c r="BB25">
        <f>$E25*'Nutrient Content_TFP'!$AU27</f>
        <v>0</v>
      </c>
      <c r="BC25">
        <f>$E25*'Nutrient Content_TFP'!$AV27</f>
        <v>0</v>
      </c>
      <c r="BD25">
        <f>$E25*'Nutrient Content_TFP'!$AW27</f>
        <v>3.2827773707273934E-3</v>
      </c>
      <c r="BE25">
        <f>$E25*'Nutrient Content_TFP'!$AX27</f>
        <v>0</v>
      </c>
      <c r="BF25">
        <f>$E25*'Nutrient Content_TFP'!$AY27</f>
        <v>0</v>
      </c>
    </row>
    <row r="26" spans="1:58" ht="14.5" x14ac:dyDescent="0.35">
      <c r="A26" s="4">
        <v>23</v>
      </c>
      <c r="B26" t="s">
        <v>92</v>
      </c>
      <c r="C26" s="2">
        <f>'Your Model Diet'!E34</f>
        <v>7.4524970054626456</v>
      </c>
      <c r="D26">
        <f>'Nutrient Content_TFP'!$G28</f>
        <v>61.866232971999999</v>
      </c>
      <c r="E26">
        <f t="shared" si="0"/>
        <v>0.12046146415340282</v>
      </c>
      <c r="F26">
        <f t="shared" si="1"/>
        <v>12.046146415340282</v>
      </c>
      <c r="G26">
        <f>Cost_TFP!C28</f>
        <v>0.81501156786679996</v>
      </c>
      <c r="H26" s="1">
        <f t="shared" si="2"/>
        <v>9.8177486767195149E-2</v>
      </c>
      <c r="I26">
        <f>$E26*'Nutrient Content_TFP'!$Z28</f>
        <v>0.39667059407163485</v>
      </c>
      <c r="J26">
        <f>$E26*'Nutrient Content_TFP'!$AA28</f>
        <v>7.6136348499007847</v>
      </c>
      <c r="K26">
        <f>$E26*'Nutrient Content_TFP'!$AB28</f>
        <v>0.2961252716964074</v>
      </c>
      <c r="L26">
        <f>$E26*'Nutrient Content_TFP'!$AC28</f>
        <v>6.8424562789005397E-2</v>
      </c>
      <c r="M26">
        <f>$E26*'Nutrient Content_TFP'!$AD28</f>
        <v>4.138581290142157E-2</v>
      </c>
      <c r="N26">
        <f>$E26*'Nutrient Content_TFP'!$AE28</f>
        <v>4.5904926355366242E-2</v>
      </c>
      <c r="O26">
        <f>$E26*'Nutrient Content_TFP'!$C28</f>
        <v>1.6888158130955038</v>
      </c>
      <c r="P26">
        <f>$E26*'Nutrient Content_TFP'!$D28</f>
        <v>0.75096505937673674</v>
      </c>
      <c r="Q26">
        <f>$E26*'Nutrient Content_TFP'!$E28</f>
        <v>0</v>
      </c>
      <c r="R26">
        <f>$E26*'Nutrient Content_TFP'!$F28</f>
        <v>1.1907832441737881E-2</v>
      </c>
      <c r="S26">
        <f>$E26*'Nutrient Content_TFP'!$H28</f>
        <v>0.22050377491818077</v>
      </c>
      <c r="T26">
        <f>$E26*'Nutrient Content_TFP'!$I28</f>
        <v>0</v>
      </c>
      <c r="U26">
        <f>$E26*'Nutrient Content_TFP'!$J28</f>
        <v>1.7865941926174</v>
      </c>
      <c r="V26">
        <f>$E26*'Nutrient Content_TFP'!$K28</f>
        <v>4.6982924469912923E-2</v>
      </c>
      <c r="W26">
        <f>$E26*'Nutrient Content_TFP'!$L28</f>
        <v>1.3243103515541035</v>
      </c>
      <c r="X26">
        <f>$E26*'Nutrient Content_TFP'!$M28</f>
        <v>4.5292034170067087E-2</v>
      </c>
      <c r="Y26">
        <f>$E26*'Nutrient Content_TFP'!$N28</f>
        <v>2.6157908255506443</v>
      </c>
      <c r="Z26">
        <f>$E26*'Nutrient Content_TFP'!$O28</f>
        <v>22.250444921954792</v>
      </c>
      <c r="AA26">
        <f>$E26*'Nutrient Content_TFP'!$P28</f>
        <v>5.658381509573162E-3</v>
      </c>
      <c r="AB26">
        <f>$E26*'Nutrient Content_TFP'!$Q28</f>
        <v>0.21741766577763896</v>
      </c>
      <c r="AC26">
        <f>$E26*'Nutrient Content_TFP'!$R28</f>
        <v>5.6344697643849542E-3</v>
      </c>
      <c r="AD26">
        <f>$E26*'Nutrient Content_TFP'!$S28</f>
        <v>0</v>
      </c>
      <c r="AE26">
        <f>$E26*'Nutrient Content_TFP'!$T28</f>
        <v>9.0921779477012923E-3</v>
      </c>
      <c r="AF26">
        <f>$E26*'Nutrient Content_TFP'!$U28</f>
        <v>3.1173486769354382</v>
      </c>
      <c r="AG26">
        <f>$E26*'Nutrient Content_TFP'!$W28</f>
        <v>4.4795748453191654E-2</v>
      </c>
      <c r="AH26">
        <f>$E26*'Nutrient Content_TFP'!$X28</f>
        <v>1.1292189370737187</v>
      </c>
      <c r="AI26">
        <f>$E26*'Nutrient Content_TFP'!$V28</f>
        <v>1.2358859413270191</v>
      </c>
      <c r="AJ26">
        <f>$E26*'Nutrient Content_TFP'!$Y28</f>
        <v>1.5527334911110963E-2</v>
      </c>
      <c r="AK26">
        <f>$E26*'Nutrient Content_TFP'!$AF28</f>
        <v>0</v>
      </c>
      <c r="AL26">
        <f>$E26*'Nutrient Content_TFP'!$AI28</f>
        <v>0</v>
      </c>
      <c r="AM26">
        <f>$E26*'Nutrient Content_TFP'!$AO28</f>
        <v>8.2191188742739021E-2</v>
      </c>
      <c r="AN26">
        <f>$E26*'Nutrient Content_TFP'!$AP28</f>
        <v>0</v>
      </c>
      <c r="AO26">
        <f>$E26*'Nutrient Content_TFP'!$AQ28</f>
        <v>0</v>
      </c>
      <c r="AP26">
        <f>$E26*'Nutrient Content_TFP'!$AZ28</f>
        <v>0</v>
      </c>
      <c r="AQ26">
        <f>$E26*'Nutrient Content_TFP'!$BA28</f>
        <v>0</v>
      </c>
      <c r="AR26">
        <f>$E26*'Nutrient Content_TFP'!$AG28</f>
        <v>0</v>
      </c>
      <c r="AS26">
        <f>$E26*'Nutrient Content_TFP'!$AJ28</f>
        <v>0</v>
      </c>
      <c r="AT26">
        <f>$E26*'Nutrient Content_TFP'!$AK28</f>
        <v>0</v>
      </c>
      <c r="AU26">
        <f>$E26*'Nutrient Content_TFP'!$AL28</f>
        <v>0</v>
      </c>
      <c r="AV26">
        <f>$E26*'Nutrient Content_TFP'!$AM28</f>
        <v>0</v>
      </c>
      <c r="AW26">
        <f>$E26*'Nutrient Content_TFP'!AN28</f>
        <v>0</v>
      </c>
      <c r="AX26">
        <f>$E26*'Nutrient Content_TFP'!AH28</f>
        <v>0</v>
      </c>
      <c r="AY26">
        <f>$E26*'Nutrient Content_TFP'!$AR28</f>
        <v>0</v>
      </c>
      <c r="AZ26">
        <f>$E26*'Nutrient Content_TFP'!$AS28</f>
        <v>0</v>
      </c>
      <c r="BA26">
        <f>$E26*'Nutrient Content_TFP'!$AT28</f>
        <v>0</v>
      </c>
      <c r="BB26">
        <f>$E26*'Nutrient Content_TFP'!$AU28</f>
        <v>0</v>
      </c>
      <c r="BC26">
        <f>$E26*'Nutrient Content_TFP'!$AV28</f>
        <v>0</v>
      </c>
      <c r="BD26">
        <f>$E26*'Nutrient Content_TFP'!$AW28</f>
        <v>0</v>
      </c>
      <c r="BE26">
        <f>$E26*'Nutrient Content_TFP'!$AX28</f>
        <v>0</v>
      </c>
      <c r="BF26">
        <f>$E26*'Nutrient Content_TFP'!$AY28</f>
        <v>0</v>
      </c>
    </row>
    <row r="27" spans="1:58" ht="14.5" x14ac:dyDescent="0.35">
      <c r="A27" s="4">
        <v>24</v>
      </c>
      <c r="B27" t="s">
        <v>94</v>
      </c>
      <c r="C27" s="2">
        <f>'Your Model Diet'!E35</f>
        <v>0.97494781017303467</v>
      </c>
      <c r="D27">
        <f>'Nutrient Content_TFP'!$G29</f>
        <v>107.26534965</v>
      </c>
      <c r="E27">
        <f t="shared" si="0"/>
        <v>9.0891216348450571E-3</v>
      </c>
      <c r="F27">
        <f t="shared" si="1"/>
        <v>0.90891216348450565</v>
      </c>
      <c r="G27">
        <f>Cost_TFP!C29</f>
        <v>0.7263059543782</v>
      </c>
      <c r="H27" s="1">
        <f t="shared" si="2"/>
        <v>6.6014831634556848E-3</v>
      </c>
      <c r="I27">
        <f>$E27*'Nutrient Content_TFP'!$Z29</f>
        <v>2.3090224038915103E-2</v>
      </c>
      <c r="J27">
        <f>$E27*'Nutrient Content_TFP'!$AA29</f>
        <v>0.87119877911834287</v>
      </c>
      <c r="K27">
        <f>$E27*'Nutrient Content_TFP'!$AB29</f>
        <v>0.16336401914063775</v>
      </c>
      <c r="L27">
        <f>$E27*'Nutrient Content_TFP'!$AC29</f>
        <v>3.1583771917691579E-2</v>
      </c>
      <c r="M27">
        <f>$E27*'Nutrient Content_TFP'!$AD29</f>
        <v>6.4207686264003989E-3</v>
      </c>
      <c r="N27">
        <f>$E27*'Nutrient Content_TFP'!$AE29</f>
        <v>8.2323919891165387E-2</v>
      </c>
      <c r="O27">
        <f>$E27*'Nutrient Content_TFP'!$C29</f>
        <v>7.444121421305569E-2</v>
      </c>
      <c r="P27">
        <f>$E27*'Nutrient Content_TFP'!$D29</f>
        <v>4.3340177980218053E-2</v>
      </c>
      <c r="Q27">
        <f>$E27*'Nutrient Content_TFP'!$E29</f>
        <v>1.0096585249134328E-2</v>
      </c>
      <c r="R27">
        <f>$E27*'Nutrient Content_TFP'!$F29</f>
        <v>7.6422980200358014E-4</v>
      </c>
      <c r="S27">
        <f>$E27*'Nutrient Content_TFP'!$H29</f>
        <v>1.9388583148387935E-2</v>
      </c>
      <c r="T27">
        <f>$E27*'Nutrient Content_TFP'!$I29</f>
        <v>0</v>
      </c>
      <c r="U27">
        <f>$E27*'Nutrient Content_TFP'!$J29</f>
        <v>5.3849223819878972E-2</v>
      </c>
      <c r="V27">
        <f>$E27*'Nutrient Content_TFP'!$K29</f>
        <v>3.0317333364929962E-3</v>
      </c>
      <c r="W27">
        <f>$E27*'Nutrient Content_TFP'!$L29</f>
        <v>8.9329186588129397E-2</v>
      </c>
      <c r="X27">
        <f>$E27*'Nutrient Content_TFP'!$M29</f>
        <v>3.967093697796663E-3</v>
      </c>
      <c r="Y27">
        <f>$E27*'Nutrient Content_TFP'!$N29</f>
        <v>0.13858201025070452</v>
      </c>
      <c r="Z27">
        <f>$E27*'Nutrient Content_TFP'!$O29</f>
        <v>0.96425577740118862</v>
      </c>
      <c r="AA27">
        <f>$E27*'Nutrient Content_TFP'!$P29</f>
        <v>2.913458960739295E-4</v>
      </c>
      <c r="AB27">
        <f>$E27*'Nutrient Content_TFP'!$Q29</f>
        <v>4.7227175871380846E-2</v>
      </c>
      <c r="AC27">
        <f>$E27*'Nutrient Content_TFP'!$R29</f>
        <v>2.8210096962493202E-4</v>
      </c>
      <c r="AD27">
        <f>$E27*'Nutrient Content_TFP'!$S29</f>
        <v>1.5533207984700055E-5</v>
      </c>
      <c r="AE27">
        <f>$E27*'Nutrient Content_TFP'!$T29</f>
        <v>4.8515223416361431E-4</v>
      </c>
      <c r="AF27">
        <f>$E27*'Nutrient Content_TFP'!$U29</f>
        <v>3.6976149798035318E-2</v>
      </c>
      <c r="AG27">
        <f>$E27*'Nutrient Content_TFP'!$W29</f>
        <v>5.8672382103194115E-3</v>
      </c>
      <c r="AH27">
        <f>$E27*'Nutrient Content_TFP'!$X29</f>
        <v>2.3893267514230574E-2</v>
      </c>
      <c r="AI27">
        <f>$E27*'Nutrient Content_TFP'!$V29</f>
        <v>0.15588333184751574</v>
      </c>
      <c r="AJ27">
        <f>$E27*'Nutrient Content_TFP'!$Y29</f>
        <v>1.3217521903006926E-3</v>
      </c>
      <c r="AK27">
        <f>$E27*'Nutrient Content_TFP'!$AF29</f>
        <v>0</v>
      </c>
      <c r="AL27">
        <f>$E27*'Nutrient Content_TFP'!$AI29</f>
        <v>0</v>
      </c>
      <c r="AM27">
        <f>$E27*'Nutrient Content_TFP'!$AO29</f>
        <v>5.3990718275562467E-3</v>
      </c>
      <c r="AN27">
        <f>$E27*'Nutrient Content_TFP'!$AP29</f>
        <v>0</v>
      </c>
      <c r="AO27">
        <f>$E27*'Nutrient Content_TFP'!$AQ29</f>
        <v>5.408499816186267E-4</v>
      </c>
      <c r="AP27">
        <f>$E27*'Nutrient Content_TFP'!$AZ29</f>
        <v>3.8292037696146326E-3</v>
      </c>
      <c r="AQ27">
        <f>$E27*'Nutrient Content_TFP'!$BA29</f>
        <v>0.36034839895852333</v>
      </c>
      <c r="AR27">
        <f>$E27*'Nutrient Content_TFP'!$AG29</f>
        <v>0</v>
      </c>
      <c r="AS27">
        <f>$E27*'Nutrient Content_TFP'!$AJ29</f>
        <v>0</v>
      </c>
      <c r="AT27">
        <f>$E27*'Nutrient Content_TFP'!$AK29</f>
        <v>0</v>
      </c>
      <c r="AU27">
        <f>$E27*'Nutrient Content_TFP'!$AL29</f>
        <v>0</v>
      </c>
      <c r="AV27">
        <f>$E27*'Nutrient Content_TFP'!$AM29</f>
        <v>0</v>
      </c>
      <c r="AW27">
        <f>$E27*'Nutrient Content_TFP'!AN29</f>
        <v>0</v>
      </c>
      <c r="AX27">
        <f>$E27*'Nutrient Content_TFP'!AH29</f>
        <v>0</v>
      </c>
      <c r="AY27">
        <f>$E27*'Nutrient Content_TFP'!$AR29</f>
        <v>0</v>
      </c>
      <c r="AZ27">
        <f>$E27*'Nutrient Content_TFP'!$AS29</f>
        <v>0</v>
      </c>
      <c r="BA27">
        <f>$E27*'Nutrient Content_TFP'!$AT29</f>
        <v>0</v>
      </c>
      <c r="BB27">
        <f>$E27*'Nutrient Content_TFP'!$AU29</f>
        <v>0</v>
      </c>
      <c r="BC27">
        <f>$E27*'Nutrient Content_TFP'!$AV29</f>
        <v>5.4084998252753886E-4</v>
      </c>
      <c r="BD27">
        <f>$E27*'Nutrient Content_TFP'!$AW29</f>
        <v>0</v>
      </c>
      <c r="BE27">
        <f>$E27*'Nutrient Content_TFP'!$AX29</f>
        <v>0</v>
      </c>
      <c r="BF27">
        <f>$E27*'Nutrient Content_TFP'!$AY29</f>
        <v>5.4084998252753886E-4</v>
      </c>
    </row>
    <row r="28" spans="1:58" ht="14.5" x14ac:dyDescent="0.35">
      <c r="A28" s="4">
        <v>25</v>
      </c>
      <c r="B28" t="s">
        <v>96</v>
      </c>
      <c r="C28" s="2">
        <f>'Your Model Diet'!E36</f>
        <v>0.79413604736328125</v>
      </c>
      <c r="D28">
        <f>'Nutrient Content_TFP'!$G30</f>
        <v>71.458800803000003</v>
      </c>
      <c r="E28">
        <f t="shared" si="0"/>
        <v>1.1113201431305599E-2</v>
      </c>
      <c r="F28">
        <f t="shared" si="1"/>
        <v>1.1113201431305599</v>
      </c>
      <c r="G28">
        <f>Cost_TFP!C30</f>
        <v>0.376549487387</v>
      </c>
      <c r="H28" s="1">
        <f t="shared" si="2"/>
        <v>4.1846703021865975E-3</v>
      </c>
      <c r="I28">
        <f>$E28*'Nutrient Content_TFP'!$Z30</f>
        <v>1.4210319201037535E-2</v>
      </c>
      <c r="J28">
        <f>$E28*'Nutrient Content_TFP'!$AA30</f>
        <v>0.82404792121250459</v>
      </c>
      <c r="K28">
        <f>$E28*'Nutrient Content_TFP'!$AB30</f>
        <v>1.2097124896402241E-2</v>
      </c>
      <c r="L28">
        <f>$E28*'Nutrient Content_TFP'!$AC30</f>
        <v>3.2719069242016056E-3</v>
      </c>
      <c r="M28">
        <f>$E28*'Nutrient Content_TFP'!$AD30</f>
        <v>6.3389243100268162E-4</v>
      </c>
      <c r="N28">
        <f>$E28*'Nutrient Content_TFP'!$AE30</f>
        <v>1.8795483729257489E-3</v>
      </c>
      <c r="O28">
        <f>$E28*'Nutrient Content_TFP'!$C30</f>
        <v>3.6538522164912463E-2</v>
      </c>
      <c r="P28">
        <f>$E28*'Nutrient Content_TFP'!$D30</f>
        <v>3.9845209911158246E-2</v>
      </c>
      <c r="Q28">
        <f>$E28*'Nutrient Content_TFP'!$E30</f>
        <v>0</v>
      </c>
      <c r="R28">
        <f>$E28*'Nutrient Content_TFP'!$F30</f>
        <v>4.4570030329956135E-4</v>
      </c>
      <c r="S28">
        <f>$E28*'Nutrient Content_TFP'!$H30</f>
        <v>1.3435268142357494E-2</v>
      </c>
      <c r="T28">
        <f>$E28*'Nutrient Content_TFP'!$I30</f>
        <v>0</v>
      </c>
      <c r="U28">
        <f>$E28*'Nutrient Content_TFP'!$J30</f>
        <v>1.8687588757144141E-2</v>
      </c>
      <c r="V28">
        <f>$E28*'Nutrient Content_TFP'!$K30</f>
        <v>2.4961737838931543E-3</v>
      </c>
      <c r="W28">
        <f>$E28*'Nutrient Content_TFP'!$L30</f>
        <v>4.0174326300233744E-2</v>
      </c>
      <c r="X28">
        <f>$E28*'Nutrient Content_TFP'!$M30</f>
        <v>2.6234524108335456E-3</v>
      </c>
      <c r="Y28">
        <f>$E28*'Nutrient Content_TFP'!$N30</f>
        <v>8.3906715508730134E-2</v>
      </c>
      <c r="Z28">
        <f>$E28*'Nutrient Content_TFP'!$O30</f>
        <v>0.8617119587483546</v>
      </c>
      <c r="AA28">
        <f>$E28*'Nutrient Content_TFP'!$P30</f>
        <v>2.4802711893862468E-4</v>
      </c>
      <c r="AB28">
        <f>$E28*'Nutrient Content_TFP'!$Q30</f>
        <v>3.8095316446580256E-2</v>
      </c>
      <c r="AC28">
        <f>$E28*'Nutrient Content_TFP'!$R30</f>
        <v>1.6330733703744663E-4</v>
      </c>
      <c r="AD28">
        <f>$E28*'Nutrient Content_TFP'!$S30</f>
        <v>0</v>
      </c>
      <c r="AE28">
        <f>$E28*'Nutrient Content_TFP'!$T30</f>
        <v>2.8322710871438666E-4</v>
      </c>
      <c r="AF28">
        <f>$E28*'Nutrient Content_TFP'!$U30</f>
        <v>2.0179413931882991E-2</v>
      </c>
      <c r="AG28">
        <f>$E28*'Nutrient Content_TFP'!$W30</f>
        <v>3.8679857871649539E-3</v>
      </c>
      <c r="AH28">
        <f>$E28*'Nutrient Content_TFP'!$X30</f>
        <v>1.2362328428333555E-2</v>
      </c>
      <c r="AI28">
        <f>$E28*'Nutrient Content_TFP'!$V30</f>
        <v>6.2798661093449573E-2</v>
      </c>
      <c r="AJ28">
        <f>$E28*'Nutrient Content_TFP'!$Y30</f>
        <v>5.7016020005531899E-4</v>
      </c>
      <c r="AK28">
        <f>$E28*'Nutrient Content_TFP'!$AF30</f>
        <v>0</v>
      </c>
      <c r="AL28">
        <f>$E28*'Nutrient Content_TFP'!$AI30</f>
        <v>0</v>
      </c>
      <c r="AM28">
        <f>$E28*'Nutrient Content_TFP'!$AO30</f>
        <v>3.9927157669437767E-3</v>
      </c>
      <c r="AN28">
        <f>$E28*'Nutrient Content_TFP'!$AP30</f>
        <v>0</v>
      </c>
      <c r="AO28">
        <f>$E28*'Nutrient Content_TFP'!$AQ30</f>
        <v>0</v>
      </c>
      <c r="AP28">
        <f>$E28*'Nutrient Content_TFP'!$AZ30</f>
        <v>0</v>
      </c>
      <c r="AQ28">
        <f>$E28*'Nutrient Content_TFP'!$BA30</f>
        <v>0.3613510068620433</v>
      </c>
      <c r="AR28">
        <f>$E28*'Nutrient Content_TFP'!$AG30</f>
        <v>0</v>
      </c>
      <c r="AS28">
        <f>$E28*'Nutrient Content_TFP'!$AJ30</f>
        <v>0</v>
      </c>
      <c r="AT28">
        <f>$E28*'Nutrient Content_TFP'!$AK30</f>
        <v>0</v>
      </c>
      <c r="AU28">
        <f>$E28*'Nutrient Content_TFP'!$AL30</f>
        <v>0</v>
      </c>
      <c r="AV28">
        <f>$E28*'Nutrient Content_TFP'!$AM30</f>
        <v>0</v>
      </c>
      <c r="AW28">
        <f>$E28*'Nutrient Content_TFP'!AN30</f>
        <v>0</v>
      </c>
      <c r="AX28">
        <f>$E28*'Nutrient Content_TFP'!AH30</f>
        <v>0</v>
      </c>
      <c r="AY28">
        <f>$E28*'Nutrient Content_TFP'!$AR30</f>
        <v>0</v>
      </c>
      <c r="AZ28">
        <f>$E28*'Nutrient Content_TFP'!$AS30</f>
        <v>0</v>
      </c>
      <c r="BA28">
        <f>$E28*'Nutrient Content_TFP'!$AT30</f>
        <v>0</v>
      </c>
      <c r="BB28">
        <f>$E28*'Nutrient Content_TFP'!$AU30</f>
        <v>0</v>
      </c>
      <c r="BC28">
        <f>$E28*'Nutrient Content_TFP'!$AV30</f>
        <v>0</v>
      </c>
      <c r="BD28">
        <f>$E28*'Nutrient Content_TFP'!$AW30</f>
        <v>0</v>
      </c>
      <c r="BE28">
        <f>$E28*'Nutrient Content_TFP'!$AX30</f>
        <v>0</v>
      </c>
      <c r="BF28">
        <f>$E28*'Nutrient Content_TFP'!$AY30</f>
        <v>0</v>
      </c>
    </row>
    <row r="29" spans="1:58" ht="14.5" x14ac:dyDescent="0.35">
      <c r="A29" s="4">
        <v>26</v>
      </c>
      <c r="B29" t="s">
        <v>97</v>
      </c>
      <c r="C29" s="2">
        <f>'Your Model Diet'!E37</f>
        <v>23.245939254760739</v>
      </c>
      <c r="D29">
        <f>'Nutrient Content_TFP'!$G31</f>
        <v>59.183070868999998</v>
      </c>
      <c r="E29">
        <f t="shared" si="0"/>
        <v>0.39278021423077131</v>
      </c>
      <c r="F29">
        <f t="shared" si="1"/>
        <v>39.278021423077128</v>
      </c>
      <c r="G29">
        <f>Cost_TFP!C31</f>
        <v>0.35255340413320002</v>
      </c>
      <c r="H29" s="1">
        <f t="shared" si="2"/>
        <v>0.13847600160322601</v>
      </c>
      <c r="I29">
        <f>$E29*'Nutrient Content_TFP'!$Z31</f>
        <v>1.0640050641320218</v>
      </c>
      <c r="J29">
        <f>$E29*'Nutrient Content_TFP'!$AA31</f>
        <v>24.013306414781042</v>
      </c>
      <c r="K29">
        <f>$E29*'Nutrient Content_TFP'!$AB31</f>
        <v>0.75976719720945585</v>
      </c>
      <c r="L29">
        <f>$E29*'Nutrient Content_TFP'!$AC31</f>
        <v>0.15673629008010151</v>
      </c>
      <c r="M29">
        <f>$E29*'Nutrient Content_TFP'!$AD31</f>
        <v>4.9146063022699117E-2</v>
      </c>
      <c r="N29">
        <f>$E29*'Nutrient Content_TFP'!$AE31</f>
        <v>0.178010260020392</v>
      </c>
      <c r="O29">
        <f>$E29*'Nutrient Content_TFP'!$C31</f>
        <v>4.0799493305511803</v>
      </c>
      <c r="P29">
        <f>$E29*'Nutrient Content_TFP'!$D31</f>
        <v>2.5247006058222166</v>
      </c>
      <c r="Q29">
        <f>$E29*'Nutrient Content_TFP'!$E31</f>
        <v>0</v>
      </c>
      <c r="R29">
        <f>$E29*'Nutrient Content_TFP'!$F31</f>
        <v>2.0023563672846016E-2</v>
      </c>
      <c r="S29">
        <f>$E29*'Nutrient Content_TFP'!$H31</f>
        <v>0.83179544201128075</v>
      </c>
      <c r="T29">
        <f>$E29*'Nutrient Content_TFP'!$I31</f>
        <v>0</v>
      </c>
      <c r="U29">
        <f>$E29*'Nutrient Content_TFP'!$J31</f>
        <v>4.6926762508944924</v>
      </c>
      <c r="V29">
        <f>$E29*'Nutrient Content_TFP'!$K31</f>
        <v>7.3603721944825992E-2</v>
      </c>
      <c r="W29">
        <f>$E29*'Nutrient Content_TFP'!$L31</f>
        <v>5.2501331756638807</v>
      </c>
      <c r="X29">
        <f>$E29*'Nutrient Content_TFP'!$M31</f>
        <v>0.13708033353394633</v>
      </c>
      <c r="Y29">
        <f>$E29*'Nutrient Content_TFP'!$N31</f>
        <v>5.9600059181352929</v>
      </c>
      <c r="Z29">
        <f>$E29*'Nutrient Content_TFP'!$O31</f>
        <v>78.396601695553429</v>
      </c>
      <c r="AA29">
        <f>$E29*'Nutrient Content_TFP'!$P31</f>
        <v>1.613674421809114E-2</v>
      </c>
      <c r="AB29">
        <f>$E29*'Nutrient Content_TFP'!$Q31</f>
        <v>0.54981210830414362</v>
      </c>
      <c r="AC29">
        <f>$E29*'Nutrient Content_TFP'!$R31</f>
        <v>1.2958553923585843E-2</v>
      </c>
      <c r="AD29">
        <f>$E29*'Nutrient Content_TFP'!$S31</f>
        <v>0</v>
      </c>
      <c r="AE29">
        <f>$E29*'Nutrient Content_TFP'!$T31</f>
        <v>5.608419765344088E-2</v>
      </c>
      <c r="AF29">
        <f>$E29*'Nutrient Content_TFP'!$U31</f>
        <v>4.9949013689095079</v>
      </c>
      <c r="AG29">
        <f>$E29*'Nutrient Content_TFP'!$W31</f>
        <v>6.0281389558965559E-2</v>
      </c>
      <c r="AH29">
        <f>$E29*'Nutrient Content_TFP'!$X31</f>
        <v>0.4767929220312479</v>
      </c>
      <c r="AI29">
        <f>$E29*'Nutrient Content_TFP'!$V31</f>
        <v>4.6332360810770252</v>
      </c>
      <c r="AJ29">
        <f>$E29*'Nutrient Content_TFP'!$Y31</f>
        <v>3.7064071989849526E-2</v>
      </c>
      <c r="AK29">
        <f>$E29*'Nutrient Content_TFP'!$AF31</f>
        <v>0</v>
      </c>
      <c r="AL29">
        <f>$E29*'Nutrient Content_TFP'!$AI31</f>
        <v>0</v>
      </c>
      <c r="AM29">
        <f>$E29*'Nutrient Content_TFP'!$AO31</f>
        <v>0.28081573709586888</v>
      </c>
      <c r="AN29">
        <f>$E29*'Nutrient Content_TFP'!$AP31</f>
        <v>0</v>
      </c>
      <c r="AO29">
        <f>$E29*'Nutrient Content_TFP'!$AQ31</f>
        <v>0</v>
      </c>
      <c r="AP29">
        <f>$E29*'Nutrient Content_TFP'!$AZ31</f>
        <v>0</v>
      </c>
      <c r="AQ29">
        <f>$E29*'Nutrient Content_TFP'!$BA31</f>
        <v>0</v>
      </c>
      <c r="AR29">
        <f>$E29*'Nutrient Content_TFP'!$AG31</f>
        <v>0</v>
      </c>
      <c r="AS29">
        <f>$E29*'Nutrient Content_TFP'!$AJ31</f>
        <v>0</v>
      </c>
      <c r="AT29">
        <f>$E29*'Nutrient Content_TFP'!$AK31</f>
        <v>0</v>
      </c>
      <c r="AU29">
        <f>$E29*'Nutrient Content_TFP'!$AL31</f>
        <v>0</v>
      </c>
      <c r="AV29">
        <f>$E29*'Nutrient Content_TFP'!$AM31</f>
        <v>0</v>
      </c>
      <c r="AW29">
        <f>$E29*'Nutrient Content_TFP'!AN31</f>
        <v>0</v>
      </c>
      <c r="AX29">
        <f>$E29*'Nutrient Content_TFP'!AH31</f>
        <v>0</v>
      </c>
      <c r="AY29">
        <f>$E29*'Nutrient Content_TFP'!$AR31</f>
        <v>0</v>
      </c>
      <c r="AZ29">
        <f>$E29*'Nutrient Content_TFP'!$AS31</f>
        <v>0</v>
      </c>
      <c r="BA29">
        <f>$E29*'Nutrient Content_TFP'!$AT31</f>
        <v>0</v>
      </c>
      <c r="BB29">
        <f>$E29*'Nutrient Content_TFP'!$AU31</f>
        <v>0</v>
      </c>
      <c r="BC29">
        <f>$E29*'Nutrient Content_TFP'!$AV31</f>
        <v>0</v>
      </c>
      <c r="BD29">
        <f>$E29*'Nutrient Content_TFP'!$AW31</f>
        <v>0</v>
      </c>
      <c r="BE29">
        <f>$E29*'Nutrient Content_TFP'!$AX31</f>
        <v>0</v>
      </c>
      <c r="BF29">
        <f>$E29*'Nutrient Content_TFP'!$AY31</f>
        <v>0</v>
      </c>
    </row>
    <row r="30" spans="1:58" ht="14.5" x14ac:dyDescent="0.35">
      <c r="A30" s="4">
        <v>27</v>
      </c>
      <c r="B30" t="s">
        <v>98</v>
      </c>
      <c r="C30" s="2">
        <f>'Your Model Diet'!E38</f>
        <v>4.6132140159606934</v>
      </c>
      <c r="D30">
        <f>'Nutrient Content_TFP'!$G32</f>
        <v>45.432929540000003</v>
      </c>
      <c r="E30">
        <f t="shared" si="0"/>
        <v>0.10153899523250275</v>
      </c>
      <c r="F30">
        <f t="shared" si="1"/>
        <v>10.153899523250274</v>
      </c>
      <c r="G30">
        <f>Cost_TFP!C32</f>
        <v>0.21554584711479999</v>
      </c>
      <c r="H30" s="1">
        <f t="shared" si="2"/>
        <v>2.1886308742575442E-2</v>
      </c>
      <c r="I30">
        <f>$E30*'Nutrient Content_TFP'!$Z32</f>
        <v>0.16219404973542823</v>
      </c>
      <c r="J30">
        <f>$E30*'Nutrient Content_TFP'!$AA32</f>
        <v>4.4270481643682746</v>
      </c>
      <c r="K30">
        <f>$E30*'Nutrient Content_TFP'!$AB32</f>
        <v>0.14385633421732377</v>
      </c>
      <c r="L30">
        <f>$E30*'Nutrient Content_TFP'!$AC32</f>
        <v>2.7494384911863259E-2</v>
      </c>
      <c r="M30">
        <f>$E30*'Nutrient Content_TFP'!$AD32</f>
        <v>8.4228116584119678E-3</v>
      </c>
      <c r="N30">
        <f>$E30*'Nutrient Content_TFP'!$AE32</f>
        <v>2.4723670863620768E-2</v>
      </c>
      <c r="O30">
        <f>$E30*'Nutrient Content_TFP'!$C32</f>
        <v>1.4581577439777789</v>
      </c>
      <c r="P30">
        <f>$E30*'Nutrient Content_TFP'!$D32</f>
        <v>0.38806757961031446</v>
      </c>
      <c r="Q30">
        <f>$E30*'Nutrient Content_TFP'!$E32</f>
        <v>0</v>
      </c>
      <c r="R30">
        <f>$E30*'Nutrient Content_TFP'!$F32</f>
        <v>3.519074872433667E-3</v>
      </c>
      <c r="S30">
        <f>$E30*'Nutrient Content_TFP'!$H32</f>
        <v>2.730491009043565E-2</v>
      </c>
      <c r="T30">
        <f>$E30*'Nutrient Content_TFP'!$I32</f>
        <v>0</v>
      </c>
      <c r="U30">
        <f>$E30*'Nutrient Content_TFP'!$J32</f>
        <v>0.93840605869382943</v>
      </c>
      <c r="V30">
        <f>$E30*'Nutrient Content_TFP'!$K32</f>
        <v>2.6342911331968179E-2</v>
      </c>
      <c r="W30">
        <f>$E30*'Nutrient Content_TFP'!$L32</f>
        <v>0.93332283168997998</v>
      </c>
      <c r="X30">
        <f>$E30*'Nutrient Content_TFP'!$M32</f>
        <v>2.6090611755099739E-2</v>
      </c>
      <c r="Y30">
        <f>$E30*'Nutrient Content_TFP'!$N32</f>
        <v>1.2945909275916359</v>
      </c>
      <c r="Z30">
        <f>$E30*'Nutrient Content_TFP'!$O32</f>
        <v>12.73139188194066</v>
      </c>
      <c r="AA30">
        <f>$E30*'Nutrient Content_TFP'!$P32</f>
        <v>2.3035257594466885E-3</v>
      </c>
      <c r="AB30">
        <f>$E30*'Nutrient Content_TFP'!$Q32</f>
        <v>4.010555996541517</v>
      </c>
      <c r="AC30">
        <f>$E30*'Nutrient Content_TFP'!$R32</f>
        <v>2.6879419673421336E-3</v>
      </c>
      <c r="AD30">
        <f>$E30*'Nutrient Content_TFP'!$S32</f>
        <v>1.1848692883476698E-3</v>
      </c>
      <c r="AE30">
        <f>$E30*'Nutrient Content_TFP'!$T32</f>
        <v>4.9721714693667278E-3</v>
      </c>
      <c r="AF30">
        <f>$E30*'Nutrient Content_TFP'!$U32</f>
        <v>3.5290541660084109</v>
      </c>
      <c r="AG30">
        <f>$E30*'Nutrient Content_TFP'!$W32</f>
        <v>2.174114990334132E-2</v>
      </c>
      <c r="AH30">
        <f>$E30*'Nutrient Content_TFP'!$X32</f>
        <v>0.16799490272500189</v>
      </c>
      <c r="AI30">
        <f>$E30*'Nutrient Content_TFP'!$V32</f>
        <v>1.5492690960389903</v>
      </c>
      <c r="AJ30">
        <f>$E30*'Nutrient Content_TFP'!$Y32</f>
        <v>1.2505610227036366E-2</v>
      </c>
      <c r="AK30">
        <f>$E30*'Nutrient Content_TFP'!$AF32</f>
        <v>0</v>
      </c>
      <c r="AL30">
        <f>$E30*'Nutrient Content_TFP'!$AI32</f>
        <v>8.8756076069455205E-3</v>
      </c>
      <c r="AM30">
        <f>$E30*'Nutrient Content_TFP'!$AO32</f>
        <v>3.1966143588881453E-2</v>
      </c>
      <c r="AN30">
        <f>$E30*'Nutrient Content_TFP'!$AP32</f>
        <v>0</v>
      </c>
      <c r="AO30">
        <f>$E30*'Nutrient Content_TFP'!$AQ32</f>
        <v>0</v>
      </c>
      <c r="AP30">
        <f>$E30*'Nutrient Content_TFP'!$AZ32</f>
        <v>0</v>
      </c>
      <c r="AQ30">
        <f>$E30*'Nutrient Content_TFP'!$BA32</f>
        <v>0</v>
      </c>
      <c r="AR30">
        <f>$E30*'Nutrient Content_TFP'!$AG32</f>
        <v>0</v>
      </c>
      <c r="AS30">
        <f>$E30*'Nutrient Content_TFP'!$AJ32</f>
        <v>0</v>
      </c>
      <c r="AT30">
        <f>$E30*'Nutrient Content_TFP'!$AK32</f>
        <v>8.3747865669127584E-3</v>
      </c>
      <c r="AU30">
        <f>$E30*'Nutrient Content_TFP'!$AL32</f>
        <v>0</v>
      </c>
      <c r="AV30">
        <f>$E30*'Nutrient Content_TFP'!$AM32</f>
        <v>0</v>
      </c>
      <c r="AW30">
        <f>$E30*'Nutrient Content_TFP'!AN32</f>
        <v>5.0082104003276143E-4</v>
      </c>
      <c r="AX30">
        <f>$E30*'Nutrient Content_TFP'!AH32</f>
        <v>0</v>
      </c>
      <c r="AY30">
        <f>$E30*'Nutrient Content_TFP'!$AR32</f>
        <v>0</v>
      </c>
      <c r="AZ30">
        <f>$E30*'Nutrient Content_TFP'!$AS32</f>
        <v>0</v>
      </c>
      <c r="BA30">
        <f>$E30*'Nutrient Content_TFP'!$AT32</f>
        <v>0</v>
      </c>
      <c r="BB30">
        <f>$E30*'Nutrient Content_TFP'!$AU32</f>
        <v>0</v>
      </c>
      <c r="BC30">
        <f>$E30*'Nutrient Content_TFP'!$AV32</f>
        <v>0</v>
      </c>
      <c r="BD30">
        <f>$E30*'Nutrient Content_TFP'!$AW32</f>
        <v>0</v>
      </c>
      <c r="BE30">
        <f>$E30*'Nutrient Content_TFP'!$AX32</f>
        <v>0</v>
      </c>
      <c r="BF30">
        <f>$E30*'Nutrient Content_TFP'!$AY32</f>
        <v>0</v>
      </c>
    </row>
    <row r="31" spans="1:58" ht="14.5" x14ac:dyDescent="0.35">
      <c r="A31" s="4">
        <v>28</v>
      </c>
      <c r="B31" t="s">
        <v>100</v>
      </c>
      <c r="C31" s="2">
        <f>'Your Model Diet'!E39</f>
        <v>20.982219696044918</v>
      </c>
      <c r="D31">
        <f>'Nutrient Content_TFP'!$G33</f>
        <v>47.467646641000002</v>
      </c>
      <c r="E31">
        <f t="shared" si="0"/>
        <v>0.44203201929799496</v>
      </c>
      <c r="F31">
        <f t="shared" si="1"/>
        <v>44.203201929799498</v>
      </c>
      <c r="G31">
        <f>Cost_TFP!C33</f>
        <v>0.18125090757280002</v>
      </c>
      <c r="H31" s="1">
        <f t="shared" si="2"/>
        <v>8.0118704673999036E-2</v>
      </c>
      <c r="I31">
        <f>$E31*'Nutrient Content_TFP'!$Z33</f>
        <v>0.82483727928932571</v>
      </c>
      <c r="J31">
        <f>$E31*'Nutrient Content_TFP'!$AA33</f>
        <v>20.185042767200024</v>
      </c>
      <c r="K31">
        <f>$E31*'Nutrient Content_TFP'!$AB33</f>
        <v>0.49465891942027806</v>
      </c>
      <c r="L31">
        <f>$E31*'Nutrient Content_TFP'!$AC33</f>
        <v>0.10566768216196655</v>
      </c>
      <c r="M31">
        <f>$E31*'Nutrient Content_TFP'!$AD33</f>
        <v>2.7857095669386024E-2</v>
      </c>
      <c r="N31">
        <f>$E31*'Nutrient Content_TFP'!$AE33</f>
        <v>7.0277305311280611E-2</v>
      </c>
      <c r="O31">
        <f>$E31*'Nutrient Content_TFP'!$C33</f>
        <v>21.854035895537045</v>
      </c>
      <c r="P31">
        <f>$E31*'Nutrient Content_TFP'!$D33</f>
        <v>2.019350697621257</v>
      </c>
      <c r="Q31">
        <f>$E31*'Nutrient Content_TFP'!$E33</f>
        <v>0</v>
      </c>
      <c r="R31">
        <f>$E31*'Nutrient Content_TFP'!$F33</f>
        <v>1.3194251670373108E-2</v>
      </c>
      <c r="S31">
        <f>$E31*'Nutrient Content_TFP'!$H33</f>
        <v>0.11754317387044755</v>
      </c>
      <c r="T31">
        <f>$E31*'Nutrient Content_TFP'!$I33</f>
        <v>0</v>
      </c>
      <c r="U31">
        <f>$E31*'Nutrient Content_TFP'!$J33</f>
        <v>5.3139757119701994</v>
      </c>
      <c r="V31">
        <f>$E31*'Nutrient Content_TFP'!$K33</f>
        <v>5.5478536112707942E-2</v>
      </c>
      <c r="W31">
        <f>$E31*'Nutrient Content_TFP'!$L33</f>
        <v>3.9303595081238245</v>
      </c>
      <c r="X31">
        <f>$E31*'Nutrient Content_TFP'!$M33</f>
        <v>9.0521835389273358E-2</v>
      </c>
      <c r="Y31">
        <f>$E31*'Nutrient Content_TFP'!$N33</f>
        <v>9.7396018415981764</v>
      </c>
      <c r="Z31">
        <f>$E31*'Nutrient Content_TFP'!$O33</f>
        <v>67.606527327135467</v>
      </c>
      <c r="AA31">
        <f>$E31*'Nutrient Content_TFP'!$P33</f>
        <v>1.3543929188424739E-2</v>
      </c>
      <c r="AB31">
        <f>$E31*'Nutrient Content_TFP'!$Q33</f>
        <v>1.3834394492100692</v>
      </c>
      <c r="AC31">
        <f>$E31*'Nutrient Content_TFP'!$R33</f>
        <v>1.5892627777772551E-2</v>
      </c>
      <c r="AD31">
        <f>$E31*'Nutrient Content_TFP'!$S33</f>
        <v>0</v>
      </c>
      <c r="AE31">
        <f>$E31*'Nutrient Content_TFP'!$T33</f>
        <v>2.3786416703628924E-2</v>
      </c>
      <c r="AF31">
        <f>$E31*'Nutrient Content_TFP'!$U33</f>
        <v>12.168405012001745</v>
      </c>
      <c r="AG31">
        <f>$E31*'Nutrient Content_TFP'!$W33</f>
        <v>5.5406958751887052E-2</v>
      </c>
      <c r="AH31">
        <f>$E31*'Nutrient Content_TFP'!$X33</f>
        <v>8.9869379552588793E-3</v>
      </c>
      <c r="AI31">
        <f>$E31*'Nutrient Content_TFP'!$V33</f>
        <v>0.62074272044514611</v>
      </c>
      <c r="AJ31">
        <f>$E31*'Nutrient Content_TFP'!$Y33</f>
        <v>2.3717882247025684E-2</v>
      </c>
      <c r="AK31">
        <f>$E31*'Nutrient Content_TFP'!$AF33</f>
        <v>0</v>
      </c>
      <c r="AL31">
        <f>$E31*'Nutrient Content_TFP'!$AI33</f>
        <v>0</v>
      </c>
      <c r="AM31">
        <f>$E31*'Nutrient Content_TFP'!$AO33</f>
        <v>0.176812807719198</v>
      </c>
      <c r="AN31">
        <f>$E31*'Nutrient Content_TFP'!$AP33</f>
        <v>0</v>
      </c>
      <c r="AO31">
        <f>$E31*'Nutrient Content_TFP'!$AQ33</f>
        <v>0</v>
      </c>
      <c r="AP31">
        <f>$E31*'Nutrient Content_TFP'!$AZ33</f>
        <v>0</v>
      </c>
      <c r="AQ31">
        <f>$E31*'Nutrient Content_TFP'!$BA33</f>
        <v>0</v>
      </c>
      <c r="AR31">
        <f>$E31*'Nutrient Content_TFP'!$AG33</f>
        <v>0</v>
      </c>
      <c r="AS31">
        <f>$E31*'Nutrient Content_TFP'!$AJ33</f>
        <v>0</v>
      </c>
      <c r="AT31">
        <f>$E31*'Nutrient Content_TFP'!$AK33</f>
        <v>0</v>
      </c>
      <c r="AU31">
        <f>$E31*'Nutrient Content_TFP'!$AL33</f>
        <v>0</v>
      </c>
      <c r="AV31">
        <f>$E31*'Nutrient Content_TFP'!$AM33</f>
        <v>0</v>
      </c>
      <c r="AW31">
        <f>$E31*'Nutrient Content_TFP'!AN33</f>
        <v>0</v>
      </c>
      <c r="AX31">
        <f>$E31*'Nutrient Content_TFP'!AH33</f>
        <v>0</v>
      </c>
      <c r="AY31">
        <f>$E31*'Nutrient Content_TFP'!$AR33</f>
        <v>0</v>
      </c>
      <c r="AZ31">
        <f>$E31*'Nutrient Content_TFP'!$AS33</f>
        <v>0</v>
      </c>
      <c r="BA31">
        <f>$E31*'Nutrient Content_TFP'!$AT33</f>
        <v>0</v>
      </c>
      <c r="BB31">
        <f>$E31*'Nutrient Content_TFP'!$AU33</f>
        <v>0</v>
      </c>
      <c r="BC31">
        <f>$E31*'Nutrient Content_TFP'!$AV33</f>
        <v>0</v>
      </c>
      <c r="BD31">
        <f>$E31*'Nutrient Content_TFP'!$AW33</f>
        <v>0</v>
      </c>
      <c r="BE31">
        <f>$E31*'Nutrient Content_TFP'!$AX33</f>
        <v>0</v>
      </c>
      <c r="BF31">
        <f>$E31*'Nutrient Content_TFP'!$AY33</f>
        <v>0</v>
      </c>
    </row>
    <row r="32" spans="1:58" ht="14.5" x14ac:dyDescent="0.35">
      <c r="A32" s="4">
        <v>29</v>
      </c>
      <c r="B32" t="s">
        <v>101</v>
      </c>
      <c r="C32" s="2">
        <f>'Your Model Diet'!E40</f>
        <v>35.648052215576172</v>
      </c>
      <c r="D32">
        <f>'Nutrient Content_TFP'!$G34</f>
        <v>209.60370996</v>
      </c>
      <c r="E32">
        <f t="shared" si="0"/>
        <v>0.1700735746632496</v>
      </c>
      <c r="F32">
        <f t="shared" si="1"/>
        <v>17.007357466324962</v>
      </c>
      <c r="G32">
        <f>Cost_TFP!C34</f>
        <v>0.26469300212960001</v>
      </c>
      <c r="H32" s="1">
        <f t="shared" si="2"/>
        <v>4.5017285060528212E-2</v>
      </c>
      <c r="I32">
        <f>$E32*'Nutrient Content_TFP'!$Z34</f>
        <v>4.1361683371661133</v>
      </c>
      <c r="J32">
        <f>$E32*'Nutrient Content_TFP'!$AA34</f>
        <v>27.04494169153287</v>
      </c>
      <c r="K32">
        <f>$E32*'Nutrient Content_TFP'!$AB34</f>
        <v>4.2160867682617056</v>
      </c>
      <c r="L32">
        <f>$E32*'Nutrient Content_TFP'!$AC34</f>
        <v>1.4755784864765098</v>
      </c>
      <c r="M32">
        <f>$E32*'Nutrient Content_TFP'!$AD34</f>
        <v>0.15033134482771288</v>
      </c>
      <c r="N32">
        <f>$E32*'Nutrient Content_TFP'!$AE34</f>
        <v>0.94785966637749008</v>
      </c>
      <c r="O32">
        <f>$E32*'Nutrient Content_TFP'!$C34</f>
        <v>12.162341147952612</v>
      </c>
      <c r="P32">
        <f>$E32*'Nutrient Content_TFP'!$D34</f>
        <v>1.6050581268445174</v>
      </c>
      <c r="Q32">
        <f>$E32*'Nutrient Content_TFP'!$E34</f>
        <v>0.12324309242075192</v>
      </c>
      <c r="R32">
        <f>$E32*'Nutrient Content_TFP'!$F34</f>
        <v>1.759409774404927E-2</v>
      </c>
      <c r="S32">
        <f>$E32*'Nutrient Content_TFP'!$H34</f>
        <v>0.39569300764947102</v>
      </c>
      <c r="T32">
        <f>$E32*'Nutrient Content_TFP'!$I34</f>
        <v>8.8808538237681383</v>
      </c>
      <c r="U32">
        <f>$E32*'Nutrient Content_TFP'!$J34</f>
        <v>18.131013148288734</v>
      </c>
      <c r="V32">
        <f>$E32*'Nutrient Content_TFP'!$K34</f>
        <v>0.38054226603127556</v>
      </c>
      <c r="W32">
        <f>$E32*'Nutrient Content_TFP'!$L34</f>
        <v>4.5039021420952432</v>
      </c>
      <c r="X32">
        <f>$E32*'Nutrient Content_TFP'!$M34</f>
        <v>0.50271786917692707</v>
      </c>
      <c r="Y32">
        <f>$E32*'Nutrient Content_TFP'!$N34</f>
        <v>18.922596808265734</v>
      </c>
      <c r="Z32">
        <f>$E32*'Nutrient Content_TFP'!$O34</f>
        <v>16.719150011505263</v>
      </c>
      <c r="AA32">
        <f>$E32*'Nutrient Content_TFP'!$P34</f>
        <v>2.3270200625018202E-2</v>
      </c>
      <c r="AB32">
        <f>$E32*'Nutrient Content_TFP'!$Q34</f>
        <v>40.668223381665435</v>
      </c>
      <c r="AC32">
        <f>$E32*'Nutrient Content_TFP'!$R34</f>
        <v>5.0262166149801286E-2</v>
      </c>
      <c r="AD32">
        <f>$E32*'Nutrient Content_TFP'!$S34</f>
        <v>1.7264895118377429E-3</v>
      </c>
      <c r="AE32">
        <f>$E32*'Nutrient Content_TFP'!$T34</f>
        <v>1.7620854620205236E-2</v>
      </c>
      <c r="AF32">
        <f>$E32*'Nutrient Content_TFP'!$U34</f>
        <v>1.0244149211234845E-2</v>
      </c>
      <c r="AG32">
        <f>$E32*'Nutrient Content_TFP'!$W34</f>
        <v>3.0227983253937555E-2</v>
      </c>
      <c r="AH32">
        <f>$E32*'Nutrient Content_TFP'!$X34</f>
        <v>0.29160157352210769</v>
      </c>
      <c r="AI32">
        <f>$E32*'Nutrient Content_TFP'!$V34</f>
        <v>0.23978285865869214</v>
      </c>
      <c r="AJ32">
        <f>$E32*'Nutrient Content_TFP'!$Y34</f>
        <v>0.12364800567921515</v>
      </c>
      <c r="AK32">
        <f>$E32*'Nutrient Content_TFP'!$AF34</f>
        <v>0.44850082273449765</v>
      </c>
      <c r="AL32">
        <f>$E32*'Nutrient Content_TFP'!$AI34</f>
        <v>2.9347960671848722E-4</v>
      </c>
      <c r="AM32">
        <f>$E32*'Nutrient Content_TFP'!$AO34</f>
        <v>1.1823397559822595E-4</v>
      </c>
      <c r="AN32">
        <f>$E32*'Nutrient Content_TFP'!$AP34</f>
        <v>3.9757667562148212E-4</v>
      </c>
      <c r="AO32">
        <f>$E32*'Nutrient Content_TFP'!$AQ34</f>
        <v>3.0786580725945963E-4</v>
      </c>
      <c r="AP32">
        <f>$E32*'Nutrient Content_TFP'!$AZ34</f>
        <v>0.23394204428272194</v>
      </c>
      <c r="AQ32">
        <f>$E32*'Nutrient Content_TFP'!$BA34</f>
        <v>1.2214293036734718</v>
      </c>
      <c r="AR32">
        <f>$E32*'Nutrient Content_TFP'!$AG34</f>
        <v>2.1411158133110609E-2</v>
      </c>
      <c r="AS32">
        <f>$E32*'Nutrient Content_TFP'!$AJ34</f>
        <v>0</v>
      </c>
      <c r="AT32">
        <f>$E32*'Nutrient Content_TFP'!$AK34</f>
        <v>0</v>
      </c>
      <c r="AU32">
        <f>$E32*'Nutrient Content_TFP'!$AL34</f>
        <v>0</v>
      </c>
      <c r="AV32">
        <f>$E32*'Nutrient Content_TFP'!$AM34</f>
        <v>2.9347960671848722E-4</v>
      </c>
      <c r="AW32">
        <f>$E32*'Nutrient Content_TFP'!AN34</f>
        <v>0</v>
      </c>
      <c r="AX32">
        <f>$E32*'Nutrient Content_TFP'!AH34</f>
        <v>0.42708966463540177</v>
      </c>
      <c r="AY32">
        <f>$E32*'Nutrient Content_TFP'!$AR34</f>
        <v>0</v>
      </c>
      <c r="AZ32">
        <f>$E32*'Nutrient Content_TFP'!$AS34</f>
        <v>0</v>
      </c>
      <c r="BA32">
        <f>$E32*'Nutrient Content_TFP'!$AT34</f>
        <v>3.0786582426681712E-4</v>
      </c>
      <c r="BB32">
        <f>$E32*'Nutrient Content_TFP'!$AU34</f>
        <v>0</v>
      </c>
      <c r="BC32">
        <f>$E32*'Nutrient Content_TFP'!$AV34</f>
        <v>0</v>
      </c>
      <c r="BD32">
        <f>$E32*'Nutrient Content_TFP'!$AW34</f>
        <v>3.0786582426681712E-4</v>
      </c>
      <c r="BE32">
        <f>$E32*'Nutrient Content_TFP'!$AX34</f>
        <v>0</v>
      </c>
      <c r="BF32">
        <f>$E32*'Nutrient Content_TFP'!$AY34</f>
        <v>0</v>
      </c>
    </row>
    <row r="33" spans="1:58" ht="14.5" x14ac:dyDescent="0.35">
      <c r="A33" s="4">
        <v>30</v>
      </c>
      <c r="B33" t="s">
        <v>103</v>
      </c>
      <c r="C33" s="2">
        <f>'Your Model Diet'!E41</f>
        <v>5.4162611961364746</v>
      </c>
      <c r="D33">
        <f>'Nutrient Content_TFP'!$G35</f>
        <v>202.38551222999999</v>
      </c>
      <c r="E33">
        <f t="shared" si="0"/>
        <v>2.6762099403544223E-2</v>
      </c>
      <c r="F33">
        <f t="shared" si="1"/>
        <v>2.6762099403544224</v>
      </c>
      <c r="G33">
        <f>Cost_TFP!C35</f>
        <v>0.73779946850980005</v>
      </c>
      <c r="H33" s="1">
        <f t="shared" si="2"/>
        <v>1.9745062716141366E-2</v>
      </c>
      <c r="I33">
        <f>$E33*'Nutrient Content_TFP'!$Z35</f>
        <v>0.83592622086531476</v>
      </c>
      <c r="J33">
        <f>$E33*'Nutrient Content_TFP'!$AA35</f>
        <v>3.8913607564638846</v>
      </c>
      <c r="K33">
        <f>$E33*'Nutrient Content_TFP'!$AB35</f>
        <v>0.70217278254363102</v>
      </c>
      <c r="L33">
        <f>$E33*'Nutrient Content_TFP'!$AC35</f>
        <v>0.22154710617061796</v>
      </c>
      <c r="M33">
        <f>$E33*'Nutrient Content_TFP'!$AD35</f>
        <v>1.9111430230639423E-2</v>
      </c>
      <c r="N33">
        <f>$E33*'Nutrient Content_TFP'!$AE35</f>
        <v>0.19436019451970488</v>
      </c>
      <c r="O33">
        <f>$E33*'Nutrient Content_TFP'!$C35</f>
        <v>1.8522342123538207</v>
      </c>
      <c r="P33">
        <f>$E33*'Nutrient Content_TFP'!$D35</f>
        <v>0.44028783599189109</v>
      </c>
      <c r="Q33">
        <f>$E33*'Nutrient Content_TFP'!$E35</f>
        <v>1.2477042496135721E-3</v>
      </c>
      <c r="R33">
        <f>$E33*'Nutrient Content_TFP'!$F35</f>
        <v>5.0227609200596832E-3</v>
      </c>
      <c r="S33">
        <f>$E33*'Nutrient Content_TFP'!$H35</f>
        <v>0.120196924619918</v>
      </c>
      <c r="T33">
        <f>$E33*'Nutrient Content_TFP'!$I35</f>
        <v>1.1580400445056819E-2</v>
      </c>
      <c r="U33">
        <f>$E33*'Nutrient Content_TFP'!$J35</f>
        <v>0.87917637922001279</v>
      </c>
      <c r="V33">
        <f>$E33*'Nutrient Content_TFP'!$K35</f>
        <v>4.3327118851881861E-2</v>
      </c>
      <c r="W33">
        <f>$E33*'Nutrient Content_TFP'!$L35</f>
        <v>1.5885581140290697</v>
      </c>
      <c r="X33">
        <f>$E33*'Nutrient Content_TFP'!$M35</f>
        <v>9.3947080533423738E-2</v>
      </c>
      <c r="Y33">
        <f>$E33*'Nutrient Content_TFP'!$N35</f>
        <v>4.5008817248539783</v>
      </c>
      <c r="Z33">
        <f>$E33*'Nutrient Content_TFP'!$O35</f>
        <v>4.4865377989015567</v>
      </c>
      <c r="AA33">
        <f>$E33*'Nutrient Content_TFP'!$P35</f>
        <v>3.2273277785004168E-3</v>
      </c>
      <c r="AB33">
        <f>$E33*'Nutrient Content_TFP'!$Q35</f>
        <v>6.0882933832746486</v>
      </c>
      <c r="AC33">
        <f>$E33*'Nutrient Content_TFP'!$R35</f>
        <v>6.8401641154174058E-3</v>
      </c>
      <c r="AD33">
        <f>$E33*'Nutrient Content_TFP'!$S35</f>
        <v>1.4490938193075659E-5</v>
      </c>
      <c r="AE33">
        <f>$E33*'Nutrient Content_TFP'!$T35</f>
        <v>4.9589534032902522E-3</v>
      </c>
      <c r="AF33">
        <f>$E33*'Nutrient Content_TFP'!$U35</f>
        <v>5.3068693691327444E-4</v>
      </c>
      <c r="AG33">
        <f>$E33*'Nutrient Content_TFP'!$W35</f>
        <v>9.9843901827067882E-3</v>
      </c>
      <c r="AH33">
        <f>$E33*'Nutrient Content_TFP'!$X35</f>
        <v>6.641972298133153E-2</v>
      </c>
      <c r="AI33">
        <f>$E33*'Nutrient Content_TFP'!$V35</f>
        <v>5.151118320854949E-3</v>
      </c>
      <c r="AJ33">
        <f>$E33*'Nutrient Content_TFP'!$Y35</f>
        <v>3.415675029863862E-2</v>
      </c>
      <c r="AK33">
        <f>$E33*'Nutrient Content_TFP'!$AF35</f>
        <v>6.8421366258559213E-2</v>
      </c>
      <c r="AL33">
        <f>$E33*'Nutrient Content_TFP'!$AI35</f>
        <v>0</v>
      </c>
      <c r="AM33">
        <f>$E33*'Nutrient Content_TFP'!$AO35</f>
        <v>9.0633301940925571E-6</v>
      </c>
      <c r="AN33">
        <f>$E33*'Nutrient Content_TFP'!$AP35</f>
        <v>2.1701608531759062E-5</v>
      </c>
      <c r="AO33">
        <f>$E33*'Nutrient Content_TFP'!$AQ35</f>
        <v>3.4667875666327571E-4</v>
      </c>
      <c r="AP33">
        <f>$E33*'Nutrient Content_TFP'!$AZ35</f>
        <v>4.0460924527002791E-2</v>
      </c>
      <c r="AQ33">
        <f>$E33*'Nutrient Content_TFP'!$BA35</f>
        <v>0.23732906351276647</v>
      </c>
      <c r="AR33">
        <f>$E33*'Nutrient Content_TFP'!$AG35</f>
        <v>6.1481783743173236E-2</v>
      </c>
      <c r="AS33">
        <f>$E33*'Nutrient Content_TFP'!$AJ35</f>
        <v>0</v>
      </c>
      <c r="AT33">
        <f>$E33*'Nutrient Content_TFP'!$AK35</f>
        <v>0</v>
      </c>
      <c r="AU33">
        <f>$E33*'Nutrient Content_TFP'!$AL35</f>
        <v>0</v>
      </c>
      <c r="AV33">
        <f>$E33*'Nutrient Content_TFP'!$AM35</f>
        <v>0</v>
      </c>
      <c r="AW33">
        <f>$E33*'Nutrient Content_TFP'!AN35</f>
        <v>0</v>
      </c>
      <c r="AX33">
        <f>$E33*'Nutrient Content_TFP'!AH35</f>
        <v>6.9395825287670255E-3</v>
      </c>
      <c r="AY33">
        <f>$E33*'Nutrient Content_TFP'!$AR35</f>
        <v>0</v>
      </c>
      <c r="AZ33">
        <f>$E33*'Nutrient Content_TFP'!$AS35</f>
        <v>0</v>
      </c>
      <c r="BA33">
        <f>$E33*'Nutrient Content_TFP'!$AT35</f>
        <v>0</v>
      </c>
      <c r="BB33">
        <f>$E33*'Nutrient Content_TFP'!$AU35</f>
        <v>0</v>
      </c>
      <c r="BC33">
        <f>$E33*'Nutrient Content_TFP'!$AV35</f>
        <v>3.4667875131085576E-4</v>
      </c>
      <c r="BD33">
        <f>$E33*'Nutrient Content_TFP'!$AW35</f>
        <v>0</v>
      </c>
      <c r="BE33">
        <f>$E33*'Nutrient Content_TFP'!$AX35</f>
        <v>0</v>
      </c>
      <c r="BF33">
        <f>$E33*'Nutrient Content_TFP'!$AY35</f>
        <v>3.4667875131085576E-4</v>
      </c>
    </row>
    <row r="34" spans="1:58" ht="14.5" x14ac:dyDescent="0.35">
      <c r="A34" s="4">
        <v>31</v>
      </c>
      <c r="B34" t="s">
        <v>105</v>
      </c>
      <c r="C34" s="2">
        <f>'Your Model Diet'!E42</f>
        <v>24.98805999755859</v>
      </c>
      <c r="D34">
        <f>'Nutrient Content_TFP'!$G36</f>
        <v>249.25872408000001</v>
      </c>
      <c r="E34">
        <f t="shared" si="0"/>
        <v>0.10024949012231416</v>
      </c>
      <c r="F34">
        <f t="shared" si="1"/>
        <v>10.024949012231415</v>
      </c>
      <c r="G34">
        <f>Cost_TFP!C36</f>
        <v>0.72955431692439998</v>
      </c>
      <c r="H34" s="1">
        <f t="shared" si="2"/>
        <v>7.3137448288204288E-2</v>
      </c>
      <c r="I34">
        <f>$E34*'Nutrient Content_TFP'!$Z36</f>
        <v>3.3350621393726505</v>
      </c>
      <c r="J34">
        <f>$E34*'Nutrient Content_TFP'!$AA36</f>
        <v>17.695465916683215</v>
      </c>
      <c r="K34">
        <f>$E34*'Nutrient Content_TFP'!$AB36</f>
        <v>3.856892209488465</v>
      </c>
      <c r="L34">
        <f>$E34*'Nutrient Content_TFP'!$AC36</f>
        <v>1.2597577615924547</v>
      </c>
      <c r="M34">
        <f>$E34*'Nutrient Content_TFP'!$AD36</f>
        <v>8.627933861547811E-2</v>
      </c>
      <c r="N34">
        <f>$E34*'Nutrient Content_TFP'!$AE36</f>
        <v>1.0238356789498271</v>
      </c>
      <c r="O34">
        <f>$E34*'Nutrient Content_TFP'!$C36</f>
        <v>8.4893763324082894</v>
      </c>
      <c r="P34">
        <f>$E34*'Nutrient Content_TFP'!$D36</f>
        <v>1.127409572388685</v>
      </c>
      <c r="Q34">
        <f>$E34*'Nutrient Content_TFP'!$E36</f>
        <v>2.7311811000512491E-2</v>
      </c>
      <c r="R34">
        <f>$E34*'Nutrient Content_TFP'!$F36</f>
        <v>1.2231938880662672E-2</v>
      </c>
      <c r="S34">
        <f>$E34*'Nutrient Content_TFP'!$H36</f>
        <v>0.22863783296740919</v>
      </c>
      <c r="T34">
        <f>$E34*'Nutrient Content_TFP'!$I36</f>
        <v>6.1503974362155347</v>
      </c>
      <c r="U34">
        <f>$E34*'Nutrient Content_TFP'!$J36</f>
        <v>13.690930992926022</v>
      </c>
      <c r="V34">
        <f>$E34*'Nutrient Content_TFP'!$K36</f>
        <v>0.2853875148670823</v>
      </c>
      <c r="W34">
        <f>$E34*'Nutrient Content_TFP'!$L36</f>
        <v>2.7532991594928622</v>
      </c>
      <c r="X34">
        <f>$E34*'Nutrient Content_TFP'!$M36</f>
        <v>0.35836770031404314</v>
      </c>
      <c r="Y34">
        <f>$E34*'Nutrient Content_TFP'!$N36</f>
        <v>9.6506571064918258</v>
      </c>
      <c r="Z34">
        <f>$E34*'Nutrient Content_TFP'!$O36</f>
        <v>11.334651090554452</v>
      </c>
      <c r="AA34">
        <f>$E34*'Nutrient Content_TFP'!$P36</f>
        <v>2.4246508275585586E-2</v>
      </c>
      <c r="AB34">
        <f>$E34*'Nutrient Content_TFP'!$Q36</f>
        <v>38.409547392308347</v>
      </c>
      <c r="AC34">
        <f>$E34*'Nutrient Content_TFP'!$R36</f>
        <v>4.4043035488089556E-2</v>
      </c>
      <c r="AD34">
        <f>$E34*'Nutrient Content_TFP'!$S36</f>
        <v>5.3343383962627762E-3</v>
      </c>
      <c r="AE34">
        <f>$E34*'Nutrient Content_TFP'!$T36</f>
        <v>8.5324921464977315E-3</v>
      </c>
      <c r="AF34">
        <f>$E34*'Nutrient Content_TFP'!$U36</f>
        <v>3.4499207518034383E-2</v>
      </c>
      <c r="AG34">
        <f>$E34*'Nutrient Content_TFP'!$W36</f>
        <v>3.1351142142345571E-2</v>
      </c>
      <c r="AH34">
        <f>$E34*'Nutrient Content_TFP'!$X36</f>
        <v>0.45099688031012192</v>
      </c>
      <c r="AI34">
        <f>$E34*'Nutrient Content_TFP'!$V36</f>
        <v>0.2832758895516686</v>
      </c>
      <c r="AJ34">
        <f>$E34*'Nutrient Content_TFP'!$Y36</f>
        <v>8.1842651286408399E-2</v>
      </c>
      <c r="AK34">
        <f>$E34*'Nutrient Content_TFP'!$AF36</f>
        <v>0.30335836852007186</v>
      </c>
      <c r="AL34">
        <f>$E34*'Nutrient Content_TFP'!$AI36</f>
        <v>0</v>
      </c>
      <c r="AM34">
        <f>$E34*'Nutrient Content_TFP'!$AO36</f>
        <v>6.5643214755361221E-4</v>
      </c>
      <c r="AN34">
        <f>$E34*'Nutrient Content_TFP'!$AP36</f>
        <v>1.0205034890548869E-3</v>
      </c>
      <c r="AO34">
        <f>$E34*'Nutrient Content_TFP'!$AQ36</f>
        <v>6.6478173711186856E-5</v>
      </c>
      <c r="AP34">
        <f>$E34*'Nutrient Content_TFP'!$AZ36</f>
        <v>0.24988408817664462</v>
      </c>
      <c r="AQ34">
        <f>$E34*'Nutrient Content_TFP'!$BA36</f>
        <v>1.0885048934182893</v>
      </c>
      <c r="AR34">
        <f>$E34*'Nutrient Content_TFP'!$AG36</f>
        <v>1.011211998394722E-2</v>
      </c>
      <c r="AS34">
        <f>$E34*'Nutrient Content_TFP'!$AJ36</f>
        <v>0</v>
      </c>
      <c r="AT34">
        <f>$E34*'Nutrient Content_TFP'!$AK36</f>
        <v>0</v>
      </c>
      <c r="AU34">
        <f>$E34*'Nutrient Content_TFP'!$AL36</f>
        <v>0</v>
      </c>
      <c r="AV34">
        <f>$E34*'Nutrient Content_TFP'!$AM36</f>
        <v>0</v>
      </c>
      <c r="AW34">
        <f>$E34*'Nutrient Content_TFP'!AN36</f>
        <v>0</v>
      </c>
      <c r="AX34">
        <f>$E34*'Nutrient Content_TFP'!AH36</f>
        <v>0.29324624854614967</v>
      </c>
      <c r="AY34">
        <f>$E34*'Nutrient Content_TFP'!$AR36</f>
        <v>0</v>
      </c>
      <c r="AZ34">
        <f>$E34*'Nutrient Content_TFP'!$AS36</f>
        <v>0</v>
      </c>
      <c r="BA34">
        <f>$E34*'Nutrient Content_TFP'!$AT36</f>
        <v>4.6862225654616488E-6</v>
      </c>
      <c r="BB34">
        <f>$E34*'Nutrient Content_TFP'!$AU36</f>
        <v>4.8911525731696832E-6</v>
      </c>
      <c r="BC34">
        <f>$E34*'Nutrient Content_TFP'!$AV36</f>
        <v>5.690080859750454E-5</v>
      </c>
      <c r="BD34">
        <f>$E34*'Nutrient Content_TFP'!$AW36</f>
        <v>4.6862225654616488E-6</v>
      </c>
      <c r="BE34">
        <f>$E34*'Nutrient Content_TFP'!$AX36</f>
        <v>0</v>
      </c>
      <c r="BF34">
        <f>$E34*'Nutrient Content_TFP'!$AY36</f>
        <v>6.1791981220572233E-5</v>
      </c>
    </row>
    <row r="35" spans="1:58" ht="14.5" x14ac:dyDescent="0.35">
      <c r="A35" s="4">
        <v>32</v>
      </c>
      <c r="B35" t="s">
        <v>106</v>
      </c>
      <c r="C35" s="2">
        <f>'Your Model Diet'!E43</f>
        <v>7.7496228218078613</v>
      </c>
      <c r="D35">
        <f>'Nutrient Content_TFP'!$G37</f>
        <v>212.03475125</v>
      </c>
      <c r="E35">
        <f t="shared" si="0"/>
        <v>3.6548833510176133E-2</v>
      </c>
      <c r="F35">
        <f t="shared" si="1"/>
        <v>3.6548833510176135</v>
      </c>
      <c r="G35">
        <f>Cost_TFP!C37</f>
        <v>0.44217005660559999</v>
      </c>
      <c r="H35" s="1">
        <f t="shared" si="2"/>
        <v>1.616079978206323E-2</v>
      </c>
      <c r="I35">
        <f>$E35*'Nutrient Content_TFP'!$Z37</f>
        <v>1.3490682770513447</v>
      </c>
      <c r="J35">
        <f>$E35*'Nutrient Content_TFP'!$AA37</f>
        <v>5.3655422295603925</v>
      </c>
      <c r="K35">
        <f>$E35*'Nutrient Content_TFP'!$AB37</f>
        <v>1.0781095935939748</v>
      </c>
      <c r="L35">
        <f>$E35*'Nutrient Content_TFP'!$AC37</f>
        <v>0.42282653154334238</v>
      </c>
      <c r="M35">
        <f>$E35*'Nutrient Content_TFP'!$AD37</f>
        <v>4.0064101048161542E-2</v>
      </c>
      <c r="N35">
        <f>$E35*'Nutrient Content_TFP'!$AE37</f>
        <v>0.23633819853692503</v>
      </c>
      <c r="O35">
        <f>$E35*'Nutrient Content_TFP'!$C37</f>
        <v>5.0020191394905185</v>
      </c>
      <c r="P35">
        <f>$E35*'Nutrient Content_TFP'!$D37</f>
        <v>0.77323734152611234</v>
      </c>
      <c r="Q35">
        <f>$E35*'Nutrient Content_TFP'!$E37</f>
        <v>1.4113428380750347E-2</v>
      </c>
      <c r="R35">
        <f>$E35*'Nutrient Content_TFP'!$F37</f>
        <v>7.2572760421831814E-3</v>
      </c>
      <c r="S35">
        <f>$E35*'Nutrient Content_TFP'!$H37</f>
        <v>0.18258460798967163</v>
      </c>
      <c r="T35">
        <f>$E35*'Nutrient Content_TFP'!$I37</f>
        <v>0.11219099589416057</v>
      </c>
      <c r="U35">
        <f>$E35*'Nutrient Content_TFP'!$J37</f>
        <v>1.5759237806560387</v>
      </c>
      <c r="V35">
        <f>$E35*'Nutrient Content_TFP'!$K37</f>
        <v>7.7824901622232948E-2</v>
      </c>
      <c r="W35">
        <f>$E35*'Nutrient Content_TFP'!$L37</f>
        <v>2.3347669508956899</v>
      </c>
      <c r="X35">
        <f>$E35*'Nutrient Content_TFP'!$M37</f>
        <v>0.12779102938686387</v>
      </c>
      <c r="Y35">
        <f>$E35*'Nutrient Content_TFP'!$N37</f>
        <v>6.4328383027106231</v>
      </c>
      <c r="Z35">
        <f>$E35*'Nutrient Content_TFP'!$O37</f>
        <v>7.2886640396887126</v>
      </c>
      <c r="AA35">
        <f>$E35*'Nutrient Content_TFP'!$P37</f>
        <v>5.3245840439007678E-3</v>
      </c>
      <c r="AB35">
        <f>$E35*'Nutrient Content_TFP'!$Q37</f>
        <v>10.363065994470448</v>
      </c>
      <c r="AC35">
        <f>$E35*'Nutrient Content_TFP'!$R37</f>
        <v>1.1532979348467755E-2</v>
      </c>
      <c r="AD35">
        <f>$E35*'Nutrient Content_TFP'!$S37</f>
        <v>8.9568362292879636E-5</v>
      </c>
      <c r="AE35">
        <f>$E35*'Nutrient Content_TFP'!$T37</f>
        <v>7.0809033779548804E-3</v>
      </c>
      <c r="AF35">
        <f>$E35*'Nutrient Content_TFP'!$U37</f>
        <v>0</v>
      </c>
      <c r="AG35">
        <f>$E35*'Nutrient Content_TFP'!$W37</f>
        <v>2.1900133661829725E-2</v>
      </c>
      <c r="AH35">
        <f>$E35*'Nutrient Content_TFP'!$X37</f>
        <v>0.20674477396812976</v>
      </c>
      <c r="AI35">
        <f>$E35*'Nutrient Content_TFP'!$V37</f>
        <v>0.21130523955402783</v>
      </c>
      <c r="AJ35">
        <f>$E35*'Nutrient Content_TFP'!$Y37</f>
        <v>5.2328957315770544E-2</v>
      </c>
      <c r="AK35">
        <f>$E35*'Nutrient Content_TFP'!$AF37</f>
        <v>0.10226550755312062</v>
      </c>
      <c r="AL35">
        <f>$E35*'Nutrient Content_TFP'!$AI37</f>
        <v>0</v>
      </c>
      <c r="AM35">
        <f>$E35*'Nutrient Content_TFP'!$AO37</f>
        <v>0</v>
      </c>
      <c r="AN35">
        <f>$E35*'Nutrient Content_TFP'!$AP37</f>
        <v>1.0867627885105061E-4</v>
      </c>
      <c r="AO35">
        <f>$E35*'Nutrient Content_TFP'!$AQ37</f>
        <v>0</v>
      </c>
      <c r="AP35">
        <f>$E35*'Nutrient Content_TFP'!$AZ37</f>
        <v>6.1378272528531223E-2</v>
      </c>
      <c r="AQ35">
        <f>$E35*'Nutrient Content_TFP'!$BA37</f>
        <v>0.39820130472078119</v>
      </c>
      <c r="AR35">
        <f>$E35*'Nutrient Content_TFP'!$AG37</f>
        <v>0.1015784175416688</v>
      </c>
      <c r="AS35">
        <f>$E35*'Nutrient Content_TFP'!$AJ37</f>
        <v>0</v>
      </c>
      <c r="AT35">
        <f>$E35*'Nutrient Content_TFP'!$AK37</f>
        <v>0</v>
      </c>
      <c r="AU35">
        <f>$E35*'Nutrient Content_TFP'!$AL37</f>
        <v>0</v>
      </c>
      <c r="AV35">
        <f>$E35*'Nutrient Content_TFP'!$AM37</f>
        <v>0</v>
      </c>
      <c r="AW35">
        <f>$E35*'Nutrient Content_TFP'!AN37</f>
        <v>0</v>
      </c>
      <c r="AX35">
        <f>$E35*'Nutrient Content_TFP'!AH37</f>
        <v>6.8709000048717541E-4</v>
      </c>
      <c r="AY35">
        <f>$E35*'Nutrient Content_TFP'!$AR37</f>
        <v>0</v>
      </c>
      <c r="AZ35">
        <f>$E35*'Nutrient Content_TFP'!$AS37</f>
        <v>0</v>
      </c>
      <c r="BA35">
        <f>$E35*'Nutrient Content_TFP'!$AT37</f>
        <v>0</v>
      </c>
      <c r="BB35">
        <f>$E35*'Nutrient Content_TFP'!$AU37</f>
        <v>0</v>
      </c>
      <c r="BC35">
        <f>$E35*'Nutrient Content_TFP'!$AV37</f>
        <v>0</v>
      </c>
      <c r="BD35">
        <f>$E35*'Nutrient Content_TFP'!$AW37</f>
        <v>0</v>
      </c>
      <c r="BE35">
        <f>$E35*'Nutrient Content_TFP'!$AX37</f>
        <v>0</v>
      </c>
      <c r="BF35">
        <f>$E35*'Nutrient Content_TFP'!$AY37</f>
        <v>0</v>
      </c>
    </row>
    <row r="36" spans="1:58" ht="14.5" x14ac:dyDescent="0.35">
      <c r="A36" s="4">
        <v>33</v>
      </c>
      <c r="B36" t="s">
        <v>107</v>
      </c>
      <c r="C36" s="2">
        <f>'Your Model Diet'!E44</f>
        <v>2.0542738437652588</v>
      </c>
      <c r="D36">
        <f>'Nutrient Content_TFP'!$G38</f>
        <v>270.17778486999998</v>
      </c>
      <c r="E36">
        <f t="shared" si="0"/>
        <v>7.6034150800137132E-3</v>
      </c>
      <c r="F36">
        <f t="shared" si="1"/>
        <v>0.76034150800137135</v>
      </c>
      <c r="G36">
        <f>Cost_TFP!C38</f>
        <v>1.0209774023906</v>
      </c>
      <c r="H36" s="1">
        <f t="shared" si="2"/>
        <v>7.762914977689917E-3</v>
      </c>
      <c r="I36">
        <f>$E36*'Nutrient Content_TFP'!$Z38</f>
        <v>0.76597013127005065</v>
      </c>
      <c r="J36">
        <f>$E36*'Nutrient Content_TFP'!$AA38</f>
        <v>0.31275937152989602</v>
      </c>
      <c r="K36">
        <f>$E36*'Nutrient Content_TFP'!$AB38</f>
        <v>0.93258287487417801</v>
      </c>
      <c r="L36">
        <f>$E36*'Nutrient Content_TFP'!$AC38</f>
        <v>0.15556225095444379</v>
      </c>
      <c r="M36">
        <f>$E36*'Nutrient Content_TFP'!$AD38</f>
        <v>1.4399942947585375E-2</v>
      </c>
      <c r="N36">
        <f>$E36*'Nutrient Content_TFP'!$AE38</f>
        <v>0.2776237824765434</v>
      </c>
      <c r="O36">
        <f>$E36*'Nutrient Content_TFP'!$C38</f>
        <v>0.29657219675729546</v>
      </c>
      <c r="P36">
        <f>$E36*'Nutrient Content_TFP'!$D38</f>
        <v>0.62519236608731177</v>
      </c>
      <c r="Q36">
        <f>$E36*'Nutrient Content_TFP'!$E38</f>
        <v>0.66803703145850835</v>
      </c>
      <c r="R36">
        <f>$E36*'Nutrient Content_TFP'!$F38</f>
        <v>7.3883842211300689E-4</v>
      </c>
      <c r="S36">
        <f>$E36*'Nutrient Content_TFP'!$H38</f>
        <v>4.5886873481422114E-3</v>
      </c>
      <c r="T36">
        <f>$E36*'Nutrient Content_TFP'!$I38</f>
        <v>5.7245282317428925E-2</v>
      </c>
      <c r="U36">
        <f>$E36*'Nutrient Content_TFP'!$J38</f>
        <v>0.14313789016277664</v>
      </c>
      <c r="V36">
        <f>$E36*'Nutrient Content_TFP'!$K38</f>
        <v>1.1255977487083858E-2</v>
      </c>
      <c r="W36">
        <f>$E36*'Nutrient Content_TFP'!$L38</f>
        <v>0.22432327816645711</v>
      </c>
      <c r="X36">
        <f>$E36*'Nutrient Content_TFP'!$M38</f>
        <v>4.9693318188531392E-2</v>
      </c>
      <c r="Y36">
        <f>$E36*'Nutrient Content_TFP'!$N38</f>
        <v>1.8819434088154536</v>
      </c>
      <c r="Z36">
        <f>$E36*'Nutrient Content_TFP'!$O38</f>
        <v>2.9461063788394592</v>
      </c>
      <c r="AA36">
        <f>$E36*'Nutrient Content_TFP'!$P38</f>
        <v>2.3147070939575662E-3</v>
      </c>
      <c r="AB36">
        <f>$E36*'Nutrient Content_TFP'!$Q38</f>
        <v>3.0848777861769543</v>
      </c>
      <c r="AC36">
        <f>$E36*'Nutrient Content_TFP'!$R38</f>
        <v>4.7050258032531262E-3</v>
      </c>
      <c r="AD36">
        <f>$E36*'Nutrient Content_TFP'!$S38</f>
        <v>5.4868449066938062E-3</v>
      </c>
      <c r="AE36">
        <f>$E36*'Nutrient Content_TFP'!$T38</f>
        <v>3.4287746790716772E-3</v>
      </c>
      <c r="AF36">
        <f>$E36*'Nutrient Content_TFP'!$U38</f>
        <v>1.4602771693880312E-3</v>
      </c>
      <c r="AG36">
        <f>$E36*'Nutrient Content_TFP'!$W38</f>
        <v>4.5688275381725501E-3</v>
      </c>
      <c r="AH36">
        <f>$E36*'Nutrient Content_TFP'!$X38</f>
        <v>3.8352930333582752E-2</v>
      </c>
      <c r="AI36">
        <f>$E36*'Nutrient Content_TFP'!$V38</f>
        <v>7.1972353238967557E-2</v>
      </c>
      <c r="AJ36">
        <f>$E36*'Nutrient Content_TFP'!$Y38</f>
        <v>1.8270885253283065E-2</v>
      </c>
      <c r="AK36">
        <f>$E36*'Nutrient Content_TFP'!$AF38</f>
        <v>4.9462337527981471E-3</v>
      </c>
      <c r="AL36">
        <f>$E36*'Nutrient Content_TFP'!$AI38</f>
        <v>2.2389936057833061E-5</v>
      </c>
      <c r="AM36">
        <f>$E36*'Nutrient Content_TFP'!$AO38</f>
        <v>0</v>
      </c>
      <c r="AN36">
        <f>$E36*'Nutrient Content_TFP'!$AP38</f>
        <v>1.0194493184833642E-5</v>
      </c>
      <c r="AO36">
        <f>$E36*'Nutrient Content_TFP'!$AQ38</f>
        <v>2.0768398568962513E-2</v>
      </c>
      <c r="AP36">
        <f>$E36*'Nutrient Content_TFP'!$AZ38</f>
        <v>2.2254199421933605E-2</v>
      </c>
      <c r="AQ36">
        <f>$E36*'Nutrient Content_TFP'!$BA38</f>
        <v>4.4480828910969619E-2</v>
      </c>
      <c r="AR36">
        <f>$E36*'Nutrient Content_TFP'!$AG38</f>
        <v>0</v>
      </c>
      <c r="AS36">
        <f>$E36*'Nutrient Content_TFP'!$AJ38</f>
        <v>0</v>
      </c>
      <c r="AT36">
        <f>$E36*'Nutrient Content_TFP'!$AK38</f>
        <v>2.2389936057833061E-5</v>
      </c>
      <c r="AU36">
        <f>$E36*'Nutrient Content_TFP'!$AL38</f>
        <v>0</v>
      </c>
      <c r="AV36">
        <f>$E36*'Nutrient Content_TFP'!$AM38</f>
        <v>0</v>
      </c>
      <c r="AW36">
        <f>$E36*'Nutrient Content_TFP'!AN38</f>
        <v>0</v>
      </c>
      <c r="AX36">
        <f>$E36*'Nutrient Content_TFP'!AH38</f>
        <v>4.9462337512774643E-3</v>
      </c>
      <c r="AY36">
        <f>$E36*'Nutrient Content_TFP'!$AR38</f>
        <v>2.0027060451149166E-2</v>
      </c>
      <c r="AZ36">
        <f>$E36*'Nutrient Content_TFP'!$AS38</f>
        <v>0</v>
      </c>
      <c r="BA36">
        <f>$E36*'Nutrient Content_TFP'!$AT38</f>
        <v>7.4133811781334612E-4</v>
      </c>
      <c r="BB36">
        <f>$E36*'Nutrient Content_TFP'!$AU38</f>
        <v>0</v>
      </c>
      <c r="BC36">
        <f>$E36*'Nutrient Content_TFP'!$AV38</f>
        <v>0</v>
      </c>
      <c r="BD36">
        <f>$E36*'Nutrient Content_TFP'!$AW38</f>
        <v>2.0768398568962513E-2</v>
      </c>
      <c r="BE36">
        <f>$E36*'Nutrient Content_TFP'!$AX38</f>
        <v>0</v>
      </c>
      <c r="BF36">
        <f>$E36*'Nutrient Content_TFP'!$AY38</f>
        <v>0</v>
      </c>
    </row>
    <row r="37" spans="1:58" ht="14.5" x14ac:dyDescent="0.35">
      <c r="A37" s="4">
        <v>34</v>
      </c>
      <c r="B37" t="s">
        <v>109</v>
      </c>
      <c r="C37" s="2">
        <f>'Your Model Diet'!E45</f>
        <v>8.5643167495727539</v>
      </c>
      <c r="D37">
        <f>'Nutrient Content_TFP'!$G39</f>
        <v>290.87559413999998</v>
      </c>
      <c r="E37">
        <f t="shared" si="0"/>
        <v>2.9443229071500245E-2</v>
      </c>
      <c r="F37">
        <f t="shared" si="1"/>
        <v>2.9443229071500245</v>
      </c>
      <c r="G37">
        <f>Cost_TFP!C39</f>
        <v>2.1173582847142001</v>
      </c>
      <c r="H37" s="1">
        <f t="shared" si="2"/>
        <v>6.2341865003279026E-2</v>
      </c>
      <c r="I37">
        <f>$E37*'Nutrient Content_TFP'!$Z39</f>
        <v>3.3812309762756416</v>
      </c>
      <c r="J37">
        <f>$E37*'Nutrient Content_TFP'!$AA39</f>
        <v>0</v>
      </c>
      <c r="K37">
        <f>$E37*'Nutrient Content_TFP'!$AB39</f>
        <v>4.9629091794001168</v>
      </c>
      <c r="L37">
        <f>$E37*'Nutrient Content_TFP'!$AC39</f>
        <v>0.2204644669429115</v>
      </c>
      <c r="M37">
        <f>$E37*'Nutrient Content_TFP'!$AD39</f>
        <v>2.4600073780342312E-2</v>
      </c>
      <c r="N37">
        <f>$E37*'Nutrient Content_TFP'!$AE39</f>
        <v>1.9531552006784976</v>
      </c>
      <c r="O37">
        <f>$E37*'Nutrient Content_TFP'!$C39</f>
        <v>0.63553047238716465</v>
      </c>
      <c r="P37">
        <f>$E37*'Nutrient Content_TFP'!$D39</f>
        <v>2.8285855435005325</v>
      </c>
      <c r="Q37">
        <f>$E37*'Nutrient Content_TFP'!$E39</f>
        <v>2.7801650957211055</v>
      </c>
      <c r="R37">
        <f>$E37*'Nutrient Content_TFP'!$F39</f>
        <v>2.9228008724366712E-3</v>
      </c>
      <c r="S37">
        <f>$E37*'Nutrient Content_TFP'!$H39</f>
        <v>0</v>
      </c>
      <c r="T37">
        <f>$E37*'Nutrient Content_TFP'!$I39</f>
        <v>0</v>
      </c>
      <c r="U37">
        <f>$E37*'Nutrient Content_TFP'!$J39</f>
        <v>0.20343853455599378</v>
      </c>
      <c r="V37">
        <f>$E37*'Nutrient Content_TFP'!$K39</f>
        <v>7.1378634294224946E-2</v>
      </c>
      <c r="W37">
        <f>$E37*'Nutrient Content_TFP'!$L39</f>
        <v>0.61894322995121909</v>
      </c>
      <c r="X37">
        <f>$E37*'Nutrient Content_TFP'!$M39</f>
        <v>0.14962402472624703</v>
      </c>
      <c r="Y37">
        <f>$E37*'Nutrient Content_TFP'!$N39</f>
        <v>6.247822636301013</v>
      </c>
      <c r="Z37">
        <f>$E37*'Nutrient Content_TFP'!$O39</f>
        <v>8.9258122809219369</v>
      </c>
      <c r="AA37">
        <f>$E37*'Nutrient Content_TFP'!$P39</f>
        <v>6.9747890778571768E-3</v>
      </c>
      <c r="AB37">
        <f>$E37*'Nutrient Content_TFP'!$Q39</f>
        <v>5.4419723841740888</v>
      </c>
      <c r="AC37">
        <f>$E37*'Nutrient Content_TFP'!$R39</f>
        <v>3.8565188179965717E-3</v>
      </c>
      <c r="AD37">
        <f>$E37*'Nutrient Content_TFP'!$S39</f>
        <v>6.2437072858043716E-2</v>
      </c>
      <c r="AE37">
        <f>$E37*'Nutrient Content_TFP'!$T39</f>
        <v>1.204344338863802E-2</v>
      </c>
      <c r="AF37">
        <f>$E37*'Nutrient Content_TFP'!$U39</f>
        <v>1.0110784576768353E-3</v>
      </c>
      <c r="AG37">
        <f>$E37*'Nutrient Content_TFP'!$W39</f>
        <v>7.3366373505734956E-3</v>
      </c>
      <c r="AH37">
        <f>$E37*'Nutrient Content_TFP'!$X39</f>
        <v>4.1700933384930888E-2</v>
      </c>
      <c r="AI37">
        <f>$E37*'Nutrient Content_TFP'!$V39</f>
        <v>7.5367372372406025E-2</v>
      </c>
      <c r="AJ37">
        <f>$E37*'Nutrient Content_TFP'!$Y39</f>
        <v>0.17554021545100643</v>
      </c>
      <c r="AK37">
        <f>$E37*'Nutrient Content_TFP'!$AF39</f>
        <v>0</v>
      </c>
      <c r="AL37">
        <f>$E37*'Nutrient Content_TFP'!$AI39</f>
        <v>0</v>
      </c>
      <c r="AM37">
        <f>$E37*'Nutrient Content_TFP'!$AO39</f>
        <v>0</v>
      </c>
      <c r="AN37">
        <f>$E37*'Nutrient Content_TFP'!$AP39</f>
        <v>0</v>
      </c>
      <c r="AO37">
        <f>$E37*'Nutrient Content_TFP'!$AQ39</f>
        <v>8.8223971271076285E-2</v>
      </c>
      <c r="AP37">
        <f>$E37*'Nutrient Content_TFP'!$AZ39</f>
        <v>0</v>
      </c>
      <c r="AQ37">
        <f>$E37*'Nutrient Content_TFP'!$BA39</f>
        <v>0</v>
      </c>
      <c r="AR37">
        <f>$E37*'Nutrient Content_TFP'!$AG39</f>
        <v>0</v>
      </c>
      <c r="AS37">
        <f>$E37*'Nutrient Content_TFP'!$AJ39</f>
        <v>0</v>
      </c>
      <c r="AT37">
        <f>$E37*'Nutrient Content_TFP'!$AK39</f>
        <v>0</v>
      </c>
      <c r="AU37">
        <f>$E37*'Nutrient Content_TFP'!$AL39</f>
        <v>0</v>
      </c>
      <c r="AV37">
        <f>$E37*'Nutrient Content_TFP'!$AM39</f>
        <v>0</v>
      </c>
      <c r="AW37">
        <f>$E37*'Nutrient Content_TFP'!AN39</f>
        <v>0</v>
      </c>
      <c r="AX37">
        <f>$E37*'Nutrient Content_TFP'!AH39</f>
        <v>0</v>
      </c>
      <c r="AY37">
        <f>$E37*'Nutrient Content_TFP'!$AR39</f>
        <v>8.8223971271076285E-2</v>
      </c>
      <c r="AZ37">
        <f>$E37*'Nutrient Content_TFP'!$AS39</f>
        <v>0</v>
      </c>
      <c r="BA37">
        <f>$E37*'Nutrient Content_TFP'!$AT39</f>
        <v>0</v>
      </c>
      <c r="BB37">
        <f>$E37*'Nutrient Content_TFP'!$AU39</f>
        <v>0</v>
      </c>
      <c r="BC37">
        <f>$E37*'Nutrient Content_TFP'!$AV39</f>
        <v>0</v>
      </c>
      <c r="BD37">
        <f>$E37*'Nutrient Content_TFP'!$AW39</f>
        <v>8.8223971271076285E-2</v>
      </c>
      <c r="BE37">
        <f>$E37*'Nutrient Content_TFP'!$AX39</f>
        <v>0</v>
      </c>
      <c r="BF37">
        <f>$E37*'Nutrient Content_TFP'!$AY39</f>
        <v>0</v>
      </c>
    </row>
    <row r="38" spans="1:58" ht="14.5" x14ac:dyDescent="0.35">
      <c r="A38" s="4">
        <v>35</v>
      </c>
      <c r="B38" t="s">
        <v>110</v>
      </c>
      <c r="C38" s="2">
        <f>'Your Model Diet'!E46</f>
        <v>2.1334595680236821</v>
      </c>
      <c r="D38">
        <f>'Nutrient Content_TFP'!$G40</f>
        <v>191.64198880999999</v>
      </c>
      <c r="E38">
        <f t="shared" si="0"/>
        <v>1.1132526756121605E-2</v>
      </c>
      <c r="F38">
        <f t="shared" si="1"/>
        <v>1.1132526756121606</v>
      </c>
      <c r="G38">
        <f>Cost_TFP!C40</f>
        <v>1.2065556432974001</v>
      </c>
      <c r="H38" s="1">
        <f t="shared" si="2"/>
        <v>1.3432012981757821E-2</v>
      </c>
      <c r="I38">
        <f>$E38*'Nutrient Content_TFP'!$Z40</f>
        <v>1.2423996695002446</v>
      </c>
      <c r="J38">
        <f>$E38*'Nutrient Content_TFP'!$AA40</f>
        <v>1.8748542991025501E-2</v>
      </c>
      <c r="K38">
        <f>$E38*'Nutrient Content_TFP'!$AB40</f>
        <v>0.80489608105119304</v>
      </c>
      <c r="L38">
        <f>$E38*'Nutrient Content_TFP'!$AC40</f>
        <v>9.0370578408389371E-2</v>
      </c>
      <c r="M38">
        <f>$E38*'Nutrient Content_TFP'!$AD40</f>
        <v>3.8461528453651948E-3</v>
      </c>
      <c r="N38">
        <f>$E38*'Nutrient Content_TFP'!$AE40</f>
        <v>0.26405803587720361</v>
      </c>
      <c r="O38">
        <f>$E38*'Nutrient Content_TFP'!$C40</f>
        <v>0.11509439532229272</v>
      </c>
      <c r="P38">
        <f>$E38*'Nutrient Content_TFP'!$D40</f>
        <v>0.94886315533230869</v>
      </c>
      <c r="Q38">
        <f>$E38*'Nutrient Content_TFP'!$E40</f>
        <v>1.1238869279487451</v>
      </c>
      <c r="R38">
        <f>$E38*'Nutrient Content_TFP'!$F40</f>
        <v>1.5531817951672286E-3</v>
      </c>
      <c r="S38">
        <f>$E38*'Nutrient Content_TFP'!$H40</f>
        <v>1.2319320124207832E-4</v>
      </c>
      <c r="T38">
        <f>$E38*'Nutrient Content_TFP'!$I40</f>
        <v>5.338372075717363E-3</v>
      </c>
      <c r="U38">
        <f>$E38*'Nutrient Content_TFP'!$J40</f>
        <v>3.0686072896387626E-2</v>
      </c>
      <c r="V38">
        <f>$E38*'Nutrient Content_TFP'!$K40</f>
        <v>9.9085208556090858E-3</v>
      </c>
      <c r="W38">
        <f>$E38*'Nutrient Content_TFP'!$L40</f>
        <v>0.31380611927994634</v>
      </c>
      <c r="X38">
        <f>$E38*'Nutrient Content_TFP'!$M40</f>
        <v>8.147565222515106E-2</v>
      </c>
      <c r="Y38">
        <f>$E38*'Nutrient Content_TFP'!$N40</f>
        <v>2.9613862380256455</v>
      </c>
      <c r="Z38">
        <f>$E38*'Nutrient Content_TFP'!$O40</f>
        <v>4.8195157582216259</v>
      </c>
      <c r="AA38">
        <f>$E38*'Nutrient Content_TFP'!$P40</f>
        <v>3.3070240164109529E-3</v>
      </c>
      <c r="AB38">
        <f>$E38*'Nutrient Content_TFP'!$Q40</f>
        <v>3.2714035238143744</v>
      </c>
      <c r="AC38">
        <f>$E38*'Nutrient Content_TFP'!$R40</f>
        <v>6.4268655297855005E-3</v>
      </c>
      <c r="AD38">
        <f>$E38*'Nutrient Content_TFP'!$S40</f>
        <v>1.1834037955645652E-2</v>
      </c>
      <c r="AE38">
        <f>$E38*'Nutrient Content_TFP'!$T40</f>
        <v>5.7782179751819191E-3</v>
      </c>
      <c r="AF38">
        <f>$E38*'Nutrient Content_TFP'!$U40</f>
        <v>9.2588429055000319E-4</v>
      </c>
      <c r="AG38">
        <f>$E38*'Nutrient Content_TFP'!$W40</f>
        <v>2.5923456739167486E-3</v>
      </c>
      <c r="AH38">
        <f>$E38*'Nutrient Content_TFP'!$X40</f>
        <v>1.867126636506842E-3</v>
      </c>
      <c r="AI38">
        <f>$E38*'Nutrient Content_TFP'!$V40</f>
        <v>0.38017401490926961</v>
      </c>
      <c r="AJ38">
        <f>$E38*'Nutrient Content_TFP'!$Y40</f>
        <v>2.7311814749437665E-2</v>
      </c>
      <c r="AK38">
        <f>$E38*'Nutrient Content_TFP'!$AF40</f>
        <v>3.2851520479654575E-4</v>
      </c>
      <c r="AL38">
        <f>$E38*'Nutrient Content_TFP'!$AI40</f>
        <v>0</v>
      </c>
      <c r="AM38">
        <f>$E38*'Nutrient Content_TFP'!$AO40</f>
        <v>0</v>
      </c>
      <c r="AN38">
        <f>$E38*'Nutrient Content_TFP'!$AP40</f>
        <v>0</v>
      </c>
      <c r="AO38">
        <f>$E38*'Nutrient Content_TFP'!$AQ40</f>
        <v>3.8168687205968353E-2</v>
      </c>
      <c r="AP38">
        <f>$E38*'Nutrient Content_TFP'!$AZ40</f>
        <v>0</v>
      </c>
      <c r="AQ38">
        <f>$E38*'Nutrient Content_TFP'!$BA40</f>
        <v>0</v>
      </c>
      <c r="AR38">
        <f>$E38*'Nutrient Content_TFP'!$AG40</f>
        <v>0</v>
      </c>
      <c r="AS38">
        <f>$E38*'Nutrient Content_TFP'!$AJ40</f>
        <v>0</v>
      </c>
      <c r="AT38">
        <f>$E38*'Nutrient Content_TFP'!$AK40</f>
        <v>0</v>
      </c>
      <c r="AU38">
        <f>$E38*'Nutrient Content_TFP'!$AL40</f>
        <v>0</v>
      </c>
      <c r="AV38">
        <f>$E38*'Nutrient Content_TFP'!$AM40</f>
        <v>0</v>
      </c>
      <c r="AW38">
        <f>$E38*'Nutrient Content_TFP'!AN40</f>
        <v>0</v>
      </c>
      <c r="AX38">
        <f>$E38*'Nutrient Content_TFP'!AH40</f>
        <v>3.2851520924955641E-4</v>
      </c>
      <c r="AY38">
        <f>$E38*'Nutrient Content_TFP'!$AR40</f>
        <v>3.5796419148761242E-2</v>
      </c>
      <c r="AZ38">
        <f>$E38*'Nutrient Content_TFP'!$AS40</f>
        <v>0</v>
      </c>
      <c r="BA38">
        <f>$E38*'Nutrient Content_TFP'!$AT40</f>
        <v>5.7490160505419699E-5</v>
      </c>
      <c r="BB38">
        <f>$E38*'Nutrient Content_TFP'!$AU40</f>
        <v>0</v>
      </c>
      <c r="BC38">
        <f>$E38*'Nutrient Content_TFP'!$AV40</f>
        <v>0</v>
      </c>
      <c r="BD38">
        <f>$E38*'Nutrient Content_TFP'!$AW40</f>
        <v>3.816868720374185E-2</v>
      </c>
      <c r="BE38">
        <f>$E38*'Nutrient Content_TFP'!$AX40</f>
        <v>0</v>
      </c>
      <c r="BF38">
        <f>$E38*'Nutrient Content_TFP'!$AY40</f>
        <v>0</v>
      </c>
    </row>
    <row r="39" spans="1:58" ht="14.5" x14ac:dyDescent="0.35">
      <c r="A39" s="4">
        <v>36</v>
      </c>
      <c r="B39" t="s">
        <v>112</v>
      </c>
      <c r="C39" s="2">
        <f>'Your Model Diet'!E47</f>
        <v>7.6381888389587402</v>
      </c>
      <c r="D39">
        <f>'Nutrient Content_TFP'!$G41</f>
        <v>173.90812129</v>
      </c>
      <c r="E39">
        <f t="shared" si="0"/>
        <v>4.392082889689608E-2</v>
      </c>
      <c r="F39">
        <f t="shared" si="1"/>
        <v>4.3920828896896076</v>
      </c>
      <c r="G39">
        <f>Cost_TFP!C41</f>
        <v>2.3611808761328001</v>
      </c>
      <c r="H39" s="1">
        <f t="shared" si="2"/>
        <v>0.1037050212552519</v>
      </c>
      <c r="I39">
        <f>$E39*'Nutrient Content_TFP'!$Z41</f>
        <v>5.1330030530391495</v>
      </c>
      <c r="J39">
        <f>$E39*'Nutrient Content_TFP'!$AA41</f>
        <v>8.0499707887226567E-3</v>
      </c>
      <c r="K39">
        <f>$E39*'Nutrient Content_TFP'!$AB41</f>
        <v>2.2937658802708341</v>
      </c>
      <c r="L39">
        <f>$E39*'Nutrient Content_TFP'!$AC41</f>
        <v>0.12063435951700142</v>
      </c>
      <c r="M39">
        <f>$E39*'Nutrient Content_TFP'!$AD41</f>
        <v>5.8903855731629136E-3</v>
      </c>
      <c r="N39">
        <f>$E39*'Nutrient Content_TFP'!$AE41</f>
        <v>0.87093593857113583</v>
      </c>
      <c r="O39">
        <f>$E39*'Nutrient Content_TFP'!$C41</f>
        <v>0.64635526761920037</v>
      </c>
      <c r="P39">
        <f>$E39*'Nutrient Content_TFP'!$D41</f>
        <v>3.8277448004374919</v>
      </c>
      <c r="Q39">
        <f>$E39*'Nutrient Content_TFP'!$E41</f>
        <v>3.5621392927795825</v>
      </c>
      <c r="R39">
        <f>$E39*'Nutrient Content_TFP'!$F41</f>
        <v>3.578611549528243E-3</v>
      </c>
      <c r="S39">
        <f>$E39*'Nutrient Content_TFP'!$H41</f>
        <v>0</v>
      </c>
      <c r="T39">
        <f>$E39*'Nutrient Content_TFP'!$I41</f>
        <v>0</v>
      </c>
      <c r="U39">
        <f>$E39*'Nutrient Content_TFP'!$J41</f>
        <v>0.31190680766518364</v>
      </c>
      <c r="V39">
        <f>$E39*'Nutrient Content_TFP'!$K41</f>
        <v>0.10041007974762872</v>
      </c>
      <c r="W39">
        <f>$E39*'Nutrient Content_TFP'!$L41</f>
        <v>0.8995112737592742</v>
      </c>
      <c r="X39">
        <f>$E39*'Nutrient Content_TFP'!$M41</f>
        <v>0.31908154984737347</v>
      </c>
      <c r="Y39">
        <f>$E39*'Nutrient Content_TFP'!$N41</f>
        <v>10.266248766461914</v>
      </c>
      <c r="Z39">
        <f>$E39*'Nutrient Content_TFP'!$O41</f>
        <v>15.172804960962097</v>
      </c>
      <c r="AA39">
        <f>$E39*'Nutrient Content_TFP'!$P41</f>
        <v>1.1840365575399118E-2</v>
      </c>
      <c r="AB39">
        <f>$E39*'Nutrient Content_TFP'!$Q41</f>
        <v>5.262073116935424</v>
      </c>
      <c r="AC39">
        <f>$E39*'Nutrient Content_TFP'!$R41</f>
        <v>7.1311454055605914E-3</v>
      </c>
      <c r="AD39">
        <f>$E39*'Nutrient Content_TFP'!$S41</f>
        <v>7.0306827839885566E-2</v>
      </c>
      <c r="AE39">
        <f>$E39*'Nutrient Content_TFP'!$T41</f>
        <v>2.4571143710538618E-2</v>
      </c>
      <c r="AF39">
        <f>$E39*'Nutrient Content_TFP'!$U41</f>
        <v>2.4073627051463542E-3</v>
      </c>
      <c r="AG39">
        <f>$E39*'Nutrient Content_TFP'!$W41</f>
        <v>1.3236820674775454E-2</v>
      </c>
      <c r="AH39">
        <f>$E39*'Nutrient Content_TFP'!$X41</f>
        <v>5.9656447787180746E-2</v>
      </c>
      <c r="AI39">
        <f>$E39*'Nutrient Content_TFP'!$V41</f>
        <v>0.10348450856306025</v>
      </c>
      <c r="AJ39">
        <f>$E39*'Nutrient Content_TFP'!$Y41</f>
        <v>0.20600776800821946</v>
      </c>
      <c r="AK39">
        <f>$E39*'Nutrient Content_TFP'!$AF41</f>
        <v>1.1555340816046517E-4</v>
      </c>
      <c r="AL39">
        <f>$E39*'Nutrient Content_TFP'!$AI41</f>
        <v>0</v>
      </c>
      <c r="AM39">
        <f>$E39*'Nutrient Content_TFP'!$AO41</f>
        <v>0</v>
      </c>
      <c r="AN39">
        <f>$E39*'Nutrient Content_TFP'!$AP41</f>
        <v>0</v>
      </c>
      <c r="AO39">
        <f>$E39*'Nutrient Content_TFP'!$AQ41</f>
        <v>0.15292416434108491</v>
      </c>
      <c r="AP39">
        <f>$E39*'Nutrient Content_TFP'!$AZ41</f>
        <v>0</v>
      </c>
      <c r="AQ39">
        <f>$E39*'Nutrient Content_TFP'!$BA41</f>
        <v>0</v>
      </c>
      <c r="AR39">
        <f>$E39*'Nutrient Content_TFP'!$AG41</f>
        <v>0</v>
      </c>
      <c r="AS39">
        <f>$E39*'Nutrient Content_TFP'!$AJ41</f>
        <v>0</v>
      </c>
      <c r="AT39">
        <f>$E39*'Nutrient Content_TFP'!$AK41</f>
        <v>0</v>
      </c>
      <c r="AU39">
        <f>$E39*'Nutrient Content_TFP'!$AL41</f>
        <v>0</v>
      </c>
      <c r="AV39">
        <f>$E39*'Nutrient Content_TFP'!$AM41</f>
        <v>0</v>
      </c>
      <c r="AW39">
        <f>$E39*'Nutrient Content_TFP'!AN41</f>
        <v>0</v>
      </c>
      <c r="AX39">
        <f>$E39*'Nutrient Content_TFP'!AH41</f>
        <v>1.1555341694463096E-4</v>
      </c>
      <c r="AY39">
        <f>$E39*'Nutrient Content_TFP'!$AR41</f>
        <v>0.15236259884199857</v>
      </c>
      <c r="AZ39">
        <f>$E39*'Nutrient Content_TFP'!$AS41</f>
        <v>0</v>
      </c>
      <c r="BA39">
        <f>$E39*'Nutrient Content_TFP'!$AT41</f>
        <v>1.1555341694463096E-4</v>
      </c>
      <c r="BB39">
        <f>$E39*'Nutrient Content_TFP'!$AU41</f>
        <v>0</v>
      </c>
      <c r="BC39">
        <f>$E39*'Nutrient Content_TFP'!$AV41</f>
        <v>0</v>
      </c>
      <c r="BD39">
        <f>$E39*'Nutrient Content_TFP'!$AW41</f>
        <v>0.15292416432351658</v>
      </c>
      <c r="BE39">
        <f>$E39*'Nutrient Content_TFP'!$AX41</f>
        <v>0</v>
      </c>
      <c r="BF39">
        <f>$E39*'Nutrient Content_TFP'!$AY41</f>
        <v>0</v>
      </c>
    </row>
    <row r="40" spans="1:58" ht="14.5" x14ac:dyDescent="0.35">
      <c r="A40" s="4">
        <v>37</v>
      </c>
      <c r="B40" t="s">
        <v>113</v>
      </c>
      <c r="C40" s="2">
        <f>'Your Model Diet'!E48</f>
        <v>27.324586868286129</v>
      </c>
      <c r="D40">
        <f>'Nutrient Content_TFP'!$G42</f>
        <v>186.57962671000001</v>
      </c>
      <c r="E40">
        <f t="shared" si="0"/>
        <v>0.14645000287601942</v>
      </c>
      <c r="F40">
        <f t="shared" si="1"/>
        <v>14.645000287601942</v>
      </c>
      <c r="G40">
        <f>Cost_TFP!C42</f>
        <v>1.3816218027339999</v>
      </c>
      <c r="H40" s="1">
        <f t="shared" si="2"/>
        <v>0.20233851698396543</v>
      </c>
      <c r="I40">
        <f>$E40*'Nutrient Content_TFP'!$Z42</f>
        <v>9.7063820761167516</v>
      </c>
      <c r="J40">
        <f>$E40*'Nutrient Content_TFP'!$AA42</f>
        <v>1.2370316716093575</v>
      </c>
      <c r="K40">
        <f>$E40*'Nutrient Content_TFP'!$AB42</f>
        <v>16.023853613136186</v>
      </c>
      <c r="L40">
        <f>$E40*'Nutrient Content_TFP'!$AC42</f>
        <v>2.0393907964875337</v>
      </c>
      <c r="M40">
        <f>$E40*'Nutrient Content_TFP'!$AD42</f>
        <v>0.12073693451581016</v>
      </c>
      <c r="N40">
        <f>$E40*'Nutrient Content_TFP'!$AE42</f>
        <v>5.4095850692987471</v>
      </c>
      <c r="O40">
        <f>$E40*'Nutrient Content_TFP'!$C42</f>
        <v>2.6477231925915579</v>
      </c>
      <c r="P40">
        <f>$E40*'Nutrient Content_TFP'!$D42</f>
        <v>8.4483996350076485</v>
      </c>
      <c r="Q40">
        <f>$E40*'Nutrient Content_TFP'!$E42</f>
        <v>8.5542116058911084</v>
      </c>
      <c r="R40">
        <f>$E40*'Nutrient Content_TFP'!$F42</f>
        <v>9.1610224375763029E-3</v>
      </c>
      <c r="S40">
        <f>$E40*'Nutrient Content_TFP'!$H42</f>
        <v>3.0137185430541098E-3</v>
      </c>
      <c r="T40">
        <f>$E40*'Nutrient Content_TFP'!$I42</f>
        <v>1.4997230411419118E-3</v>
      </c>
      <c r="U40">
        <f>$E40*'Nutrient Content_TFP'!$J42</f>
        <v>0.44065917763286805</v>
      </c>
      <c r="V40">
        <f>$E40*'Nutrient Content_TFP'!$K42</f>
        <v>0.12767935714097209</v>
      </c>
      <c r="W40">
        <f>$E40*'Nutrient Content_TFP'!$L42</f>
        <v>2.6947350778460879</v>
      </c>
      <c r="X40">
        <f>$E40*'Nutrient Content_TFP'!$M42</f>
        <v>0.81023949848243282</v>
      </c>
      <c r="Y40">
        <f>$E40*'Nutrient Content_TFP'!$N42</f>
        <v>32.677609191642532</v>
      </c>
      <c r="Z40">
        <f>$E40*'Nutrient Content_TFP'!$O42</f>
        <v>55.648326636115364</v>
      </c>
      <c r="AA40">
        <f>$E40*'Nutrient Content_TFP'!$P42</f>
        <v>2.9580109888281119E-2</v>
      </c>
      <c r="AB40">
        <f>$E40*'Nutrient Content_TFP'!$Q42</f>
        <v>148.53482469676163</v>
      </c>
      <c r="AC40">
        <f>$E40*'Nutrient Content_TFP'!$R42</f>
        <v>3.5609103884369914E-2</v>
      </c>
      <c r="AD40">
        <f>$E40*'Nutrient Content_TFP'!$S42</f>
        <v>9.7630850643392483E-2</v>
      </c>
      <c r="AE40">
        <f>$E40*'Nutrient Content_TFP'!$T42</f>
        <v>4.9476134560928912E-2</v>
      </c>
      <c r="AF40">
        <f>$E40*'Nutrient Content_TFP'!$U42</f>
        <v>0.10861470669851102</v>
      </c>
      <c r="AG40">
        <f>$E40*'Nutrient Content_TFP'!$W42</f>
        <v>5.2850232950785239E-2</v>
      </c>
      <c r="AH40">
        <f>$E40*'Nutrient Content_TFP'!$X42</f>
        <v>7.462966331364479E-2</v>
      </c>
      <c r="AI40">
        <f>$E40*'Nutrient Content_TFP'!$V42</f>
        <v>1.3499967580067822</v>
      </c>
      <c r="AJ40">
        <f>$E40*'Nutrient Content_TFP'!$Y42</f>
        <v>0.25759692973954879</v>
      </c>
      <c r="AK40">
        <f>$E40*'Nutrient Content_TFP'!$AF42</f>
        <v>2.1925347727075106E-4</v>
      </c>
      <c r="AL40">
        <f>$E40*'Nutrient Content_TFP'!$AI42</f>
        <v>8.1747659355379657E-6</v>
      </c>
      <c r="AM40">
        <f>$E40*'Nutrient Content_TFP'!$AO42</f>
        <v>0</v>
      </c>
      <c r="AN40">
        <f>$E40*'Nutrient Content_TFP'!$AP42</f>
        <v>7.7910757150029689E-5</v>
      </c>
      <c r="AO40">
        <f>$E40*'Nutrient Content_TFP'!$AQ42</f>
        <v>0.48005312473000561</v>
      </c>
      <c r="AP40">
        <f>$E40*'Nutrient Content_TFP'!$AZ42</f>
        <v>1.5771058518895736E-2</v>
      </c>
      <c r="AQ40">
        <f>$E40*'Nutrient Content_TFP'!$BA42</f>
        <v>0.22487022555107411</v>
      </c>
      <c r="AR40">
        <f>$E40*'Nutrient Content_TFP'!$AG42</f>
        <v>0</v>
      </c>
      <c r="AS40">
        <f>$E40*'Nutrient Content_TFP'!$AJ42</f>
        <v>0</v>
      </c>
      <c r="AT40">
        <f>$E40*'Nutrient Content_TFP'!$AK42</f>
        <v>8.0602164045384156E-7</v>
      </c>
      <c r="AU40">
        <f>$E40*'Nutrient Content_TFP'!$AL42</f>
        <v>0</v>
      </c>
      <c r="AV40">
        <f>$E40*'Nutrient Content_TFP'!$AM42</f>
        <v>0</v>
      </c>
      <c r="AW40">
        <f>$E40*'Nutrient Content_TFP'!AN42</f>
        <v>7.3687490547092179E-6</v>
      </c>
      <c r="AX40">
        <f>$E40*'Nutrient Content_TFP'!AH42</f>
        <v>2.1925352120575196E-4</v>
      </c>
      <c r="AY40">
        <f>$E40*'Nutrient Content_TFP'!$AR42</f>
        <v>0</v>
      </c>
      <c r="AZ40">
        <f>$E40*'Nutrient Content_TFP'!$AS42</f>
        <v>1.970279758692815E-4</v>
      </c>
      <c r="BA40">
        <f>$E40*'Nutrient Content_TFP'!$AT42</f>
        <v>1.5159625597708274E-5</v>
      </c>
      <c r="BB40">
        <f>$E40*'Nutrient Content_TFP'!$AU42</f>
        <v>1.5961043948446715E-4</v>
      </c>
      <c r="BC40">
        <f>$E40*'Nutrient Content_TFP'!$AV42</f>
        <v>0</v>
      </c>
      <c r="BD40">
        <f>$E40*'Nutrient Content_TFP'!$AW42</f>
        <v>0.47989351431981109</v>
      </c>
      <c r="BE40">
        <f>$E40*'Nutrient Content_TFP'!$AX42</f>
        <v>0</v>
      </c>
      <c r="BF40">
        <f>$E40*'Nutrient Content_TFP'!$AY42</f>
        <v>1.5961043948446715E-4</v>
      </c>
    </row>
    <row r="41" spans="1:58" ht="14.5" x14ac:dyDescent="0.35">
      <c r="A41" s="4">
        <v>38</v>
      </c>
      <c r="B41" t="s">
        <v>115</v>
      </c>
      <c r="C41" s="2">
        <f>'Your Model Diet'!E49</f>
        <v>0.54776740074157715</v>
      </c>
      <c r="D41">
        <f>'Nutrient Content_TFP'!$G43</f>
        <v>118.80649217</v>
      </c>
      <c r="E41">
        <f t="shared" si="0"/>
        <v>4.6105847478248724E-3</v>
      </c>
      <c r="F41">
        <f t="shared" si="1"/>
        <v>0.46105847478248724</v>
      </c>
      <c r="G41">
        <f>Cost_TFP!C43</f>
        <v>0.33333417125379999</v>
      </c>
      <c r="H41" s="1">
        <f t="shared" si="2"/>
        <v>1.5368654459116142E-3</v>
      </c>
      <c r="I41">
        <f>$E41*'Nutrient Content_TFP'!$Z43</f>
        <v>0.12561688236580512</v>
      </c>
      <c r="J41">
        <f>$E41*'Nutrient Content_TFP'!$AA43</f>
        <v>0.34620949908929805</v>
      </c>
      <c r="K41">
        <f>$E41*'Nutrient Content_TFP'!$AB43</f>
        <v>9.4911867666360436E-2</v>
      </c>
      <c r="L41">
        <f>$E41*'Nutrient Content_TFP'!$AC43</f>
        <v>2.7139017965274122E-2</v>
      </c>
      <c r="M41">
        <f>$E41*'Nutrient Content_TFP'!$AD43</f>
        <v>6.5045679168183445E-3</v>
      </c>
      <c r="N41">
        <f>$E41*'Nutrient Content_TFP'!$AE43</f>
        <v>1.7382984431493609E-2</v>
      </c>
      <c r="O41">
        <f>$E41*'Nutrient Content_TFP'!$C43</f>
        <v>0.18201525528342108</v>
      </c>
      <c r="P41">
        <f>$E41*'Nutrient Content_TFP'!$D43</f>
        <v>0.12738743522011012</v>
      </c>
      <c r="Q41">
        <f>$E41*'Nutrient Content_TFP'!$E43</f>
        <v>7.4037803652052198E-3</v>
      </c>
      <c r="R41">
        <f>$E41*'Nutrient Content_TFP'!$F43</f>
        <v>8.9131243134637117E-4</v>
      </c>
      <c r="S41">
        <f>$E41*'Nutrient Content_TFP'!$H43</f>
        <v>2.8505620039219984E-2</v>
      </c>
      <c r="T41">
        <f>$E41*'Nutrient Content_TFP'!$I43</f>
        <v>0</v>
      </c>
      <c r="U41">
        <f>$E41*'Nutrient Content_TFP'!$J43</f>
        <v>0.46074318331023412</v>
      </c>
      <c r="V41">
        <f>$E41*'Nutrient Content_TFP'!$K43</f>
        <v>8.9988189109165978E-3</v>
      </c>
      <c r="W41">
        <f>$E41*'Nutrient Content_TFP'!$L43</f>
        <v>0.18296275403224008</v>
      </c>
      <c r="X41">
        <f>$E41*'Nutrient Content_TFP'!$M43</f>
        <v>2.8327695904308684E-3</v>
      </c>
      <c r="Y41">
        <f>$E41*'Nutrient Content_TFP'!$N43</f>
        <v>0.49738862081661928</v>
      </c>
      <c r="Z41">
        <f>$E41*'Nutrient Content_TFP'!$O43</f>
        <v>1.8077070746333266</v>
      </c>
      <c r="AA41">
        <f>$E41*'Nutrient Content_TFP'!$P43</f>
        <v>2.8508975617727806E-4</v>
      </c>
      <c r="AB41">
        <f>$E41*'Nutrient Content_TFP'!$Q43</f>
        <v>0.99826716571084262</v>
      </c>
      <c r="AC41">
        <f>$E41*'Nutrient Content_TFP'!$R43</f>
        <v>6.3412808167330481E-4</v>
      </c>
      <c r="AD41">
        <f>$E41*'Nutrient Content_TFP'!$S43</f>
        <v>2.2674077384779746E-4</v>
      </c>
      <c r="AE41">
        <f>$E41*'Nutrient Content_TFP'!$T43</f>
        <v>7.1458771147159337E-4</v>
      </c>
      <c r="AF41">
        <f>$E41*'Nutrient Content_TFP'!$U43</f>
        <v>1.1111942779230248E-2</v>
      </c>
      <c r="AG41">
        <f>$E41*'Nutrient Content_TFP'!$W43</f>
        <v>5.6360279307427815E-3</v>
      </c>
      <c r="AH41">
        <f>$E41*'Nutrient Content_TFP'!$X43</f>
        <v>2.2868320596343805E-2</v>
      </c>
      <c r="AI41">
        <f>$E41*'Nutrient Content_TFP'!$V43</f>
        <v>2.9497675597995047E-2</v>
      </c>
      <c r="AJ41">
        <f>$E41*'Nutrient Content_TFP'!$Y43</f>
        <v>3.8877002282398493E-3</v>
      </c>
      <c r="AK41">
        <f>$E41*'Nutrient Content_TFP'!$AF43</f>
        <v>0</v>
      </c>
      <c r="AL41">
        <f>$E41*'Nutrient Content_TFP'!$AI43</f>
        <v>2.296929698985299E-3</v>
      </c>
      <c r="AM41">
        <f>$E41*'Nutrient Content_TFP'!$AO43</f>
        <v>0</v>
      </c>
      <c r="AN41">
        <f>$E41*'Nutrient Content_TFP'!$AP43</f>
        <v>0</v>
      </c>
      <c r="AO41">
        <f>$E41*'Nutrient Content_TFP'!$AQ43</f>
        <v>2.6838703830035581E-4</v>
      </c>
      <c r="AP41">
        <f>$E41*'Nutrient Content_TFP'!$AZ43</f>
        <v>7.0236686584684302E-3</v>
      </c>
      <c r="AQ41">
        <f>$E41*'Nutrient Content_TFP'!$BA43</f>
        <v>0</v>
      </c>
      <c r="AR41">
        <f>$E41*'Nutrient Content_TFP'!$AG43</f>
        <v>0</v>
      </c>
      <c r="AS41">
        <f>$E41*'Nutrient Content_TFP'!$AJ43</f>
        <v>0</v>
      </c>
      <c r="AT41">
        <f>$E41*'Nutrient Content_TFP'!$AK43</f>
        <v>5.3922030164072778E-4</v>
      </c>
      <c r="AU41">
        <f>$E41*'Nutrient Content_TFP'!$AL43</f>
        <v>1.7577093973445714E-3</v>
      </c>
      <c r="AV41">
        <f>$E41*'Nutrient Content_TFP'!$AM43</f>
        <v>0</v>
      </c>
      <c r="AW41">
        <f>$E41*'Nutrient Content_TFP'!AN43</f>
        <v>0</v>
      </c>
      <c r="AX41">
        <f>$E41*'Nutrient Content_TFP'!AH43</f>
        <v>0</v>
      </c>
      <c r="AY41">
        <f>$E41*'Nutrient Content_TFP'!$AR43</f>
        <v>2.6838703922247274E-4</v>
      </c>
      <c r="AZ41">
        <f>$E41*'Nutrient Content_TFP'!$AS43</f>
        <v>0</v>
      </c>
      <c r="BA41">
        <f>$E41*'Nutrient Content_TFP'!$AT43</f>
        <v>0</v>
      </c>
      <c r="BB41">
        <f>$E41*'Nutrient Content_TFP'!$AU43</f>
        <v>0</v>
      </c>
      <c r="BC41">
        <f>$E41*'Nutrient Content_TFP'!$AV43</f>
        <v>0</v>
      </c>
      <c r="BD41">
        <f>$E41*'Nutrient Content_TFP'!$AW43</f>
        <v>2.6838703922247274E-4</v>
      </c>
      <c r="BE41">
        <f>$E41*'Nutrient Content_TFP'!$AX43</f>
        <v>0</v>
      </c>
      <c r="BF41">
        <f>$E41*'Nutrient Content_TFP'!$AY43</f>
        <v>0</v>
      </c>
    </row>
    <row r="42" spans="1:58" ht="14.5" x14ac:dyDescent="0.35">
      <c r="A42" s="4">
        <v>39</v>
      </c>
      <c r="B42" t="s">
        <v>117</v>
      </c>
      <c r="C42" s="2">
        <f>'Your Model Diet'!E50</f>
        <v>0.97191524505615234</v>
      </c>
      <c r="D42">
        <f>'Nutrient Content_TFP'!$G44</f>
        <v>86.287961641999999</v>
      </c>
      <c r="E42">
        <f t="shared" si="0"/>
        <v>1.1263625035998997E-2</v>
      </c>
      <c r="F42">
        <f t="shared" si="1"/>
        <v>1.1263625035998996</v>
      </c>
      <c r="G42">
        <f>Cost_TFP!C44</f>
        <v>0.32252775124560001</v>
      </c>
      <c r="H42" s="1">
        <f t="shared" si="2"/>
        <v>3.6328316537343969E-3</v>
      </c>
      <c r="I42">
        <f>$E42*'Nutrient Content_TFP'!$Z44</f>
        <v>0.21885524240052637</v>
      </c>
      <c r="J42">
        <f>$E42*'Nutrient Content_TFP'!$AA44</f>
        <v>0.77834383728066436</v>
      </c>
      <c r="K42">
        <f>$E42*'Nutrient Content_TFP'!$AB44</f>
        <v>5.7959590261185835E-2</v>
      </c>
      <c r="L42">
        <f>$E42*'Nutrient Content_TFP'!$AC44</f>
        <v>1.0061236003212239E-2</v>
      </c>
      <c r="M42">
        <f>$E42*'Nutrient Content_TFP'!$AD44</f>
        <v>7.2132793469723046E-3</v>
      </c>
      <c r="N42">
        <f>$E42*'Nutrient Content_TFP'!$AE44</f>
        <v>1.5411766519764111E-2</v>
      </c>
      <c r="O42">
        <f>$E42*'Nutrient Content_TFP'!$C44</f>
        <v>0.37748087323058266</v>
      </c>
      <c r="P42">
        <f>$E42*'Nutrient Content_TFP'!$D44</f>
        <v>0.29490852708965948</v>
      </c>
      <c r="Q42">
        <f>$E42*'Nutrient Content_TFP'!$E44</f>
        <v>7.7629642686961936E-3</v>
      </c>
      <c r="R42">
        <f>$E42*'Nutrient Content_TFP'!$F44</f>
        <v>1.6542773600548492E-3</v>
      </c>
      <c r="S42">
        <f>$E42*'Nutrient Content_TFP'!$H44</f>
        <v>4.7104912429380995E-2</v>
      </c>
      <c r="T42">
        <f>$E42*'Nutrient Content_TFP'!$I44</f>
        <v>0</v>
      </c>
      <c r="U42">
        <f>$E42*'Nutrient Content_TFP'!$J44</f>
        <v>0.30977907157069506</v>
      </c>
      <c r="V42">
        <f>$E42*'Nutrient Content_TFP'!$K44</f>
        <v>1.4922138967394267E-2</v>
      </c>
      <c r="W42">
        <f>$E42*'Nutrient Content_TFP'!$L44</f>
        <v>0.33948235612394007</v>
      </c>
      <c r="X42">
        <f>$E42*'Nutrient Content_TFP'!$M44</f>
        <v>4.7759463796350661E-3</v>
      </c>
      <c r="Y42">
        <f>$E42*'Nutrient Content_TFP'!$N44</f>
        <v>0.97109343012455585</v>
      </c>
      <c r="Z42">
        <f>$E42*'Nutrient Content_TFP'!$O44</f>
        <v>3.0074747710888974</v>
      </c>
      <c r="AA42">
        <f>$E42*'Nutrient Content_TFP'!$P44</f>
        <v>3.4599668714606926E-4</v>
      </c>
      <c r="AB42">
        <f>$E42*'Nutrient Content_TFP'!$Q44</f>
        <v>4.3359490510675807</v>
      </c>
      <c r="AC42">
        <f>$E42*'Nutrient Content_TFP'!$R44</f>
        <v>8.8906580381608994E-4</v>
      </c>
      <c r="AD42">
        <f>$E42*'Nutrient Content_TFP'!$S44</f>
        <v>1.1440157916371954E-4</v>
      </c>
      <c r="AE42">
        <f>$E42*'Nutrient Content_TFP'!$T44</f>
        <v>1.0493512001815935E-3</v>
      </c>
      <c r="AF42">
        <f>$E42*'Nutrient Content_TFP'!$U44</f>
        <v>9.0642517938487738E-3</v>
      </c>
      <c r="AG42">
        <f>$E42*'Nutrient Content_TFP'!$W44</f>
        <v>1.6204677388957048E-3</v>
      </c>
      <c r="AH42">
        <f>$E42*'Nutrient Content_TFP'!$X44</f>
        <v>1.6930473093463846E-2</v>
      </c>
      <c r="AI42">
        <f>$E42*'Nutrient Content_TFP'!$V44</f>
        <v>4.454143278067553E-2</v>
      </c>
      <c r="AJ42">
        <f>$E42*'Nutrient Content_TFP'!$Y44</f>
        <v>1.6828338996401109E-2</v>
      </c>
      <c r="AK42">
        <f>$E42*'Nutrient Content_TFP'!$AF44</f>
        <v>0</v>
      </c>
      <c r="AL42">
        <f>$E42*'Nutrient Content_TFP'!$AI44</f>
        <v>5.4770718708359156E-3</v>
      </c>
      <c r="AM42">
        <f>$E42*'Nutrient Content_TFP'!$AO44</f>
        <v>0</v>
      </c>
      <c r="AN42">
        <f>$E42*'Nutrient Content_TFP'!$AP44</f>
        <v>0</v>
      </c>
      <c r="AO42">
        <f>$E42*'Nutrient Content_TFP'!$AQ44</f>
        <v>3.6771935958630829E-4</v>
      </c>
      <c r="AP42">
        <f>$E42*'Nutrient Content_TFP'!$AZ44</f>
        <v>0</v>
      </c>
      <c r="AQ42">
        <f>$E42*'Nutrient Content_TFP'!$BA44</f>
        <v>0.16114350265191146</v>
      </c>
      <c r="AR42">
        <f>$E42*'Nutrient Content_TFP'!$AG44</f>
        <v>0</v>
      </c>
      <c r="AS42">
        <f>$E42*'Nutrient Content_TFP'!$AJ44</f>
        <v>0</v>
      </c>
      <c r="AT42">
        <f>$E42*'Nutrient Content_TFP'!$AK44</f>
        <v>8.0160994927896501E-4</v>
      </c>
      <c r="AU42">
        <f>$E42*'Nutrient Content_TFP'!$AL44</f>
        <v>4.5993549081373977E-3</v>
      </c>
      <c r="AV42">
        <f>$E42*'Nutrient Content_TFP'!$AM44</f>
        <v>0</v>
      </c>
      <c r="AW42">
        <f>$E42*'Nutrient Content_TFP'!AN44</f>
        <v>7.6107013419553563E-5</v>
      </c>
      <c r="AX42">
        <f>$E42*'Nutrient Content_TFP'!AH44</f>
        <v>0</v>
      </c>
      <c r="AY42">
        <f>$E42*'Nutrient Content_TFP'!$AR44</f>
        <v>0</v>
      </c>
      <c r="AZ42">
        <f>$E42*'Nutrient Content_TFP'!$AS44</f>
        <v>0</v>
      </c>
      <c r="BA42">
        <f>$E42*'Nutrient Content_TFP'!$AT44</f>
        <v>0</v>
      </c>
      <c r="BB42">
        <f>$E42*'Nutrient Content_TFP'!$AU44</f>
        <v>0</v>
      </c>
      <c r="BC42">
        <f>$E42*'Nutrient Content_TFP'!$AV44</f>
        <v>0</v>
      </c>
      <c r="BD42">
        <f>$E42*'Nutrient Content_TFP'!$AW44</f>
        <v>3.677193652181208E-4</v>
      </c>
      <c r="BE42">
        <f>$E42*'Nutrient Content_TFP'!$AX44</f>
        <v>0</v>
      </c>
      <c r="BF42">
        <f>$E42*'Nutrient Content_TFP'!$AY44</f>
        <v>0</v>
      </c>
    </row>
    <row r="43" spans="1:58" ht="14.5" x14ac:dyDescent="0.35">
      <c r="A43" s="4">
        <v>40</v>
      </c>
      <c r="B43" t="s">
        <v>119</v>
      </c>
      <c r="C43" s="2">
        <f>'Your Model Diet'!E51</f>
        <v>0.65534800291061401</v>
      </c>
      <c r="D43">
        <f>'Nutrient Content_TFP'!$G45</f>
        <v>144</v>
      </c>
      <c r="E43">
        <f t="shared" si="0"/>
        <v>4.5510277979903752E-3</v>
      </c>
      <c r="F43">
        <f t="shared" si="1"/>
        <v>0.45510277979903752</v>
      </c>
      <c r="G43">
        <f>Cost_TFP!C45</f>
        <v>0.28404112272119997</v>
      </c>
      <c r="H43" s="1">
        <f t="shared" si="2"/>
        <v>1.2926790452765767E-3</v>
      </c>
      <c r="I43">
        <f>$E43*'Nutrient Content_TFP'!$Z45</f>
        <v>0.11140916049480439</v>
      </c>
      <c r="J43">
        <f>$E43*'Nutrient Content_TFP'!$AA45</f>
        <v>0.32403317921691471</v>
      </c>
      <c r="K43">
        <f>$E43*'Nutrient Content_TFP'!$AB45</f>
        <v>0.23387731853872537</v>
      </c>
      <c r="L43">
        <f>$E43*'Nutrient Content_TFP'!$AC45</f>
        <v>7.4422957580536603E-2</v>
      </c>
      <c r="M43">
        <f>$E43*'Nutrient Content_TFP'!$AD45</f>
        <v>1.4909167066216469E-2</v>
      </c>
      <c r="N43">
        <f>$E43*'Nutrient Content_TFP'!$AE45</f>
        <v>4.0590616930276158E-2</v>
      </c>
      <c r="O43">
        <f>$E43*'Nutrient Content_TFP'!$C45</f>
        <v>0.15928597292966312</v>
      </c>
      <c r="P43">
        <f>$E43*'Nutrient Content_TFP'!$D45</f>
        <v>0.11377569494975938</v>
      </c>
      <c r="Q43">
        <f>$E43*'Nutrient Content_TFP'!$E45</f>
        <v>0</v>
      </c>
      <c r="R43">
        <f>$E43*'Nutrient Content_TFP'!$F45</f>
        <v>7.0996033648649854E-4</v>
      </c>
      <c r="S43">
        <f>$E43*'Nutrient Content_TFP'!$H45</f>
        <v>2.4575550109148029E-2</v>
      </c>
      <c r="T43">
        <f>$E43*'Nutrient Content_TFP'!$I45</f>
        <v>0</v>
      </c>
      <c r="U43">
        <f>$E43*'Nutrient Content_TFP'!$J45</f>
        <v>0.31857194585932624</v>
      </c>
      <c r="V43">
        <f>$E43*'Nutrient Content_TFP'!$K45</f>
        <v>7.1906239208247933E-3</v>
      </c>
      <c r="W43">
        <f>$E43*'Nutrient Content_TFP'!$L45</f>
        <v>0.17293905632363427</v>
      </c>
      <c r="X43">
        <f>$E43*'Nutrient Content_TFP'!$M45</f>
        <v>1.4563288953569201E-3</v>
      </c>
      <c r="Y43">
        <f>$E43*'Nutrient Content_TFP'!$N45</f>
        <v>0.48695997438497013</v>
      </c>
      <c r="Z43">
        <f>$E43*'Nutrient Content_TFP'!$O45</f>
        <v>1.5701045903066795</v>
      </c>
      <c r="AA43">
        <f>$E43*'Nutrient Content_TFP'!$P45</f>
        <v>2.9581680686937439E-4</v>
      </c>
      <c r="AB43">
        <f>$E43*'Nutrient Content_TFP'!$Q45</f>
        <v>1.4790840343468719</v>
      </c>
      <c r="AC43">
        <f>$E43*'Nutrient Content_TFP'!$R45</f>
        <v>5.1426614117291243E-4</v>
      </c>
      <c r="AD43">
        <f>$E43*'Nutrient Content_TFP'!$S45</f>
        <v>0</v>
      </c>
      <c r="AE43">
        <f>$E43*'Nutrient Content_TFP'!$T45</f>
        <v>6.9630725309252736E-4</v>
      </c>
      <c r="AF43">
        <f>$E43*'Nutrient Content_TFP'!$U45</f>
        <v>1.7749008412162464E-2</v>
      </c>
      <c r="AG43">
        <f>$E43*'Nutrient Content_TFP'!$W45</f>
        <v>4.1414352961712418E-3</v>
      </c>
      <c r="AH43">
        <f>$E43*'Nutrient Content_TFP'!$X45</f>
        <v>3.4587811264726848E-2</v>
      </c>
      <c r="AI43">
        <f>$E43*'Nutrient Content_TFP'!$V45</f>
        <v>0</v>
      </c>
      <c r="AJ43">
        <f>$E43*'Nutrient Content_TFP'!$Y45</f>
        <v>3.1402091806133586E-3</v>
      </c>
      <c r="AK43">
        <f>$E43*'Nutrient Content_TFP'!$AF45</f>
        <v>0</v>
      </c>
      <c r="AL43">
        <f>$E43*'Nutrient Content_TFP'!$AI45</f>
        <v>2.5485755668746102E-3</v>
      </c>
      <c r="AM43">
        <f>$E43*'Nutrient Content_TFP'!$AO45</f>
        <v>0</v>
      </c>
      <c r="AN43">
        <f>$E43*'Nutrient Content_TFP'!$AP45</f>
        <v>0</v>
      </c>
      <c r="AO43">
        <f>$E43*'Nutrient Content_TFP'!$AQ45</f>
        <v>0</v>
      </c>
      <c r="AP43">
        <f>$E43*'Nutrient Content_TFP'!$AZ45</f>
        <v>1.9887991477217939E-2</v>
      </c>
      <c r="AQ43">
        <f>$E43*'Nutrient Content_TFP'!$BA45</f>
        <v>0</v>
      </c>
      <c r="AR43">
        <f>$E43*'Nutrient Content_TFP'!$AG45</f>
        <v>0</v>
      </c>
      <c r="AS43">
        <f>$E43*'Nutrient Content_TFP'!$AJ45</f>
        <v>0</v>
      </c>
      <c r="AT43">
        <f>$E43*'Nutrient Content_TFP'!$AK45</f>
        <v>0</v>
      </c>
      <c r="AU43">
        <f>$E43*'Nutrient Content_TFP'!$AL45</f>
        <v>2.3665344549549951E-3</v>
      </c>
      <c r="AV43">
        <f>$E43*'Nutrient Content_TFP'!$AM45</f>
        <v>0</v>
      </c>
      <c r="AW43">
        <f>$E43*'Nutrient Content_TFP'!AN45</f>
        <v>1.8204111191961502E-4</v>
      </c>
      <c r="AX43">
        <f>$E43*'Nutrient Content_TFP'!AH45</f>
        <v>0</v>
      </c>
      <c r="AY43">
        <f>$E43*'Nutrient Content_TFP'!$AR45</f>
        <v>0</v>
      </c>
      <c r="AZ43">
        <f>$E43*'Nutrient Content_TFP'!$AS45</f>
        <v>0</v>
      </c>
      <c r="BA43">
        <f>$E43*'Nutrient Content_TFP'!$AT45</f>
        <v>0</v>
      </c>
      <c r="BB43">
        <f>$E43*'Nutrient Content_TFP'!$AU45</f>
        <v>0</v>
      </c>
      <c r="BC43">
        <f>$E43*'Nutrient Content_TFP'!$AV45</f>
        <v>0</v>
      </c>
      <c r="BD43">
        <f>$E43*'Nutrient Content_TFP'!$AW45</f>
        <v>0</v>
      </c>
      <c r="BE43">
        <f>$E43*'Nutrient Content_TFP'!$AX45</f>
        <v>0</v>
      </c>
      <c r="BF43">
        <f>$E43*'Nutrient Content_TFP'!$AY45</f>
        <v>0</v>
      </c>
    </row>
    <row r="44" spans="1:58" ht="14.5" x14ac:dyDescent="0.35">
      <c r="A44" s="4">
        <v>41</v>
      </c>
      <c r="B44" t="s">
        <v>120</v>
      </c>
      <c r="C44" s="2">
        <f>'Your Model Diet'!E52</f>
        <v>0.70358014106750488</v>
      </c>
      <c r="D44">
        <f>'Nutrient Content_TFP'!$G46</f>
        <v>105</v>
      </c>
      <c r="E44">
        <f t="shared" si="0"/>
        <v>6.7007632482619511E-3</v>
      </c>
      <c r="F44">
        <f t="shared" si="1"/>
        <v>0.67007632482619517</v>
      </c>
      <c r="G44">
        <f>Cost_TFP!C46</f>
        <v>0.2567613379814</v>
      </c>
      <c r="H44" s="1">
        <f t="shared" si="2"/>
        <v>1.7204969371203305E-3</v>
      </c>
      <c r="I44">
        <f>$E44*'Nutrient Content_TFP'!$Z46</f>
        <v>0.12114979952857606</v>
      </c>
      <c r="J44">
        <f>$E44*'Nutrient Content_TFP'!$AA46</f>
        <v>0.57814185306004118</v>
      </c>
      <c r="K44">
        <f>$E44*'Nutrient Content_TFP'!$AB46</f>
        <v>5.3673113618578225E-2</v>
      </c>
      <c r="L44">
        <f>$E44*'Nutrient Content_TFP'!$AC46</f>
        <v>1.3448431839261737E-2</v>
      </c>
      <c r="M44">
        <f>$E44*'Nutrient Content_TFP'!$AD46</f>
        <v>1.0855236462184359E-2</v>
      </c>
      <c r="N44">
        <f>$E44*'Nutrient Content_TFP'!$AE46</f>
        <v>1.3930886793136598E-2</v>
      </c>
      <c r="O44">
        <f>$E44*'Nutrient Content_TFP'!$C46</f>
        <v>0.26132976668221608</v>
      </c>
      <c r="P44">
        <f>$E44*'Nutrient Content_TFP'!$D46</f>
        <v>0.14942702043624151</v>
      </c>
      <c r="Q44">
        <f>$E44*'Nutrient Content_TFP'!$E46</f>
        <v>4.6905342737833658E-2</v>
      </c>
      <c r="R44">
        <f>$E44*'Nutrient Content_TFP'!$F46</f>
        <v>1.1458305154527938E-3</v>
      </c>
      <c r="S44">
        <f>$E44*'Nutrient Content_TFP'!$H46</f>
        <v>2.9483358292352588E-2</v>
      </c>
      <c r="T44">
        <f>$E44*'Nutrient Content_TFP'!$I46</f>
        <v>0</v>
      </c>
      <c r="U44">
        <f>$E44*'Nutrient Content_TFP'!$J46</f>
        <v>5.3606105986095609E-2</v>
      </c>
      <c r="V44">
        <f>$E44*'Nutrient Content_TFP'!$K46</f>
        <v>9.3810685475667309E-3</v>
      </c>
      <c r="W44">
        <f>$E44*'Nutrient Content_TFP'!$L46</f>
        <v>0.20102289744785853</v>
      </c>
      <c r="X44">
        <f>$E44*'Nutrient Content_TFP'!$M46</f>
        <v>2.0370320274716333E-3</v>
      </c>
      <c r="Y44">
        <f>$E44*'Nutrient Content_TFP'!$N46</f>
        <v>0.5896671658470517</v>
      </c>
      <c r="Z44">
        <f>$E44*'Nutrient Content_TFP'!$O46</f>
        <v>1.5478763103485107</v>
      </c>
      <c r="AA44">
        <f>$E44*'Nutrient Content_TFP'!$P46</f>
        <v>1.0051144872392926E-4</v>
      </c>
      <c r="AB44">
        <f>$E44*'Nutrient Content_TFP'!$Q46</f>
        <v>2.6199984300704231</v>
      </c>
      <c r="AC44">
        <f>$E44*'Nutrient Content_TFP'!$R46</f>
        <v>2.2112518719264441E-4</v>
      </c>
      <c r="AD44">
        <f>$E44*'Nutrient Content_TFP'!$S46</f>
        <v>0</v>
      </c>
      <c r="AE44">
        <f>$E44*'Nutrient Content_TFP'!$T46</f>
        <v>3.3503816241309758E-4</v>
      </c>
      <c r="AF44">
        <f>$E44*'Nutrient Content_TFP'!$U46</f>
        <v>0</v>
      </c>
      <c r="AG44">
        <f>$E44*'Nutrient Content_TFP'!$W46</f>
        <v>2.6803052993047807E-4</v>
      </c>
      <c r="AH44">
        <f>$E44*'Nutrient Content_TFP'!$X46</f>
        <v>2.6803052993047806E-3</v>
      </c>
      <c r="AI44">
        <f>$E44*'Nutrient Content_TFP'!$V46</f>
        <v>6.7007632482619511E-3</v>
      </c>
      <c r="AJ44">
        <f>$E44*'Nutrient Content_TFP'!$Y46</f>
        <v>3.4173892566135952E-3</v>
      </c>
      <c r="AK44">
        <f>$E44*'Nutrient Content_TFP'!$AF46</f>
        <v>0</v>
      </c>
      <c r="AL44">
        <f>$E44*'Nutrient Content_TFP'!$AI46</f>
        <v>2.6803052993047806E-3</v>
      </c>
      <c r="AM44">
        <f>$E44*'Nutrient Content_TFP'!$AO46</f>
        <v>0</v>
      </c>
      <c r="AN44">
        <f>$E44*'Nutrient Content_TFP'!$AP46</f>
        <v>0</v>
      </c>
      <c r="AO44">
        <f>$E44*'Nutrient Content_TFP'!$AQ46</f>
        <v>1.1391297522045317E-3</v>
      </c>
      <c r="AP44">
        <f>$E44*'Nutrient Content_TFP'!$AZ46</f>
        <v>0</v>
      </c>
      <c r="AQ44">
        <f>$E44*'Nutrient Content_TFP'!$BA46</f>
        <v>0.17899078788757325</v>
      </c>
      <c r="AR44">
        <f>$E44*'Nutrient Content_TFP'!$AG46</f>
        <v>0</v>
      </c>
      <c r="AS44">
        <f>$E44*'Nutrient Content_TFP'!$AJ46</f>
        <v>0</v>
      </c>
      <c r="AT44">
        <f>$E44*'Nutrient Content_TFP'!$AK46</f>
        <v>4.6905342737833664E-4</v>
      </c>
      <c r="AU44">
        <f>$E44*'Nutrient Content_TFP'!$AL46</f>
        <v>2.2112518719264438E-3</v>
      </c>
      <c r="AV44">
        <f>$E44*'Nutrient Content_TFP'!$AM46</f>
        <v>0</v>
      </c>
      <c r="AW44">
        <f>$E44*'Nutrient Content_TFP'!AN46</f>
        <v>0</v>
      </c>
      <c r="AX44">
        <f>$E44*'Nutrient Content_TFP'!AH46</f>
        <v>0</v>
      </c>
      <c r="AY44">
        <f>$E44*'Nutrient Content_TFP'!$AR46</f>
        <v>0</v>
      </c>
      <c r="AZ44">
        <f>$E44*'Nutrient Content_TFP'!$AS46</f>
        <v>0</v>
      </c>
      <c r="BA44">
        <f>$E44*'Nutrient Content_TFP'!$AT46</f>
        <v>0</v>
      </c>
      <c r="BB44">
        <f>$E44*'Nutrient Content_TFP'!$AU46</f>
        <v>0</v>
      </c>
      <c r="BC44">
        <f>$E44*'Nutrient Content_TFP'!$AV46</f>
        <v>0</v>
      </c>
      <c r="BD44">
        <f>$E44*'Nutrient Content_TFP'!$AW46</f>
        <v>1.1391297522045317E-3</v>
      </c>
      <c r="BE44">
        <f>$E44*'Nutrient Content_TFP'!$AX46</f>
        <v>0</v>
      </c>
      <c r="BF44">
        <f>$E44*'Nutrient Content_TFP'!$AY46</f>
        <v>0</v>
      </c>
    </row>
    <row r="45" spans="1:58" ht="14.5" x14ac:dyDescent="0.35">
      <c r="A45" s="4">
        <v>42</v>
      </c>
      <c r="B45" t="s">
        <v>121</v>
      </c>
      <c r="C45" s="2">
        <f>'Your Model Diet'!E53</f>
        <v>5.9619231224060059</v>
      </c>
      <c r="D45">
        <f>'Nutrient Content_TFP'!$G47</f>
        <v>175.32363633</v>
      </c>
      <c r="E45">
        <f t="shared" si="0"/>
        <v>3.4005244513547937E-2</v>
      </c>
      <c r="F45">
        <f t="shared" si="1"/>
        <v>3.4005244513547939</v>
      </c>
      <c r="G45">
        <f>Cost_TFP!C47</f>
        <v>0.40105074390619999</v>
      </c>
      <c r="H45" s="1">
        <f t="shared" si="2"/>
        <v>1.3637828608870627E-2</v>
      </c>
      <c r="I45">
        <f>$E45*'Nutrient Content_TFP'!$Z47</f>
        <v>1.4511959092500097</v>
      </c>
      <c r="J45">
        <f>$E45*'Nutrient Content_TFP'!$AA47</f>
        <v>0.39128724032820233</v>
      </c>
      <c r="K45">
        <f>$E45*'Nutrient Content_TFP'!$AB47</f>
        <v>4.0686859921034557</v>
      </c>
      <c r="L45">
        <f>$E45*'Nutrient Content_TFP'!$AC47</f>
        <v>0.75826022350497502</v>
      </c>
      <c r="M45">
        <f>$E45*'Nutrient Content_TFP'!$AD47</f>
        <v>7.3516441833526264E-2</v>
      </c>
      <c r="N45">
        <f>$E45*'Nutrient Content_TFP'!$AE47</f>
        <v>1.389799857899207</v>
      </c>
      <c r="O45">
        <f>$E45*'Nutrient Content_TFP'!$C47</f>
        <v>3.7507579265960223</v>
      </c>
      <c r="P45">
        <f>$E45*'Nutrient Content_TFP'!$D47</f>
        <v>5.6449360527451704</v>
      </c>
      <c r="Q45">
        <f>$E45*'Nutrient Content_TFP'!$E47</f>
        <v>8.3969881192830549</v>
      </c>
      <c r="R45">
        <f>$E45*'Nutrient Content_TFP'!$F47</f>
        <v>2.1988014822963749E-3</v>
      </c>
      <c r="S45">
        <f>$E45*'Nutrient Content_TFP'!$H47</f>
        <v>8.9019494458761079E-3</v>
      </c>
      <c r="T45">
        <f>$E45*'Nutrient Content_TFP'!$I47</f>
        <v>0</v>
      </c>
      <c r="U45">
        <f>$E45*'Nutrient Content_TFP'!$J47</f>
        <v>0.9643814307578028</v>
      </c>
      <c r="V45">
        <f>$E45*'Nutrient Content_TFP'!$K47</f>
        <v>4.0142765361775731E-2</v>
      </c>
      <c r="W45">
        <f>$E45*'Nutrient Content_TFP'!$L47</f>
        <v>0.47944669628014097</v>
      </c>
      <c r="X45">
        <f>$E45*'Nutrient Content_TFP'!$M47</f>
        <v>7.1925953161851861E-3</v>
      </c>
      <c r="Y45">
        <f>$E45*'Nutrient Content_TFP'!$N47</f>
        <v>6.1271798414693937</v>
      </c>
      <c r="Z45">
        <f>$E45*'Nutrient Content_TFP'!$O47</f>
        <v>5.5286671831716898</v>
      </c>
      <c r="AA45">
        <f>$E45*'Nutrient Content_TFP'!$P47</f>
        <v>1.225013353835484E-2</v>
      </c>
      <c r="AB45">
        <f>$E45*'Nutrient Content_TFP'!$Q47</f>
        <v>11.856090868230044</v>
      </c>
      <c r="AC45">
        <f>$E45*'Nutrient Content_TFP'!$R47</f>
        <v>1.3951278856428584E-3</v>
      </c>
      <c r="AD45">
        <f>$E45*'Nutrient Content_TFP'!$S47</f>
        <v>2.1935641723838273E-2</v>
      </c>
      <c r="AE45">
        <f>$E45*'Nutrient Content_TFP'!$T47</f>
        <v>4.650992819650839E-3</v>
      </c>
      <c r="AF45">
        <f>$E45*'Nutrient Content_TFP'!$U47</f>
        <v>0.13759225228348787</v>
      </c>
      <c r="AG45">
        <f>$E45*'Nutrient Content_TFP'!$W47</f>
        <v>4.116910057277498E-2</v>
      </c>
      <c r="AH45">
        <f>$E45*'Nutrient Content_TFP'!$X47</f>
        <v>0.29342979938092423</v>
      </c>
      <c r="AI45">
        <f>$E45*'Nutrient Content_TFP'!$V47</f>
        <v>4.9434297251631083</v>
      </c>
      <c r="AJ45">
        <f>$E45*'Nutrient Content_TFP'!$Y47</f>
        <v>4.0505697878627088E-2</v>
      </c>
      <c r="AK45">
        <f>$E45*'Nutrient Content_TFP'!$AF47</f>
        <v>0</v>
      </c>
      <c r="AL45">
        <f>$E45*'Nutrient Content_TFP'!$AI47</f>
        <v>4.491033496066792E-3</v>
      </c>
      <c r="AM45">
        <f>$E45*'Nutrient Content_TFP'!$AO47</f>
        <v>0</v>
      </c>
      <c r="AN45">
        <f>$E45*'Nutrient Content_TFP'!$AP47</f>
        <v>8.1120155016425905E-3</v>
      </c>
      <c r="AO45">
        <f>$E45*'Nutrient Content_TFP'!$AQ47</f>
        <v>4.4732635294851053E-2</v>
      </c>
      <c r="AP45">
        <f>$E45*'Nutrient Content_TFP'!$AZ47</f>
        <v>0.12375740561260044</v>
      </c>
      <c r="AQ45">
        <f>$E45*'Nutrient Content_TFP'!$BA47</f>
        <v>0</v>
      </c>
      <c r="AR45">
        <f>$E45*'Nutrient Content_TFP'!$AG47</f>
        <v>0</v>
      </c>
      <c r="AS45">
        <f>$E45*'Nutrient Content_TFP'!$AJ47</f>
        <v>6.8499302515142549E-4</v>
      </c>
      <c r="AT45">
        <f>$E45*'Nutrient Content_TFP'!$AK47</f>
        <v>1.0280692642363918E-3</v>
      </c>
      <c r="AU45">
        <f>$E45*'Nutrient Content_TFP'!$AL47</f>
        <v>0</v>
      </c>
      <c r="AV45">
        <f>$E45*'Nutrient Content_TFP'!$AM47</f>
        <v>4.7648035034866695E-4</v>
      </c>
      <c r="AW45">
        <f>$E45*'Nutrient Content_TFP'!AN47</f>
        <v>2.3014908563303081E-3</v>
      </c>
      <c r="AX45">
        <f>$E45*'Nutrient Content_TFP'!AH47</f>
        <v>0</v>
      </c>
      <c r="AY45">
        <f>$E45*'Nutrient Content_TFP'!$AR47</f>
        <v>0</v>
      </c>
      <c r="AZ45">
        <f>$E45*'Nutrient Content_TFP'!$AS47</f>
        <v>0</v>
      </c>
      <c r="BA45">
        <f>$E45*'Nutrient Content_TFP'!$AT47</f>
        <v>4.4540996076784307E-2</v>
      </c>
      <c r="BB45">
        <f>$E45*'Nutrient Content_TFP'!$AU47</f>
        <v>0</v>
      </c>
      <c r="BC45">
        <f>$E45*'Nutrient Content_TFP'!$AV47</f>
        <v>0</v>
      </c>
      <c r="BD45">
        <f>$E45*'Nutrient Content_TFP'!$AW47</f>
        <v>4.4732635284649477E-2</v>
      </c>
      <c r="BE45">
        <f>$E45*'Nutrient Content_TFP'!$AX47</f>
        <v>0</v>
      </c>
      <c r="BF45">
        <f>$E45*'Nutrient Content_TFP'!$AY47</f>
        <v>0</v>
      </c>
    </row>
    <row r="46" spans="1:58" ht="14.5" x14ac:dyDescent="0.35">
      <c r="A46" s="4">
        <v>43</v>
      </c>
      <c r="B46" t="s">
        <v>123</v>
      </c>
      <c r="C46" s="2">
        <f>'Your Model Diet'!E54</f>
        <v>4.8597850799560547</v>
      </c>
      <c r="D46">
        <f>'Nutrient Content_TFP'!$G48</f>
        <v>224.62861315000001</v>
      </c>
      <c r="E46">
        <f t="shared" si="0"/>
        <v>2.1634755304796551E-2</v>
      </c>
      <c r="F46">
        <f t="shared" si="1"/>
        <v>2.1634755304796549</v>
      </c>
      <c r="G46">
        <f>Cost_TFP!C48</f>
        <v>0.61002734389379998</v>
      </c>
      <c r="H46" s="1">
        <f t="shared" si="2"/>
        <v>1.3197792314377338E-2</v>
      </c>
      <c r="I46">
        <f>$E46*'Nutrient Content_TFP'!$Z48</f>
        <v>1.2651639676205084</v>
      </c>
      <c r="J46">
        <f>$E46*'Nutrient Content_TFP'!$AA48</f>
        <v>0.1992624813186625</v>
      </c>
      <c r="K46">
        <f>$E46*'Nutrient Content_TFP'!$AB48</f>
        <v>3.3366350877962492</v>
      </c>
      <c r="L46">
        <f>$E46*'Nutrient Content_TFP'!$AC48</f>
        <v>0.6419935697975464</v>
      </c>
      <c r="M46">
        <f>$E46*'Nutrient Content_TFP'!$AD48</f>
        <v>5.5218039202574204E-2</v>
      </c>
      <c r="N46">
        <f>$E46*'Nutrient Content_TFP'!$AE48</f>
        <v>1.013225341028569</v>
      </c>
      <c r="O46">
        <f>$E46*'Nutrient Content_TFP'!$C48</f>
        <v>1.5426296345458992</v>
      </c>
      <c r="P46">
        <f>$E46*'Nutrient Content_TFP'!$D48</f>
        <v>3.5604224641046085</v>
      </c>
      <c r="Q46">
        <f>$E46*'Nutrient Content_TFP'!$E48</f>
        <v>5.070443700105761</v>
      </c>
      <c r="R46">
        <f>$E46*'Nutrient Content_TFP'!$F48</f>
        <v>1.4871411099738009E-3</v>
      </c>
      <c r="S46">
        <f>$E46*'Nutrient Content_TFP'!$H48</f>
        <v>7.5581735714835309E-4</v>
      </c>
      <c r="T46">
        <f>$E46*'Nutrient Content_TFP'!$I48</f>
        <v>0</v>
      </c>
      <c r="U46">
        <f>$E46*'Nutrient Content_TFP'!$J48</f>
        <v>0.46403534070821068</v>
      </c>
      <c r="V46">
        <f>$E46*'Nutrient Content_TFP'!$K48</f>
        <v>2.8501727960588495E-2</v>
      </c>
      <c r="W46">
        <f>$E46*'Nutrient Content_TFP'!$L48</f>
        <v>0.32848925072198243</v>
      </c>
      <c r="X46">
        <f>$E46*'Nutrient Content_TFP'!$M48</f>
        <v>4.2747456874379045E-2</v>
      </c>
      <c r="Y46">
        <f>$E46*'Nutrient Content_TFP'!$N48</f>
        <v>4.2851414445991001</v>
      </c>
      <c r="Z46">
        <f>$E46*'Nutrient Content_TFP'!$O48</f>
        <v>4.8072733745256002</v>
      </c>
      <c r="AA46">
        <f>$E46*'Nutrient Content_TFP'!$P48</f>
        <v>7.497702708280104E-3</v>
      </c>
      <c r="AB46">
        <f>$E46*'Nutrient Content_TFP'!$Q48</f>
        <v>13.066485835494902</v>
      </c>
      <c r="AC46">
        <f>$E46*'Nutrient Content_TFP'!$R48</f>
        <v>3.696476049784062E-3</v>
      </c>
      <c r="AD46">
        <f>$E46*'Nutrient Content_TFP'!$S48</f>
        <v>1.7490555494749389E-2</v>
      </c>
      <c r="AE46">
        <f>$E46*'Nutrient Content_TFP'!$T48</f>
        <v>4.2803746606935745E-3</v>
      </c>
      <c r="AF46">
        <f>$E46*'Nutrient Content_TFP'!$U48</f>
        <v>1.4349513509043418E-2</v>
      </c>
      <c r="AG46">
        <f>$E46*'Nutrient Content_TFP'!$W48</f>
        <v>2.6608792182917194E-2</v>
      </c>
      <c r="AH46">
        <f>$E46*'Nutrient Content_TFP'!$X48</f>
        <v>0.10384079072928298</v>
      </c>
      <c r="AI46">
        <f>$E46*'Nutrient Content_TFP'!$V48</f>
        <v>2.3773737782639563</v>
      </c>
      <c r="AJ46">
        <f>$E46*'Nutrient Content_TFP'!$Y48</f>
        <v>3.5387740533749587E-2</v>
      </c>
      <c r="AK46">
        <f>$E46*'Nutrient Content_TFP'!$AF48</f>
        <v>0</v>
      </c>
      <c r="AL46">
        <f>$E46*'Nutrient Content_TFP'!$AI48</f>
        <v>4.0273538132539442E-4</v>
      </c>
      <c r="AM46">
        <f>$E46*'Nutrient Content_TFP'!$AO48</f>
        <v>0</v>
      </c>
      <c r="AN46">
        <f>$E46*'Nutrient Content_TFP'!$AP48</f>
        <v>2.7124969254403481E-3</v>
      </c>
      <c r="AO46">
        <f>$E46*'Nutrient Content_TFP'!$AQ48</f>
        <v>4.2980330797290099E-2</v>
      </c>
      <c r="AP46">
        <f>$E46*'Nutrient Content_TFP'!$AZ48</f>
        <v>8.2174382583237032E-2</v>
      </c>
      <c r="AQ46">
        <f>$E46*'Nutrient Content_TFP'!$BA48</f>
        <v>0</v>
      </c>
      <c r="AR46">
        <f>$E46*'Nutrient Content_TFP'!$AG48</f>
        <v>0</v>
      </c>
      <c r="AS46">
        <f>$E46*'Nutrient Content_TFP'!$AJ48</f>
        <v>0</v>
      </c>
      <c r="AT46">
        <f>$E46*'Nutrient Content_TFP'!$AK48</f>
        <v>0</v>
      </c>
      <c r="AU46">
        <f>$E46*'Nutrient Content_TFP'!$AL48</f>
        <v>0</v>
      </c>
      <c r="AV46">
        <f>$E46*'Nutrient Content_TFP'!$AM48</f>
        <v>0</v>
      </c>
      <c r="AW46">
        <f>$E46*'Nutrient Content_TFP'!AN48</f>
        <v>4.0273538132539442E-4</v>
      </c>
      <c r="AX46">
        <f>$E46*'Nutrient Content_TFP'!AH48</f>
        <v>0</v>
      </c>
      <c r="AY46">
        <f>$E46*'Nutrient Content_TFP'!$AR48</f>
        <v>0</v>
      </c>
      <c r="AZ46">
        <f>$E46*'Nutrient Content_TFP'!$AS48</f>
        <v>0</v>
      </c>
      <c r="BA46">
        <f>$E46*'Nutrient Content_TFP'!$AT48</f>
        <v>2.3892100122653009E-2</v>
      </c>
      <c r="BB46">
        <f>$E46*'Nutrient Content_TFP'!$AU48</f>
        <v>0</v>
      </c>
      <c r="BC46">
        <f>$E46*'Nutrient Content_TFP'!$AV48</f>
        <v>0</v>
      </c>
      <c r="BD46">
        <f>$E46*'Nutrient Content_TFP'!$AW48</f>
        <v>4.298033079945357E-2</v>
      </c>
      <c r="BE46">
        <f>$E46*'Nutrient Content_TFP'!$AX48</f>
        <v>0</v>
      </c>
      <c r="BF46">
        <f>$E46*'Nutrient Content_TFP'!$AY48</f>
        <v>0</v>
      </c>
    </row>
    <row r="47" spans="1:58" ht="14.5" x14ac:dyDescent="0.35">
      <c r="A47" s="4">
        <v>44</v>
      </c>
      <c r="B47" t="s">
        <v>125</v>
      </c>
      <c r="C47" s="2">
        <f>'Your Model Diet'!E55</f>
        <v>13.07961463928223</v>
      </c>
      <c r="D47">
        <f>'Nutrient Content_TFP'!$G49</f>
        <v>133.70840059</v>
      </c>
      <c r="E47">
        <f t="shared" si="0"/>
        <v>9.7821936255069145E-2</v>
      </c>
      <c r="F47">
        <f t="shared" si="1"/>
        <v>9.7821936255069151</v>
      </c>
      <c r="G47">
        <f>Cost_TFP!C49</f>
        <v>0.23255570943520001</v>
      </c>
      <c r="H47" s="1">
        <f t="shared" si="2"/>
        <v>2.2749049784122517E-2</v>
      </c>
      <c r="I47">
        <f>$E47*'Nutrient Content_TFP'!$Z49</f>
        <v>1.8969697447129037</v>
      </c>
      <c r="J47">
        <f>$E47*'Nutrient Content_TFP'!$AA49</f>
        <v>7.7839908852090405</v>
      </c>
      <c r="K47">
        <f>$E47*'Nutrient Content_TFP'!$AB49</f>
        <v>3.3730083210048276</v>
      </c>
      <c r="L47">
        <f>$E47*'Nutrient Content_TFP'!$AC49</f>
        <v>0.70926552013742306</v>
      </c>
      <c r="M47">
        <f>$E47*'Nutrient Content_TFP'!$AD49</f>
        <v>8.2769603519590854E-2</v>
      </c>
      <c r="N47">
        <f>$E47*'Nutrient Content_TFP'!$AE49</f>
        <v>1.096806061188643</v>
      </c>
      <c r="O47">
        <f>$E47*'Nutrient Content_TFP'!$C49</f>
        <v>2.3955989499113191</v>
      </c>
      <c r="P47">
        <f>$E47*'Nutrient Content_TFP'!$D49</f>
        <v>1.3085245182871548</v>
      </c>
      <c r="Q47">
        <f>$E47*'Nutrient Content_TFP'!$E49</f>
        <v>0.71838477945071932</v>
      </c>
      <c r="R47">
        <f>$E47*'Nutrient Content_TFP'!$F49</f>
        <v>9.1184981901568651E-3</v>
      </c>
      <c r="S47">
        <f>$E47*'Nutrient Content_TFP'!$H49</f>
        <v>0.16508427977598383</v>
      </c>
      <c r="T47">
        <f>$E47*'Nutrient Content_TFP'!$I49</f>
        <v>2.9495169353473538</v>
      </c>
      <c r="U47">
        <f>$E47*'Nutrient Content_TFP'!$J49</f>
        <v>6.1142255412249771</v>
      </c>
      <c r="V47">
        <f>$E47*'Nutrient Content_TFP'!$K49</f>
        <v>0.10395869339775141</v>
      </c>
      <c r="W47">
        <f>$E47*'Nutrient Content_TFP'!$L49</f>
        <v>1.8742420738577001</v>
      </c>
      <c r="X47">
        <f>$E47*'Nutrient Content_TFP'!$M49</f>
        <v>0.20583071736472386</v>
      </c>
      <c r="Y47">
        <f>$E47*'Nutrient Content_TFP'!$N49</f>
        <v>6.7700403157869529</v>
      </c>
      <c r="Z47">
        <f>$E47*'Nutrient Content_TFP'!$O49</f>
        <v>13.660402691947954</v>
      </c>
      <c r="AA47">
        <f>$E47*'Nutrient Content_TFP'!$P49</f>
        <v>1.0533306127733488E-2</v>
      </c>
      <c r="AB47">
        <f>$E47*'Nutrient Content_TFP'!$Q49</f>
        <v>18.617355544698896</v>
      </c>
      <c r="AC47">
        <f>$E47*'Nutrient Content_TFP'!$R49</f>
        <v>1.6437208696365273E-2</v>
      </c>
      <c r="AD47">
        <f>$E47*'Nutrient Content_TFP'!$S49</f>
        <v>1.6551977158124266E-2</v>
      </c>
      <c r="AE47">
        <f>$E47*'Nutrient Content_TFP'!$T49</f>
        <v>1.2077860415452474E-2</v>
      </c>
      <c r="AF47">
        <f>$E47*'Nutrient Content_TFP'!$U49</f>
        <v>0.21923748525282954</v>
      </c>
      <c r="AG47">
        <f>$E47*'Nutrient Content_TFP'!$W49</f>
        <v>8.3763753771392294E-2</v>
      </c>
      <c r="AH47">
        <f>$E47*'Nutrient Content_TFP'!$X49</f>
        <v>0.57478970515015493</v>
      </c>
      <c r="AI47">
        <f>$E47*'Nutrient Content_TFP'!$V49</f>
        <v>2.8112046248210811</v>
      </c>
      <c r="AJ47">
        <f>$E47*'Nutrient Content_TFP'!$Y49</f>
        <v>6.6668634613778824E-2</v>
      </c>
      <c r="AK47">
        <f>$E47*'Nutrient Content_TFP'!$AF49</f>
        <v>7.2875933336123785E-2</v>
      </c>
      <c r="AL47">
        <f>$E47*'Nutrient Content_TFP'!$AI49</f>
        <v>1.3699217698676564E-2</v>
      </c>
      <c r="AM47">
        <f>$E47*'Nutrient Content_TFP'!$AO49</f>
        <v>4.0699941531188454E-5</v>
      </c>
      <c r="AN47">
        <f>$E47*'Nutrient Content_TFP'!$AP49</f>
        <v>2.6815002674838687E-3</v>
      </c>
      <c r="AO47">
        <f>$E47*'Nutrient Content_TFP'!$AQ49</f>
        <v>1.3993667635249271E-2</v>
      </c>
      <c r="AP47">
        <f>$E47*'Nutrient Content_TFP'!$AZ49</f>
        <v>0.12287057022251754</v>
      </c>
      <c r="AQ47">
        <f>$E47*'Nutrient Content_TFP'!$BA49</f>
        <v>0.12690217118296623</v>
      </c>
      <c r="AR47">
        <f>$E47*'Nutrient Content_TFP'!$AG49</f>
        <v>8.8499424439932028E-3</v>
      </c>
      <c r="AS47">
        <f>$E47*'Nutrient Content_TFP'!$AJ49</f>
        <v>1.6910003684022967E-4</v>
      </c>
      <c r="AT47">
        <f>$E47*'Nutrient Content_TFP'!$AK49</f>
        <v>1.0131186315156845E-2</v>
      </c>
      <c r="AU47">
        <f>$E47*'Nutrient Content_TFP'!$AL49</f>
        <v>1.1059592380475599E-3</v>
      </c>
      <c r="AV47">
        <f>$E47*'Nutrient Content_TFP'!$AM49</f>
        <v>3.9941290352097801E-4</v>
      </c>
      <c r="AW47">
        <f>$E47*'Nutrient Content_TFP'!AN49</f>
        <v>1.8935591953287566E-3</v>
      </c>
      <c r="AX47">
        <f>$E47*'Nutrient Content_TFP'!AH49</f>
        <v>6.4025990931259366E-2</v>
      </c>
      <c r="AY47">
        <f>$E47*'Nutrient Content_TFP'!$AR49</f>
        <v>1.2666886811490244E-2</v>
      </c>
      <c r="AZ47">
        <f>$E47*'Nutrient Content_TFP'!$AS49</f>
        <v>7.4169051831693823E-4</v>
      </c>
      <c r="BA47">
        <f>$E47*'Nutrient Content_TFP'!$AT49</f>
        <v>1.0881164386170863E-4</v>
      </c>
      <c r="BB47">
        <f>$E47*'Nutrient Content_TFP'!$AU49</f>
        <v>4.2360840622476017E-4</v>
      </c>
      <c r="BC47">
        <f>$E47*'Nutrient Content_TFP'!$AV49</f>
        <v>0</v>
      </c>
      <c r="BD47">
        <f>$E47*'Nutrient Content_TFP'!$AW49</f>
        <v>1.3570059238806704E-2</v>
      </c>
      <c r="BE47">
        <f>$E47*'Nutrient Content_TFP'!$AX49</f>
        <v>0</v>
      </c>
      <c r="BF47">
        <f>$E47*'Nutrient Content_TFP'!$AY49</f>
        <v>4.2360840622476017E-4</v>
      </c>
    </row>
    <row r="48" spans="1:58" ht="14.5" x14ac:dyDescent="0.35">
      <c r="A48" s="4">
        <v>45</v>
      </c>
      <c r="B48" t="s">
        <v>127</v>
      </c>
      <c r="C48" s="2">
        <f>'Your Model Diet'!E56</f>
        <v>20.965072631835941</v>
      </c>
      <c r="D48">
        <f>'Nutrient Content_TFP'!$G50</f>
        <v>186.66828222999999</v>
      </c>
      <c r="E48">
        <f t="shared" si="0"/>
        <v>0.11231191706154023</v>
      </c>
      <c r="F48">
        <f t="shared" si="1"/>
        <v>11.231191706154023</v>
      </c>
      <c r="G48">
        <f>Cost_TFP!C50</f>
        <v>0.50300915979880001</v>
      </c>
      <c r="H48" s="1">
        <f t="shared" si="2"/>
        <v>5.649392303651786E-2</v>
      </c>
      <c r="I48">
        <f>$E48*'Nutrient Content_TFP'!$Z50</f>
        <v>3.6316085140163272</v>
      </c>
      <c r="J48">
        <f>$E48*'Nutrient Content_TFP'!$AA50</f>
        <v>8.8348346663290194</v>
      </c>
      <c r="K48">
        <f>$E48*'Nutrient Content_TFP'!$AB50</f>
        <v>8.4966303968536447</v>
      </c>
      <c r="L48">
        <f>$E48*'Nutrient Content_TFP'!$AC50</f>
        <v>1.4734374109899344</v>
      </c>
      <c r="M48">
        <f>$E48*'Nutrient Content_TFP'!$AD50</f>
        <v>0.18746577082815888</v>
      </c>
      <c r="N48">
        <f>$E48*'Nutrient Content_TFP'!$AE50</f>
        <v>3.087803634574191</v>
      </c>
      <c r="O48">
        <f>$E48*'Nutrient Content_TFP'!$C50</f>
        <v>10.159119487856936</v>
      </c>
      <c r="P48">
        <f>$E48*'Nutrient Content_TFP'!$D50</f>
        <v>2.0538312041023294</v>
      </c>
      <c r="Q48">
        <f>$E48*'Nutrient Content_TFP'!$E50</f>
        <v>2.1506657742609461</v>
      </c>
      <c r="R48">
        <f>$E48*'Nutrient Content_TFP'!$F50</f>
        <v>1.0055957076842483E-2</v>
      </c>
      <c r="S48">
        <f>$E48*'Nutrient Content_TFP'!$H50</f>
        <v>0.22858727945813256</v>
      </c>
      <c r="T48">
        <f>$E48*'Nutrient Content_TFP'!$I50</f>
        <v>2.6359176267558806</v>
      </c>
      <c r="U48">
        <f>$E48*'Nutrient Content_TFP'!$J50</f>
        <v>6.2654629765836951</v>
      </c>
      <c r="V48">
        <f>$E48*'Nutrient Content_TFP'!$K50</f>
        <v>0.17624734397786326</v>
      </c>
      <c r="W48">
        <f>$E48*'Nutrient Content_TFP'!$L50</f>
        <v>2.3192050865219751</v>
      </c>
      <c r="X48">
        <f>$E48*'Nutrient Content_TFP'!$M50</f>
        <v>0.27034780658574364</v>
      </c>
      <c r="Y48">
        <f>$E48*'Nutrient Content_TFP'!$N50</f>
        <v>13.823945735546197</v>
      </c>
      <c r="Z48">
        <f>$E48*'Nutrient Content_TFP'!$O50</f>
        <v>21.134367271389557</v>
      </c>
      <c r="AA48">
        <f>$E48*'Nutrient Content_TFP'!$P50</f>
        <v>1.6432850982332856E-2</v>
      </c>
      <c r="AB48">
        <f>$E48*'Nutrient Content_TFP'!$Q50</f>
        <v>56.637830087358665</v>
      </c>
      <c r="AC48">
        <f>$E48*'Nutrient Content_TFP'!$R50</f>
        <v>1.8401717456333976E-2</v>
      </c>
      <c r="AD48">
        <f>$E48*'Nutrient Content_TFP'!$S50</f>
        <v>3.7379805306333579E-2</v>
      </c>
      <c r="AE48">
        <f>$E48*'Nutrient Content_TFP'!$T50</f>
        <v>1.4517869328969264E-2</v>
      </c>
      <c r="AF48">
        <f>$E48*'Nutrient Content_TFP'!$U50</f>
        <v>0.26714174629975851</v>
      </c>
      <c r="AG48">
        <f>$E48*'Nutrient Content_TFP'!$W50</f>
        <v>9.5337565289974946E-2</v>
      </c>
      <c r="AH48">
        <f>$E48*'Nutrient Content_TFP'!$X50</f>
        <v>0.80543462970308577</v>
      </c>
      <c r="AI48">
        <f>$E48*'Nutrient Content_TFP'!$V50</f>
        <v>4.5045077467252046</v>
      </c>
      <c r="AJ48">
        <f>$E48*'Nutrient Content_TFP'!$Y50</f>
        <v>0.13257019917165513</v>
      </c>
      <c r="AK48">
        <f>$E48*'Nutrient Content_TFP'!$AF50</f>
        <v>0.12566344196822965</v>
      </c>
      <c r="AL48">
        <f>$E48*'Nutrient Content_TFP'!$AI50</f>
        <v>2.2365232660629709E-2</v>
      </c>
      <c r="AM48">
        <f>$E48*'Nutrient Content_TFP'!$AO50</f>
        <v>2.6637241993319618E-6</v>
      </c>
      <c r="AN48">
        <f>$E48*'Nutrient Content_TFP'!$AP50</f>
        <v>1.6021021781321653E-2</v>
      </c>
      <c r="AO48">
        <f>$E48*'Nutrient Content_TFP'!$AQ50</f>
        <v>4.3343347353228381E-2</v>
      </c>
      <c r="AP48">
        <f>$E48*'Nutrient Content_TFP'!$AZ50</f>
        <v>0.29016238657452281</v>
      </c>
      <c r="AQ48">
        <f>$E48*'Nutrient Content_TFP'!$BA50</f>
        <v>0.17976717715342519</v>
      </c>
      <c r="AR48">
        <f>$E48*'Nutrient Content_TFP'!$AG50</f>
        <v>1.9204363511642869E-3</v>
      </c>
      <c r="AS48">
        <f>$E48*'Nutrient Content_TFP'!$AJ50</f>
        <v>0</v>
      </c>
      <c r="AT48">
        <f>$E48*'Nutrient Content_TFP'!$AK50</f>
        <v>9.701773753022596E-3</v>
      </c>
      <c r="AU48">
        <f>$E48*'Nutrient Content_TFP'!$AL50</f>
        <v>4.5628339213452255E-3</v>
      </c>
      <c r="AV48">
        <f>$E48*'Nutrient Content_TFP'!$AM50</f>
        <v>2.568722918047117E-5</v>
      </c>
      <c r="AW48">
        <f>$E48*'Nutrient Content_TFP'!AN50</f>
        <v>8.0749377570814174E-3</v>
      </c>
      <c r="AX48">
        <f>$E48*'Nutrient Content_TFP'!AH50</f>
        <v>0.12374300567322132</v>
      </c>
      <c r="AY48">
        <f>$E48*'Nutrient Content_TFP'!$AR50</f>
        <v>3.5083774947959653E-2</v>
      </c>
      <c r="AZ48">
        <f>$E48*'Nutrient Content_TFP'!$AS50</f>
        <v>7.0234985115656739E-3</v>
      </c>
      <c r="BA48">
        <f>$E48*'Nutrient Content_TFP'!$AT50</f>
        <v>1.2652386704650753E-4</v>
      </c>
      <c r="BB48">
        <f>$E48*'Nutrient Content_TFP'!$AU50</f>
        <v>0</v>
      </c>
      <c r="BC48">
        <f>$E48*'Nutrient Content_TFP'!$AV50</f>
        <v>0</v>
      </c>
      <c r="BD48">
        <f>$E48*'Nutrient Content_TFP'!$AW50</f>
        <v>4.3343347308303616E-2</v>
      </c>
      <c r="BE48">
        <f>$E48*'Nutrient Content_TFP'!$AX50</f>
        <v>0</v>
      </c>
      <c r="BF48">
        <f>$E48*'Nutrient Content_TFP'!$AY50</f>
        <v>0</v>
      </c>
    </row>
    <row r="49" spans="1:58" ht="14.5" x14ac:dyDescent="0.35">
      <c r="A49" s="4">
        <v>46</v>
      </c>
      <c r="B49" t="s">
        <v>129</v>
      </c>
      <c r="C49" s="2">
        <f>'Your Model Diet'!E57</f>
        <v>11.304426193237299</v>
      </c>
      <c r="D49">
        <f>'Nutrient Content_TFP'!$G51</f>
        <v>149.21188230999999</v>
      </c>
      <c r="E49">
        <f t="shared" si="0"/>
        <v>7.5760897980975947E-2</v>
      </c>
      <c r="F49">
        <f t="shared" si="1"/>
        <v>7.5760897980975948</v>
      </c>
      <c r="G49">
        <f>Cost_TFP!C51</f>
        <v>0.62839346447260003</v>
      </c>
      <c r="H49" s="1">
        <f t="shared" si="2"/>
        <v>4.7607653153820685E-2</v>
      </c>
      <c r="I49">
        <f>$E49*'Nutrient Content_TFP'!$Z51</f>
        <v>1.7975917195357565</v>
      </c>
      <c r="J49">
        <f>$E49*'Nutrient Content_TFP'!$AA51</f>
        <v>5.3012336187741624</v>
      </c>
      <c r="K49">
        <f>$E49*'Nutrient Content_TFP'!$AB51</f>
        <v>4.2168949057179139</v>
      </c>
      <c r="L49">
        <f>$E49*'Nutrient Content_TFP'!$AC51</f>
        <v>0.59675342553404542</v>
      </c>
      <c r="M49">
        <f>$E49*'Nutrient Content_TFP'!$AD51</f>
        <v>7.039208611152642E-2</v>
      </c>
      <c r="N49">
        <f>$E49*'Nutrient Content_TFP'!$AE51</f>
        <v>1.7940373619296832</v>
      </c>
      <c r="O49">
        <f>$E49*'Nutrient Content_TFP'!$C51</f>
        <v>3.8784031939646244</v>
      </c>
      <c r="P49">
        <f>$E49*'Nutrient Content_TFP'!$D51</f>
        <v>1.1857228054841689</v>
      </c>
      <c r="Q49">
        <f>$E49*'Nutrient Content_TFP'!$E51</f>
        <v>1.5393332377906697</v>
      </c>
      <c r="R49">
        <f>$E49*'Nutrient Content_TFP'!$F51</f>
        <v>6.3378777052772737E-3</v>
      </c>
      <c r="S49">
        <f>$E49*'Nutrient Content_TFP'!$H51</f>
        <v>0.10535436071166406</v>
      </c>
      <c r="T49">
        <f>$E49*'Nutrient Content_TFP'!$I51</f>
        <v>1.8707301062279944</v>
      </c>
      <c r="U49">
        <f>$E49*'Nutrient Content_TFP'!$J51</f>
        <v>4.051924363721394</v>
      </c>
      <c r="V49">
        <f>$E49*'Nutrient Content_TFP'!$K51</f>
        <v>8.0114670021299864E-2</v>
      </c>
      <c r="W49">
        <f>$E49*'Nutrient Content_TFP'!$L51</f>
        <v>1.2711271732389839</v>
      </c>
      <c r="X49">
        <f>$E49*'Nutrient Content_TFP'!$M51</f>
        <v>0.10952700020300683</v>
      </c>
      <c r="Y49">
        <f>$E49*'Nutrient Content_TFP'!$N51</f>
        <v>6.5296909120144306</v>
      </c>
      <c r="Z49">
        <f>$E49*'Nutrient Content_TFP'!$O51</f>
        <v>9.4628494609566243</v>
      </c>
      <c r="AA49">
        <f>$E49*'Nutrient Content_TFP'!$P51</f>
        <v>8.6052234270746156E-3</v>
      </c>
      <c r="AB49">
        <f>$E49*'Nutrient Content_TFP'!$Q51</f>
        <v>20.573563558884768</v>
      </c>
      <c r="AC49">
        <f>$E49*'Nutrient Content_TFP'!$R51</f>
        <v>1.2169749168429037E-2</v>
      </c>
      <c r="AD49">
        <f>$E49*'Nutrient Content_TFP'!$S51</f>
        <v>1.7119243968409015E-2</v>
      </c>
      <c r="AE49">
        <f>$E49*'Nutrient Content_TFP'!$T51</f>
        <v>6.7064851040857755E-3</v>
      </c>
      <c r="AF49">
        <f>$E49*'Nutrient Content_TFP'!$U51</f>
        <v>0.27866255709894483</v>
      </c>
      <c r="AG49">
        <f>$E49*'Nutrient Content_TFP'!$W51</f>
        <v>3.425941808190746E-2</v>
      </c>
      <c r="AH49">
        <f>$E49*'Nutrient Content_TFP'!$X51</f>
        <v>0.35109017519872399</v>
      </c>
      <c r="AI49">
        <f>$E49*'Nutrient Content_TFP'!$V51</f>
        <v>3.1128949267750015</v>
      </c>
      <c r="AJ49">
        <f>$E49*'Nutrient Content_TFP'!$Y51</f>
        <v>5.7099581488972852E-2</v>
      </c>
      <c r="AK49">
        <f>$E49*'Nutrient Content_TFP'!$AF51</f>
        <v>5.299399433190994E-2</v>
      </c>
      <c r="AL49">
        <f>$E49*'Nutrient Content_TFP'!$AI51</f>
        <v>9.7564484023554988E-3</v>
      </c>
      <c r="AM49">
        <f>$E49*'Nutrient Content_TFP'!$AO51</f>
        <v>6.6476627216101285E-6</v>
      </c>
      <c r="AN49">
        <f>$E49*'Nutrient Content_TFP'!$AP51</f>
        <v>6.4510803133124399E-3</v>
      </c>
      <c r="AO49">
        <f>$E49*'Nutrient Content_TFP'!$AQ51</f>
        <v>2.092499294683724E-2</v>
      </c>
      <c r="AP49">
        <f>$E49*'Nutrient Content_TFP'!$AZ51</f>
        <v>9.4877439374633984E-2</v>
      </c>
      <c r="AQ49">
        <f>$E49*'Nutrient Content_TFP'!$BA51</f>
        <v>2.4680064596931752E-2</v>
      </c>
      <c r="AR49">
        <f>$E49*'Nutrient Content_TFP'!$AG51</f>
        <v>1.2532606012037189E-3</v>
      </c>
      <c r="AS49">
        <f>$E49*'Nutrient Content_TFP'!$AJ51</f>
        <v>3.2151090174177094E-4</v>
      </c>
      <c r="AT49">
        <f>$E49*'Nutrient Content_TFP'!$AK51</f>
        <v>3.5731291489291407E-3</v>
      </c>
      <c r="AU49">
        <f>$E49*'Nutrient Content_TFP'!$AL51</f>
        <v>1.7602925095182749E-3</v>
      </c>
      <c r="AV49">
        <f>$E49*'Nutrient Content_TFP'!$AM51</f>
        <v>2.3850592852200919E-4</v>
      </c>
      <c r="AW49">
        <f>$E49*'Nutrient Content_TFP'!AN51</f>
        <v>3.8630099136443036E-3</v>
      </c>
      <c r="AX49">
        <f>$E49*'Nutrient Content_TFP'!AH51</f>
        <v>5.1740733753434499E-2</v>
      </c>
      <c r="AY49">
        <f>$E49*'Nutrient Content_TFP'!$AR51</f>
        <v>9.708760667240926E-3</v>
      </c>
      <c r="AZ49">
        <f>$E49*'Nutrient Content_TFP'!$AS51</f>
        <v>7.0345481719372507E-3</v>
      </c>
      <c r="BA49">
        <f>$E49*'Nutrient Content_TFP'!$AT51</f>
        <v>1.3023766565279289E-3</v>
      </c>
      <c r="BB49">
        <f>$E49*'Nutrient Content_TFP'!$AU51</f>
        <v>0</v>
      </c>
      <c r="BC49">
        <f>$E49*'Nutrient Content_TFP'!$AV51</f>
        <v>0</v>
      </c>
      <c r="BD49">
        <f>$E49*'Nutrient Content_TFP'!$AW51</f>
        <v>1.9862506908339808E-2</v>
      </c>
      <c r="BE49">
        <f>$E49*'Nutrient Content_TFP'!$AX51</f>
        <v>1.0624860612257008E-3</v>
      </c>
      <c r="BF49">
        <f>$E49*'Nutrient Content_TFP'!$AY51</f>
        <v>0</v>
      </c>
    </row>
    <row r="50" spans="1:58" ht="14.5" x14ac:dyDescent="0.35">
      <c r="A50" s="4">
        <v>47</v>
      </c>
      <c r="B50" t="s">
        <v>130</v>
      </c>
      <c r="C50" s="2">
        <f>'Your Model Diet'!E58</f>
        <v>33.270057678222663</v>
      </c>
      <c r="D50">
        <f>'Nutrient Content_TFP'!$G52</f>
        <v>232.50777327</v>
      </c>
      <c r="E50">
        <f t="shared" si="0"/>
        <v>0.14309223820911895</v>
      </c>
      <c r="F50">
        <f t="shared" si="1"/>
        <v>14.309223820911896</v>
      </c>
      <c r="G50">
        <f>Cost_TFP!C52</f>
        <v>0.87830496795520008</v>
      </c>
      <c r="H50" s="1">
        <f t="shared" si="2"/>
        <v>0.12567862369489807</v>
      </c>
      <c r="I50">
        <f>$E50*'Nutrient Content_TFP'!$Z52</f>
        <v>5.7046042715521921</v>
      </c>
      <c r="J50">
        <f>$E50*'Nutrient Content_TFP'!$AA52</f>
        <v>12.693731045938021</v>
      </c>
      <c r="K50">
        <f>$E50*'Nutrient Content_TFP'!$AB52</f>
        <v>14.843335209387757</v>
      </c>
      <c r="L50">
        <f>$E50*'Nutrient Content_TFP'!$AC52</f>
        <v>2.0972665985880856</v>
      </c>
      <c r="M50">
        <f>$E50*'Nutrient Content_TFP'!$AD52</f>
        <v>0.24300633501391086</v>
      </c>
      <c r="N50">
        <f>$E50*'Nutrient Content_TFP'!$AE52</f>
        <v>6.2351038768565816</v>
      </c>
      <c r="O50">
        <f>$E50*'Nutrient Content_TFP'!$C52</f>
        <v>21.780217736944358</v>
      </c>
      <c r="P50">
        <f>$E50*'Nutrient Content_TFP'!$D52</f>
        <v>3.03214222959202</v>
      </c>
      <c r="Q50">
        <f>$E50*'Nutrient Content_TFP'!$E52</f>
        <v>4.0452031966929738</v>
      </c>
      <c r="R50">
        <f>$E50*'Nutrient Content_TFP'!$F52</f>
        <v>1.2016619040211521E-2</v>
      </c>
      <c r="S50">
        <f>$E50*'Nutrient Content_TFP'!$H52</f>
        <v>0.27678800787587604</v>
      </c>
      <c r="T50">
        <f>$E50*'Nutrient Content_TFP'!$I52</f>
        <v>2.8008004571737932</v>
      </c>
      <c r="U50">
        <f>$E50*'Nutrient Content_TFP'!$J52</f>
        <v>7.0952474095935836</v>
      </c>
      <c r="V50">
        <f>$E50*'Nutrient Content_TFP'!$K52</f>
        <v>0.21607400473025828</v>
      </c>
      <c r="W50">
        <f>$E50*'Nutrient Content_TFP'!$L52</f>
        <v>3.2811485692528595</v>
      </c>
      <c r="X50">
        <f>$E50*'Nutrient Content_TFP'!$M52</f>
        <v>0.30777108428834349</v>
      </c>
      <c r="Y50">
        <f>$E50*'Nutrient Content_TFP'!$N52</f>
        <v>23.918864394323752</v>
      </c>
      <c r="Z50">
        <f>$E50*'Nutrient Content_TFP'!$O52</f>
        <v>24.870523202335288</v>
      </c>
      <c r="AA50">
        <f>$E50*'Nutrient Content_TFP'!$P52</f>
        <v>2.5146511734329892E-2</v>
      </c>
      <c r="AB50">
        <f>$E50*'Nutrient Content_TFP'!$Q52</f>
        <v>68.428632052236694</v>
      </c>
      <c r="AC50">
        <f>$E50*'Nutrient Content_TFP'!$R52</f>
        <v>2.3003167011055953E-2</v>
      </c>
      <c r="AD50">
        <f>$E50*'Nutrient Content_TFP'!$S52</f>
        <v>5.6675208195011866E-2</v>
      </c>
      <c r="AE50">
        <f>$E50*'Nutrient Content_TFP'!$T52</f>
        <v>1.7820893423710241E-2</v>
      </c>
      <c r="AF50">
        <f>$E50*'Nutrient Content_TFP'!$U52</f>
        <v>0.41089336525179654</v>
      </c>
      <c r="AG50">
        <f>$E50*'Nutrient Content_TFP'!$W52</f>
        <v>9.1981106046149785E-2</v>
      </c>
      <c r="AH50">
        <f>$E50*'Nutrient Content_TFP'!$X52</f>
        <v>1.0029662301002973</v>
      </c>
      <c r="AI50">
        <f>$E50*'Nutrient Content_TFP'!$V52</f>
        <v>7.8953936509592468</v>
      </c>
      <c r="AJ50">
        <f>$E50*'Nutrient Content_TFP'!$Y52</f>
        <v>0.19364877469152122</v>
      </c>
      <c r="AK50">
        <f>$E50*'Nutrient Content_TFP'!$AF52</f>
        <v>0.195973245040479</v>
      </c>
      <c r="AL50">
        <f>$E50*'Nutrient Content_TFP'!$AI52</f>
        <v>1.9280462886200122E-2</v>
      </c>
      <c r="AM50">
        <f>$E50*'Nutrient Content_TFP'!$AO52</f>
        <v>4.8733066659117856E-6</v>
      </c>
      <c r="AN50">
        <f>$E50*'Nutrient Content_TFP'!$AP52</f>
        <v>5.0567050012894015E-2</v>
      </c>
      <c r="AO50">
        <f>$E50*'Nutrient Content_TFP'!$AQ52</f>
        <v>6.0062824897685142E-2</v>
      </c>
      <c r="AP50">
        <f>$E50*'Nutrient Content_TFP'!$AZ52</f>
        <v>0.27846085368651946</v>
      </c>
      <c r="AQ50">
        <f>$E50*'Nutrient Content_TFP'!$BA52</f>
        <v>0.31705395837056033</v>
      </c>
      <c r="AR50">
        <f>$E50*'Nutrient Content_TFP'!$AG52</f>
        <v>4.7690181808602155E-5</v>
      </c>
      <c r="AS50">
        <f>$E50*'Nutrient Content_TFP'!$AJ52</f>
        <v>1.3317294116422462E-5</v>
      </c>
      <c r="AT50">
        <f>$E50*'Nutrient Content_TFP'!$AK52</f>
        <v>7.2929331815679219E-3</v>
      </c>
      <c r="AU50">
        <f>$E50*'Nutrient Content_TFP'!$AL52</f>
        <v>3.6075227574798173E-3</v>
      </c>
      <c r="AV50">
        <f>$E50*'Nutrient Content_TFP'!$AM52</f>
        <v>2.9522246836800225E-4</v>
      </c>
      <c r="AW50">
        <f>$E50*'Nutrient Content_TFP'!AN52</f>
        <v>8.0714671989771808E-3</v>
      </c>
      <c r="AX50">
        <f>$E50*'Nutrient Content_TFP'!AH52</f>
        <v>0.19592555485867039</v>
      </c>
      <c r="AY50">
        <f>$E50*'Nutrient Content_TFP'!$AR52</f>
        <v>3.9714602793286355E-2</v>
      </c>
      <c r="AZ50">
        <f>$E50*'Nutrient Content_TFP'!$AS52</f>
        <v>1.3039429452010417E-2</v>
      </c>
      <c r="BA50">
        <f>$E50*'Nutrient Content_TFP'!$AT52</f>
        <v>1.5365815476925647E-3</v>
      </c>
      <c r="BB50">
        <f>$E50*'Nutrient Content_TFP'!$AU52</f>
        <v>8.9456674067494647E-4</v>
      </c>
      <c r="BC50">
        <f>$E50*'Nutrient Content_TFP'!$AV52</f>
        <v>6.5789804545883043E-5</v>
      </c>
      <c r="BD50">
        <f>$E50*'Nutrient Content_TFP'!$AW52</f>
        <v>5.506766789323414E-2</v>
      </c>
      <c r="BE50">
        <f>$E50*'Nutrient Content_TFP'!$AX52</f>
        <v>4.0348006023224071E-3</v>
      </c>
      <c r="BF50">
        <f>$E50*'Nutrient Content_TFP'!$AY52</f>
        <v>9.6035640212859138E-4</v>
      </c>
    </row>
    <row r="51" spans="1:58" ht="14.5" x14ac:dyDescent="0.35">
      <c r="A51" s="4">
        <v>48</v>
      </c>
      <c r="B51" t="s">
        <v>131</v>
      </c>
      <c r="C51" s="2">
        <f>'Your Model Diet'!E59</f>
        <v>10.987033843994141</v>
      </c>
      <c r="D51">
        <f>'Nutrient Content_TFP'!$G53</f>
        <v>154.95737890000001</v>
      </c>
      <c r="E51">
        <f t="shared" si="0"/>
        <v>7.0903586018220527E-2</v>
      </c>
      <c r="F51">
        <f t="shared" si="1"/>
        <v>7.0903586018220528</v>
      </c>
      <c r="G51">
        <f>Cost_TFP!C53</f>
        <v>0.62328871025139998</v>
      </c>
      <c r="H51" s="1">
        <f t="shared" si="2"/>
        <v>4.4193404681495872E-2</v>
      </c>
      <c r="I51">
        <f>$E51*'Nutrient Content_TFP'!$Z53</f>
        <v>2.5680851327028793</v>
      </c>
      <c r="J51">
        <f>$E51*'Nutrient Content_TFP'!$AA53</f>
        <v>2.9757431343391811</v>
      </c>
      <c r="K51">
        <f>$E51*'Nutrient Content_TFP'!$AB53</f>
        <v>5.4602777182154245</v>
      </c>
      <c r="L51">
        <f>$E51*'Nutrient Content_TFP'!$AC53</f>
        <v>1.3293231851193268</v>
      </c>
      <c r="M51">
        <f>$E51*'Nutrient Content_TFP'!$AD53</f>
        <v>0.15296512593017389</v>
      </c>
      <c r="N51">
        <f>$E51*'Nutrient Content_TFP'!$AE53</f>
        <v>1.6670274251048054</v>
      </c>
      <c r="O51">
        <f>$E51*'Nutrient Content_TFP'!$C53</f>
        <v>2.3205290244063432</v>
      </c>
      <c r="P51">
        <f>$E51*'Nutrient Content_TFP'!$D53</f>
        <v>2.2363652553513949</v>
      </c>
      <c r="Q51">
        <f>$E51*'Nutrient Content_TFP'!$E53</f>
        <v>2.3471242584980225</v>
      </c>
      <c r="R51">
        <f>$E51*'Nutrient Content_TFP'!$F53</f>
        <v>5.4188844135799512E-3</v>
      </c>
      <c r="S51">
        <f>$E51*'Nutrient Content_TFP'!$H53</f>
        <v>9.8890334438338418E-2</v>
      </c>
      <c r="T51">
        <f>$E51*'Nutrient Content_TFP'!$I53</f>
        <v>0.60102171295306006</v>
      </c>
      <c r="U51">
        <f>$E51*'Nutrient Content_TFP'!$J53</f>
        <v>1.8908725604763914</v>
      </c>
      <c r="V51">
        <f>$E51*'Nutrient Content_TFP'!$K53</f>
        <v>7.4741722933619484E-2</v>
      </c>
      <c r="W51">
        <f>$E51*'Nutrient Content_TFP'!$L53</f>
        <v>1.2352858980736476</v>
      </c>
      <c r="X51">
        <f>$E51*'Nutrient Content_TFP'!$M53</f>
        <v>0.16996866731464222</v>
      </c>
      <c r="Y51">
        <f>$E51*'Nutrient Content_TFP'!$N53</f>
        <v>7.1307003053101683</v>
      </c>
      <c r="Z51">
        <f>$E51*'Nutrient Content_TFP'!$O53</f>
        <v>13.877269527686062</v>
      </c>
      <c r="AA51">
        <f>$E51*'Nutrient Content_TFP'!$P53</f>
        <v>6.7829641380163543E-3</v>
      </c>
      <c r="AB51">
        <f>$E51*'Nutrient Content_TFP'!$Q53</f>
        <v>29.457768995762454</v>
      </c>
      <c r="AC51">
        <f>$E51*'Nutrient Content_TFP'!$R53</f>
        <v>8.4534668549553424E-3</v>
      </c>
      <c r="AD51">
        <f>$E51*'Nutrient Content_TFP'!$S53</f>
        <v>2.8558147167958507E-2</v>
      </c>
      <c r="AE51">
        <f>$E51*'Nutrient Content_TFP'!$T53</f>
        <v>1.047109274010812E-2</v>
      </c>
      <c r="AF51">
        <f>$E51*'Nutrient Content_TFP'!$U53</f>
        <v>0.15206527971379127</v>
      </c>
      <c r="AG51">
        <f>$E51*'Nutrient Content_TFP'!$W53</f>
        <v>4.5162681571698476E-2</v>
      </c>
      <c r="AH51">
        <f>$E51*'Nutrient Content_TFP'!$X53</f>
        <v>0.7254974067770269</v>
      </c>
      <c r="AI51">
        <f>$E51*'Nutrient Content_TFP'!$V53</f>
        <v>2.1370937629174578</v>
      </c>
      <c r="AJ51">
        <f>$E51*'Nutrient Content_TFP'!$Y53</f>
        <v>7.1619993490259215E-2</v>
      </c>
      <c r="AK51">
        <f>$E51*'Nutrient Content_TFP'!$AF53</f>
        <v>2.7740304600340639E-2</v>
      </c>
      <c r="AL51">
        <f>$E51*'Nutrient Content_TFP'!$AI53</f>
        <v>1.5020040019736553E-2</v>
      </c>
      <c r="AM51">
        <f>$E51*'Nutrient Content_TFP'!$AO53</f>
        <v>0</v>
      </c>
      <c r="AN51">
        <f>$E51*'Nutrient Content_TFP'!$AP53</f>
        <v>1.9480225290949584E-3</v>
      </c>
      <c r="AO51">
        <f>$E51*'Nutrient Content_TFP'!$AQ53</f>
        <v>7.3711681702006607E-2</v>
      </c>
      <c r="AP51">
        <f>$E51*'Nutrient Content_TFP'!$AZ53</f>
        <v>0.14616331199582067</v>
      </c>
      <c r="AQ51">
        <f>$E51*'Nutrient Content_TFP'!$BA53</f>
        <v>6.2170030719808173E-2</v>
      </c>
      <c r="AR51">
        <f>$E51*'Nutrient Content_TFP'!$AG53</f>
        <v>7.9865614941599956E-4</v>
      </c>
      <c r="AS51">
        <f>$E51*'Nutrient Content_TFP'!$AJ53</f>
        <v>5.9289784248835456E-5</v>
      </c>
      <c r="AT51">
        <f>$E51*'Nutrient Content_TFP'!$AK53</f>
        <v>6.0077319312591667E-3</v>
      </c>
      <c r="AU51">
        <f>$E51*'Nutrient Content_TFP'!$AL53</f>
        <v>3.583805745261234E-3</v>
      </c>
      <c r="AV51">
        <f>$E51*'Nutrient Content_TFP'!$AM53</f>
        <v>1.6525456251115049E-3</v>
      </c>
      <c r="AW51">
        <f>$E51*'Nutrient Content_TFP'!AN53</f>
        <v>3.7166669338558112E-3</v>
      </c>
      <c r="AX51">
        <f>$E51*'Nutrient Content_TFP'!AH53</f>
        <v>2.6941648450924637E-2</v>
      </c>
      <c r="AY51">
        <f>$E51*'Nutrient Content_TFP'!$AR53</f>
        <v>1.9214853021487469E-2</v>
      </c>
      <c r="AZ51">
        <f>$E51*'Nutrient Content_TFP'!$AS53</f>
        <v>4.5008025109996637E-2</v>
      </c>
      <c r="BA51">
        <f>$E51*'Nutrient Content_TFP'!$AT53</f>
        <v>1.9149962414081523E-3</v>
      </c>
      <c r="BB51">
        <f>$E51*'Nutrient Content_TFP'!$AU53</f>
        <v>1.5973122988319991E-3</v>
      </c>
      <c r="BC51">
        <f>$E51*'Nutrient Content_TFP'!$AV53</f>
        <v>0</v>
      </c>
      <c r="BD51">
        <f>$E51*'Nutrient Content_TFP'!$AW53</f>
        <v>6.759163541327895E-2</v>
      </c>
      <c r="BE51">
        <f>$E51*'Nutrient Content_TFP'!$AX53</f>
        <v>4.522733989895663E-3</v>
      </c>
      <c r="BF51">
        <f>$E51*'Nutrient Content_TFP'!$AY53</f>
        <v>1.5973122988319991E-3</v>
      </c>
    </row>
    <row r="52" spans="1:58" ht="14.5" x14ac:dyDescent="0.35">
      <c r="A52" s="4">
        <v>49</v>
      </c>
      <c r="B52" t="s">
        <v>133</v>
      </c>
      <c r="C52" s="2">
        <f>'Your Model Diet'!E60</f>
        <v>8.0411281585693359</v>
      </c>
      <c r="D52">
        <f>'Nutrient Content_TFP'!$G54</f>
        <v>126.35571139</v>
      </c>
      <c r="E52">
        <f t="shared" si="0"/>
        <v>6.3638818302009292E-2</v>
      </c>
      <c r="F52">
        <f t="shared" si="1"/>
        <v>6.3638818302009295</v>
      </c>
      <c r="G52">
        <f>Cost_TFP!C54</f>
        <v>0.96997797347199999</v>
      </c>
      <c r="H52" s="1">
        <f t="shared" si="2"/>
        <v>6.1728252010735798E-2</v>
      </c>
      <c r="I52">
        <f>$E52*'Nutrient Content_TFP'!$Z54</f>
        <v>2.1705150188623894</v>
      </c>
      <c r="J52">
        <f>$E52*'Nutrient Content_TFP'!$AA54</f>
        <v>2.7162528316591357</v>
      </c>
      <c r="K52">
        <f>$E52*'Nutrient Content_TFP'!$AB54</f>
        <v>3.219297965484786</v>
      </c>
      <c r="L52">
        <f>$E52*'Nutrient Content_TFP'!$AC54</f>
        <v>0.7125278792311055</v>
      </c>
      <c r="M52">
        <f>$E52*'Nutrient Content_TFP'!$AD54</f>
        <v>8.3515474390088773E-2</v>
      </c>
      <c r="N52">
        <f>$E52*'Nutrient Content_TFP'!$AE54</f>
        <v>0.93138800293919688</v>
      </c>
      <c r="O52">
        <f>$E52*'Nutrient Content_TFP'!$C54</f>
        <v>2.3270273765576288</v>
      </c>
      <c r="P52">
        <f>$E52*'Nutrient Content_TFP'!$D54</f>
        <v>1.9662876394932893</v>
      </c>
      <c r="Q52">
        <f>$E52*'Nutrient Content_TFP'!$E54</f>
        <v>1.7583253191334101</v>
      </c>
      <c r="R52">
        <f>$E52*'Nutrient Content_TFP'!$F54</f>
        <v>5.2917757261980473E-3</v>
      </c>
      <c r="S52">
        <f>$E52*'Nutrient Content_TFP'!$H54</f>
        <v>7.0942120299182856E-2</v>
      </c>
      <c r="T52">
        <f>$E52*'Nutrient Content_TFP'!$I54</f>
        <v>0.68307202209208051</v>
      </c>
      <c r="U52">
        <f>$E52*'Nutrient Content_TFP'!$J54</f>
        <v>1.9514907939337045</v>
      </c>
      <c r="V52">
        <f>$E52*'Nutrient Content_TFP'!$K54</f>
        <v>6.0132356610457877E-2</v>
      </c>
      <c r="W52">
        <f>$E52*'Nutrient Content_TFP'!$L54</f>
        <v>1.0856692577403528</v>
      </c>
      <c r="X52">
        <f>$E52*'Nutrient Content_TFP'!$M54</f>
        <v>0.14421835495397201</v>
      </c>
      <c r="Y52">
        <f>$E52*'Nutrient Content_TFP'!$N54</f>
        <v>5.9326488339371641</v>
      </c>
      <c r="Z52">
        <f>$E52*'Nutrient Content_TFP'!$O54</f>
        <v>11.582739229169333</v>
      </c>
      <c r="AA52">
        <f>$E52*'Nutrient Content_TFP'!$P54</f>
        <v>6.2325793056223454E-3</v>
      </c>
      <c r="AB52">
        <f>$E52*'Nutrient Content_TFP'!$Q54</f>
        <v>17.696701817436978</v>
      </c>
      <c r="AC52">
        <f>$E52*'Nutrient Content_TFP'!$R54</f>
        <v>5.5206720887858692E-3</v>
      </c>
      <c r="AD52">
        <f>$E52*'Nutrient Content_TFP'!$S54</f>
        <v>1.9545798527207166E-2</v>
      </c>
      <c r="AE52">
        <f>$E52*'Nutrient Content_TFP'!$T54</f>
        <v>9.9299181487456038E-3</v>
      </c>
      <c r="AF52">
        <f>$E52*'Nutrient Content_TFP'!$U54</f>
        <v>0.34917540316591567</v>
      </c>
      <c r="AG52">
        <f>$E52*'Nutrient Content_TFP'!$W54</f>
        <v>4.1557696874577811E-2</v>
      </c>
      <c r="AH52">
        <f>$E52*'Nutrient Content_TFP'!$X54</f>
        <v>0.84391220260118194</v>
      </c>
      <c r="AI52">
        <f>$E52*'Nutrient Content_TFP'!$V54</f>
        <v>4.1914649816724001</v>
      </c>
      <c r="AJ52">
        <f>$E52*'Nutrient Content_TFP'!$Y54</f>
        <v>6.7619344203630027E-2</v>
      </c>
      <c r="AK52">
        <f>$E52*'Nutrient Content_TFP'!$AF54</f>
        <v>1.6809354859386907E-2</v>
      </c>
      <c r="AL52">
        <f>$E52*'Nutrient Content_TFP'!$AI54</f>
        <v>1.3497017878307989E-2</v>
      </c>
      <c r="AM52">
        <f>$E52*'Nutrient Content_TFP'!$AO54</f>
        <v>7.6386927929010485E-4</v>
      </c>
      <c r="AN52">
        <f>$E52*'Nutrient Content_TFP'!$AP54</f>
        <v>3.065477804723416E-3</v>
      </c>
      <c r="AO52">
        <f>$E52*'Nutrient Content_TFP'!$AQ54</f>
        <v>5.2505527709714304E-2</v>
      </c>
      <c r="AP52">
        <f>$E52*'Nutrient Content_TFP'!$AZ54</f>
        <v>0.11585844371394893</v>
      </c>
      <c r="AQ52">
        <f>$E52*'Nutrient Content_TFP'!$BA54</f>
        <v>0.20501745253639439</v>
      </c>
      <c r="AR52">
        <f>$E52*'Nutrient Content_TFP'!$AG54</f>
        <v>0</v>
      </c>
      <c r="AS52">
        <f>$E52*'Nutrient Content_TFP'!$AJ54</f>
        <v>1.9482755476430455E-3</v>
      </c>
      <c r="AT52">
        <f>$E52*'Nutrient Content_TFP'!$AK54</f>
        <v>3.3631802667429159E-3</v>
      </c>
      <c r="AU52">
        <f>$E52*'Nutrient Content_TFP'!$AL54</f>
        <v>2.4075570456979288E-5</v>
      </c>
      <c r="AV52">
        <f>$E52*'Nutrient Content_TFP'!$AM54</f>
        <v>3.3853991746759342E-3</v>
      </c>
      <c r="AW52">
        <f>$E52*'Nutrient Content_TFP'!AN54</f>
        <v>4.7760873124252316E-3</v>
      </c>
      <c r="AX52">
        <f>$E52*'Nutrient Content_TFP'!AH54</f>
        <v>1.6809354840295259E-2</v>
      </c>
      <c r="AY52">
        <f>$E52*'Nutrient Content_TFP'!$AR54</f>
        <v>2.5078321207637491E-2</v>
      </c>
      <c r="AZ52">
        <f>$E52*'Nutrient Content_TFP'!$AS54</f>
        <v>1.884897858504175E-2</v>
      </c>
      <c r="BA52">
        <f>$E52*'Nutrient Content_TFP'!$AT54</f>
        <v>8.0162955668217517E-4</v>
      </c>
      <c r="BB52">
        <f>$E52*'Nutrient Content_TFP'!$AU54</f>
        <v>1.7221529720452621E-4</v>
      </c>
      <c r="BC52">
        <f>$E52*'Nutrient Content_TFP'!$AV54</f>
        <v>4.9985695312441578E-4</v>
      </c>
      <c r="BD52">
        <f>$E52*'Nutrient Content_TFP'!$AW54</f>
        <v>4.4728929285722599E-2</v>
      </c>
      <c r="BE52">
        <f>$E52*'Nutrient Content_TFP'!$AX54</f>
        <v>7.1045261800266523E-3</v>
      </c>
      <c r="BF52">
        <f>$E52*'Nutrient Content_TFP'!$AY54</f>
        <v>6.7207225032894205E-4</v>
      </c>
    </row>
    <row r="53" spans="1:58" ht="14.5" x14ac:dyDescent="0.35">
      <c r="A53" s="4">
        <v>50</v>
      </c>
      <c r="B53" t="s">
        <v>135</v>
      </c>
      <c r="C53" s="2">
        <f>'Your Model Diet'!E61</f>
        <v>13.91751670837402</v>
      </c>
      <c r="D53">
        <f>'Nutrient Content_TFP'!$G55</f>
        <v>170.27344339000001</v>
      </c>
      <c r="E53">
        <f t="shared" si="0"/>
        <v>8.1736273321829006E-2</v>
      </c>
      <c r="F53">
        <f t="shared" si="1"/>
        <v>8.1736273321829014</v>
      </c>
      <c r="G53">
        <f>Cost_TFP!C55</f>
        <v>1.0070036300374001</v>
      </c>
      <c r="H53" s="1">
        <f t="shared" si="2"/>
        <v>8.2308723940810916E-2</v>
      </c>
      <c r="I53">
        <f>$E53*'Nutrient Content_TFP'!$Z55</f>
        <v>4.6154674926699313</v>
      </c>
      <c r="J53">
        <f>$E53*'Nutrient Content_TFP'!$AA55</f>
        <v>2.9288627435377719</v>
      </c>
      <c r="K53">
        <f>$E53*'Nutrient Content_TFP'!$AB55</f>
        <v>6.274357483947445</v>
      </c>
      <c r="L53">
        <f>$E53*'Nutrient Content_TFP'!$AC55</f>
        <v>1.3299815629530032</v>
      </c>
      <c r="M53">
        <f>$E53*'Nutrient Content_TFP'!$AD55</f>
        <v>0.15590008567841604</v>
      </c>
      <c r="N53">
        <f>$E53*'Nutrient Content_TFP'!$AE55</f>
        <v>1.7760897695162343</v>
      </c>
      <c r="O53">
        <f>$E53*'Nutrient Content_TFP'!$C55</f>
        <v>2.8383086045250203</v>
      </c>
      <c r="P53">
        <f>$E53*'Nutrient Content_TFP'!$D55</f>
        <v>4.0601575571844943</v>
      </c>
      <c r="Q53">
        <f>$E53*'Nutrient Content_TFP'!$E55</f>
        <v>3.9667096131741539</v>
      </c>
      <c r="R53">
        <f>$E53*'Nutrient Content_TFP'!$F55</f>
        <v>6.1940379744674793E-3</v>
      </c>
      <c r="S53">
        <f>$E53*'Nutrient Content_TFP'!$H55</f>
        <v>5.7051575845928293E-2</v>
      </c>
      <c r="T53">
        <f>$E53*'Nutrient Content_TFP'!$I55</f>
        <v>0.27059261016563491</v>
      </c>
      <c r="U53">
        <f>$E53*'Nutrient Content_TFP'!$J55</f>
        <v>1.4117055966765839</v>
      </c>
      <c r="V53">
        <f>$E53*'Nutrient Content_TFP'!$K55</f>
        <v>0.10240007170635956</v>
      </c>
      <c r="W53">
        <f>$E53*'Nutrient Content_TFP'!$L55</f>
        <v>1.5899001544162938</v>
      </c>
      <c r="X53">
        <f>$E53*'Nutrient Content_TFP'!$M55</f>
        <v>0.29009553745637234</v>
      </c>
      <c r="Y53">
        <f>$E53*'Nutrient Content_TFP'!$N55</f>
        <v>11.052193399356845</v>
      </c>
      <c r="Z53">
        <f>$E53*'Nutrient Content_TFP'!$O55</f>
        <v>20.668215744590135</v>
      </c>
      <c r="AA53">
        <f>$E53*'Nutrient Content_TFP'!$P55</f>
        <v>1.2485022312844938E-2</v>
      </c>
      <c r="AB53">
        <f>$E53*'Nutrient Content_TFP'!$Q55</f>
        <v>36.589117830066066</v>
      </c>
      <c r="AC53">
        <f>$E53*'Nutrient Content_TFP'!$R55</f>
        <v>1.467561631222886E-2</v>
      </c>
      <c r="AD53">
        <f>$E53*'Nutrient Content_TFP'!$S55</f>
        <v>6.8094496055831927E-2</v>
      </c>
      <c r="AE53">
        <f>$E53*'Nutrient Content_TFP'!$T55</f>
        <v>1.9611765236191452E-2</v>
      </c>
      <c r="AF53">
        <f>$E53*'Nutrient Content_TFP'!$U55</f>
        <v>0.35461568872288918</v>
      </c>
      <c r="AG53">
        <f>$E53*'Nutrient Content_TFP'!$W55</f>
        <v>4.8627666862754222E-2</v>
      </c>
      <c r="AH53">
        <f>$E53*'Nutrient Content_TFP'!$X55</f>
        <v>0.91416586166553571</v>
      </c>
      <c r="AI53">
        <f>$E53*'Nutrient Content_TFP'!$V55</f>
        <v>1.7308962761258246</v>
      </c>
      <c r="AJ53">
        <f>$E53*'Nutrient Content_TFP'!$Y55</f>
        <v>0.1532980129375103</v>
      </c>
      <c r="AK53">
        <f>$E53*'Nutrient Content_TFP'!$AF55</f>
        <v>1.5616315044117887E-2</v>
      </c>
      <c r="AL53">
        <f>$E53*'Nutrient Content_TFP'!$AI55</f>
        <v>1.1841213404659174E-2</v>
      </c>
      <c r="AM53">
        <f>$E53*'Nutrient Content_TFP'!$AO55</f>
        <v>5.8863206038526641E-4</v>
      </c>
      <c r="AN53">
        <f>$E53*'Nutrient Content_TFP'!$AP55</f>
        <v>2.3333152919148702E-3</v>
      </c>
      <c r="AO53">
        <f>$E53*'Nutrient Content_TFP'!$AQ55</f>
        <v>0.13631777409196888</v>
      </c>
      <c r="AP53">
        <f>$E53*'Nutrient Content_TFP'!$AZ55</f>
        <v>0.21612278026296697</v>
      </c>
      <c r="AQ53">
        <f>$E53*'Nutrient Content_TFP'!$BA55</f>
        <v>0.9023420571471269</v>
      </c>
      <c r="AR53">
        <f>$E53*'Nutrient Content_TFP'!$AG55</f>
        <v>0</v>
      </c>
      <c r="AS53">
        <f>$E53*'Nutrient Content_TFP'!$AJ55</f>
        <v>9.5871740343292443E-4</v>
      </c>
      <c r="AT53">
        <f>$E53*'Nutrient Content_TFP'!$AK55</f>
        <v>3.7743173635689359E-3</v>
      </c>
      <c r="AU53">
        <f>$E53*'Nutrient Content_TFP'!$AL55</f>
        <v>2.6432599432831965E-4</v>
      </c>
      <c r="AV53">
        <f>$E53*'Nutrient Content_TFP'!$AM55</f>
        <v>1.1602549494175521E-3</v>
      </c>
      <c r="AW53">
        <f>$E53*'Nutrient Content_TFP'!AN55</f>
        <v>5.6835976939114416E-3</v>
      </c>
      <c r="AX53">
        <f>$E53*'Nutrient Content_TFP'!AH55</f>
        <v>1.5616315044117887E-2</v>
      </c>
      <c r="AY53">
        <f>$E53*'Nutrient Content_TFP'!$AR55</f>
        <v>8.2262905607171866E-2</v>
      </c>
      <c r="AZ53">
        <f>$E53*'Nutrient Content_TFP'!$AS55</f>
        <v>2.9466981584335396E-2</v>
      </c>
      <c r="BA53">
        <f>$E53*'Nutrient Content_TFP'!$AT55</f>
        <v>3.2158784455135606E-3</v>
      </c>
      <c r="BB53">
        <f>$E53*'Nutrient Content_TFP'!$AU55</f>
        <v>0</v>
      </c>
      <c r="BC53">
        <f>$E53*'Nutrient Content_TFP'!$AV55</f>
        <v>5.0148571217402957E-4</v>
      </c>
      <c r="BD53">
        <f>$E53*'Nutrient Content_TFP'!$AW55</f>
        <v>0.11660939092456089</v>
      </c>
      <c r="BE53">
        <f>$E53*'Nutrient Content_TFP'!$AX55</f>
        <v>1.9206897496102073E-2</v>
      </c>
      <c r="BF53">
        <f>$E53*'Nutrient Content_TFP'!$AY55</f>
        <v>5.0148571217402957E-4</v>
      </c>
    </row>
    <row r="54" spans="1:58" ht="14.5" x14ac:dyDescent="0.35">
      <c r="A54" s="4">
        <v>51</v>
      </c>
      <c r="B54" t="s">
        <v>136</v>
      </c>
      <c r="C54" s="2">
        <f>'Your Model Diet'!E62</f>
        <v>2.7273387908935551</v>
      </c>
      <c r="D54">
        <f>'Nutrient Content_TFP'!$G56</f>
        <v>122.34432212999999</v>
      </c>
      <c r="E54">
        <f t="shared" si="0"/>
        <v>2.2292320096355216E-2</v>
      </c>
      <c r="F54">
        <f t="shared" si="1"/>
        <v>2.2292320096355218</v>
      </c>
      <c r="G54">
        <f>Cost_TFP!C56</f>
        <v>0.46022077190999999</v>
      </c>
      <c r="H54" s="1">
        <f t="shared" si="2"/>
        <v>1.0259388762409402E-2</v>
      </c>
      <c r="I54">
        <f>$E54*'Nutrient Content_TFP'!$Z56</f>
        <v>0.65413695126520877</v>
      </c>
      <c r="J54">
        <f>$E54*'Nutrient Content_TFP'!$AA56</f>
        <v>0.94381094799533294</v>
      </c>
      <c r="K54">
        <f>$E54*'Nutrient Content_TFP'!$AB56</f>
        <v>1.1476267559747553</v>
      </c>
      <c r="L54">
        <f>$E54*'Nutrient Content_TFP'!$AC56</f>
        <v>0.26366513696252458</v>
      </c>
      <c r="M54">
        <f>$E54*'Nutrient Content_TFP'!$AD56</f>
        <v>3.5686583539407353E-2</v>
      </c>
      <c r="N54">
        <f>$E54*'Nutrient Content_TFP'!$AE56</f>
        <v>0.27652501044639699</v>
      </c>
      <c r="O54">
        <f>$E54*'Nutrient Content_TFP'!$C56</f>
        <v>0.43650587738444629</v>
      </c>
      <c r="P54">
        <f>$E54*'Nutrient Content_TFP'!$D56</f>
        <v>0.55643048016414187</v>
      </c>
      <c r="Q54">
        <f>$E54*'Nutrient Content_TFP'!$E56</f>
        <v>0.50478251589674605</v>
      </c>
      <c r="R54">
        <f>$E54*'Nutrient Content_TFP'!$F56</f>
        <v>1.4562753944324044E-3</v>
      </c>
      <c r="S54">
        <f>$E54*'Nutrient Content_TFP'!$H56</f>
        <v>1.9872253055424713E-2</v>
      </c>
      <c r="T54">
        <f>$E54*'Nutrient Content_TFP'!$I56</f>
        <v>0.26783241504075656</v>
      </c>
      <c r="U54">
        <f>$E54*'Nutrient Content_TFP'!$J56</f>
        <v>0.68862452350893077</v>
      </c>
      <c r="V54">
        <f>$E54*'Nutrient Content_TFP'!$K56</f>
        <v>2.0878377481171755E-2</v>
      </c>
      <c r="W54">
        <f>$E54*'Nutrient Content_TFP'!$L56</f>
        <v>0.321047465610306</v>
      </c>
      <c r="X54">
        <f>$E54*'Nutrient Content_TFP'!$M56</f>
        <v>4.3131498797537256E-2</v>
      </c>
      <c r="Y54">
        <f>$E54*'Nutrient Content_TFP'!$N56</f>
        <v>1.658233761204035</v>
      </c>
      <c r="Z54">
        <f>$E54*'Nutrient Content_TFP'!$O56</f>
        <v>3.5267106959220822</v>
      </c>
      <c r="AA54">
        <f>$E54*'Nutrient Content_TFP'!$P56</f>
        <v>1.8070830038235178E-3</v>
      </c>
      <c r="AB54">
        <f>$E54*'Nutrient Content_TFP'!$Q56</f>
        <v>6.8332932505715505</v>
      </c>
      <c r="AC54">
        <f>$E54*'Nutrient Content_TFP'!$R56</f>
        <v>1.8153957230474002E-3</v>
      </c>
      <c r="AD54">
        <f>$E54*'Nutrient Content_TFP'!$S56</f>
        <v>6.4365173389716668E-3</v>
      </c>
      <c r="AE54">
        <f>$E54*'Nutrient Content_TFP'!$T56</f>
        <v>2.7891134263301654E-3</v>
      </c>
      <c r="AF54">
        <f>$E54*'Nutrient Content_TFP'!$U56</f>
        <v>6.8823749690945568E-2</v>
      </c>
      <c r="AG54">
        <f>$E54*'Nutrient Content_TFP'!$W56</f>
        <v>1.4066184734158018E-2</v>
      </c>
      <c r="AH54">
        <f>$E54*'Nutrient Content_TFP'!$X56</f>
        <v>0.25973797604028492</v>
      </c>
      <c r="AI54">
        <f>$E54*'Nutrient Content_TFP'!$V56</f>
        <v>0.95647311350047215</v>
      </c>
      <c r="AJ54">
        <f>$E54*'Nutrient Content_TFP'!$Y56</f>
        <v>2.4516058201599938E-2</v>
      </c>
      <c r="AK54">
        <f>$E54*'Nutrient Content_TFP'!$AF56</f>
        <v>6.5271461488261313E-3</v>
      </c>
      <c r="AL54">
        <f>$E54*'Nutrient Content_TFP'!$AI56</f>
        <v>4.3996272590511466E-3</v>
      </c>
      <c r="AM54">
        <f>$E54*'Nutrient Content_TFP'!$AO56</f>
        <v>0</v>
      </c>
      <c r="AN54">
        <f>$E54*'Nutrient Content_TFP'!$AP56</f>
        <v>4.6218338221128651E-4</v>
      </c>
      <c r="AO54">
        <f>$E54*'Nutrient Content_TFP'!$AQ56</f>
        <v>1.7022937640378075E-2</v>
      </c>
      <c r="AP54">
        <f>$E54*'Nutrient Content_TFP'!$AZ56</f>
        <v>6.5461203585062008E-2</v>
      </c>
      <c r="AQ54">
        <f>$E54*'Nutrient Content_TFP'!$BA56</f>
        <v>9.8683784738378202E-3</v>
      </c>
      <c r="AR54">
        <f>$E54*'Nutrient Content_TFP'!$AG56</f>
        <v>0</v>
      </c>
      <c r="AS54">
        <f>$E54*'Nutrient Content_TFP'!$AJ56</f>
        <v>3.5461436857852757E-4</v>
      </c>
      <c r="AT54">
        <f>$E54*'Nutrient Content_TFP'!$AK56</f>
        <v>1.2047936760735084E-3</v>
      </c>
      <c r="AU54">
        <f>$E54*'Nutrient Content_TFP'!$AL56</f>
        <v>1.574519052104823E-5</v>
      </c>
      <c r="AV54">
        <f>$E54*'Nutrient Content_TFP'!$AM56</f>
        <v>1.7422434122327144E-3</v>
      </c>
      <c r="AW54">
        <f>$E54*'Nutrient Content_TFP'!AN56</f>
        <v>1.0822306094161159E-3</v>
      </c>
      <c r="AX54">
        <f>$E54*'Nutrient Content_TFP'!AH56</f>
        <v>6.5271461599722925E-3</v>
      </c>
      <c r="AY54">
        <f>$E54*'Nutrient Content_TFP'!$AR56</f>
        <v>9.9660729036530182E-3</v>
      </c>
      <c r="AZ54">
        <f>$E54*'Nutrient Content_TFP'!$AS56</f>
        <v>6.4422781381648225E-3</v>
      </c>
      <c r="BA54">
        <f>$E54*'Nutrient Content_TFP'!$AT56</f>
        <v>1.2115035551901428E-4</v>
      </c>
      <c r="BB54">
        <f>$E54*'Nutrient Content_TFP'!$AU56</f>
        <v>0</v>
      </c>
      <c r="BC54">
        <f>$E54*'Nutrient Content_TFP'!$AV56</f>
        <v>0</v>
      </c>
      <c r="BD54">
        <f>$E54*'Nutrient Content_TFP'!$AW56</f>
        <v>1.702293764483654E-2</v>
      </c>
      <c r="BE54">
        <f>$E54*'Nutrient Content_TFP'!$AX56</f>
        <v>0</v>
      </c>
      <c r="BF54">
        <f>$E54*'Nutrient Content_TFP'!$AY56</f>
        <v>0</v>
      </c>
    </row>
    <row r="55" spans="1:58" ht="14.5" x14ac:dyDescent="0.35">
      <c r="A55" s="4">
        <v>52</v>
      </c>
      <c r="B55" t="s">
        <v>137</v>
      </c>
      <c r="C55" s="2">
        <f>'Your Model Diet'!E63</f>
        <v>2.437049388885498</v>
      </c>
      <c r="D55">
        <f>'Nutrient Content_TFP'!$G57</f>
        <v>289.49442862000001</v>
      </c>
      <c r="E55">
        <f t="shared" si="0"/>
        <v>8.4182946127935674E-3</v>
      </c>
      <c r="F55">
        <f t="shared" si="1"/>
        <v>0.84182946127935676</v>
      </c>
      <c r="G55">
        <f>Cost_TFP!C57</f>
        <v>0.71593412343719998</v>
      </c>
      <c r="H55" s="1">
        <f t="shared" si="2"/>
        <v>6.0269443744464654E-3</v>
      </c>
      <c r="I55">
        <f>$E55*'Nutrient Content_TFP'!$Z57</f>
        <v>0.43727415388798407</v>
      </c>
      <c r="J55">
        <f>$E55*'Nutrient Content_TFP'!$AA57</f>
        <v>1.0534362866423401</v>
      </c>
      <c r="K55">
        <f>$E55*'Nutrient Content_TFP'!$AB57</f>
        <v>0.94131086089687666</v>
      </c>
      <c r="L55">
        <f>$E55*'Nutrient Content_TFP'!$AC57</f>
        <v>0.15002089124869059</v>
      </c>
      <c r="M55">
        <f>$E55*'Nutrient Content_TFP'!$AD57</f>
        <v>1.6407448979281297E-2</v>
      </c>
      <c r="N55">
        <f>$E55*'Nutrient Content_TFP'!$AE57</f>
        <v>0.36996791154848407</v>
      </c>
      <c r="O55">
        <f>$E55*'Nutrient Content_TFP'!$C57</f>
        <v>1.384531160961632</v>
      </c>
      <c r="P55">
        <f>$E55*'Nutrient Content_TFP'!$D57</f>
        <v>0.2056764531677818</v>
      </c>
      <c r="Q55">
        <f>$E55*'Nutrient Content_TFP'!$E57</f>
        <v>0.20379339915039657</v>
      </c>
      <c r="R55">
        <f>$E55*'Nutrient Content_TFP'!$F57</f>
        <v>1.2881821122116934E-3</v>
      </c>
      <c r="S55">
        <f>$E55*'Nutrient Content_TFP'!$H57</f>
        <v>1.6750477371201517E-2</v>
      </c>
      <c r="T55">
        <f>$E55*'Nutrient Content_TFP'!$I57</f>
        <v>0.33298006625519544</v>
      </c>
      <c r="U55">
        <f>$E55*'Nutrient Content_TFP'!$J57</f>
        <v>0.76532070980038824</v>
      </c>
      <c r="V55">
        <f>$E55*'Nutrient Content_TFP'!$K57</f>
        <v>1.5684392874707173E-2</v>
      </c>
      <c r="W55">
        <f>$E55*'Nutrient Content_TFP'!$L57</f>
        <v>0.20662046500028614</v>
      </c>
      <c r="X55">
        <f>$E55*'Nutrient Content_TFP'!$M57</f>
        <v>2.581574425152101E-2</v>
      </c>
      <c r="Y55">
        <f>$E55*'Nutrient Content_TFP'!$N57</f>
        <v>1.8148569496366185</v>
      </c>
      <c r="Z55">
        <f>$E55*'Nutrient Content_TFP'!$O57</f>
        <v>1.8097736671582683</v>
      </c>
      <c r="AA55">
        <f>$E55*'Nutrient Content_TFP'!$P57</f>
        <v>1.7023917629516929E-3</v>
      </c>
      <c r="AB55">
        <f>$E55*'Nutrient Content_TFP'!$Q57</f>
        <v>5.3627038220147032</v>
      </c>
      <c r="AC55">
        <f>$E55*'Nutrient Content_TFP'!$R57</f>
        <v>2.2517655452600704E-3</v>
      </c>
      <c r="AD55">
        <f>$E55*'Nutrient Content_TFP'!$S57</f>
        <v>5.4878281844747403E-3</v>
      </c>
      <c r="AE55">
        <f>$E55*'Nutrient Content_TFP'!$T57</f>
        <v>1.0315037518029142E-3</v>
      </c>
      <c r="AF55">
        <f>$E55*'Nutrient Content_TFP'!$U57</f>
        <v>1.6181623107128156E-2</v>
      </c>
      <c r="AG55">
        <f>$E55*'Nutrient Content_TFP'!$W57</f>
        <v>8.1930818711337897E-3</v>
      </c>
      <c r="AH55">
        <f>$E55*'Nutrient Content_TFP'!$X57</f>
        <v>5.8619160376837773E-2</v>
      </c>
      <c r="AI55">
        <f>$E55*'Nutrient Content_TFP'!$V57</f>
        <v>0.5220254881405002</v>
      </c>
      <c r="AJ55">
        <f>$E55*'Nutrient Content_TFP'!$Y57</f>
        <v>1.3273710891236636E-2</v>
      </c>
      <c r="AK55">
        <f>$E55*'Nutrient Content_TFP'!$AF57</f>
        <v>1.5511430506884284E-2</v>
      </c>
      <c r="AL55">
        <f>$E55*'Nutrient Content_TFP'!$AI57</f>
        <v>9.956333109075368E-4</v>
      </c>
      <c r="AM55">
        <f>$E55*'Nutrient Content_TFP'!$AO57</f>
        <v>0</v>
      </c>
      <c r="AN55">
        <f>$E55*'Nutrient Content_TFP'!$AP57</f>
        <v>3.7247216696449973E-3</v>
      </c>
      <c r="AO55">
        <f>$E55*'Nutrient Content_TFP'!$AQ57</f>
        <v>3.5405423510580956E-3</v>
      </c>
      <c r="AP55">
        <f>$E55*'Nutrient Content_TFP'!$AZ57</f>
        <v>3.3231932523798365E-2</v>
      </c>
      <c r="AQ55">
        <f>$E55*'Nutrient Content_TFP'!$BA57</f>
        <v>3.1940556652037926E-2</v>
      </c>
      <c r="AR55">
        <f>$E55*'Nutrient Content_TFP'!$AG57</f>
        <v>0</v>
      </c>
      <c r="AS55">
        <f>$E55*'Nutrient Content_TFP'!$AJ57</f>
        <v>0</v>
      </c>
      <c r="AT55">
        <f>$E55*'Nutrient Content_TFP'!$AK57</f>
        <v>8.88522418795639E-4</v>
      </c>
      <c r="AU55">
        <f>$E55*'Nutrient Content_TFP'!$AL57</f>
        <v>0</v>
      </c>
      <c r="AV55">
        <f>$E55*'Nutrient Content_TFP'!$AM57</f>
        <v>0</v>
      </c>
      <c r="AW55">
        <f>$E55*'Nutrient Content_TFP'!AN57</f>
        <v>1.0711089295372727E-4</v>
      </c>
      <c r="AX55">
        <f>$E55*'Nutrient Content_TFP'!AH57</f>
        <v>1.5511430509409773E-2</v>
      </c>
      <c r="AY55">
        <f>$E55*'Nutrient Content_TFP'!$AR57</f>
        <v>6.9208878488715808E-4</v>
      </c>
      <c r="AZ55">
        <f>$E55*'Nutrient Content_TFP'!$AS57</f>
        <v>6.6917640938091182E-4</v>
      </c>
      <c r="BA55">
        <f>$E55*'Nutrient Content_TFP'!$AT57</f>
        <v>0</v>
      </c>
      <c r="BB55">
        <f>$E55*'Nutrient Content_TFP'!$AU57</f>
        <v>2.4770896719013589E-4</v>
      </c>
      <c r="BC55">
        <f>$E55*'Nutrient Content_TFP'!$AV57</f>
        <v>0</v>
      </c>
      <c r="BD55">
        <f>$E55*'Nutrient Content_TFP'!$AW57</f>
        <v>3.2928333805006416E-3</v>
      </c>
      <c r="BE55">
        <f>$E55*'Nutrient Content_TFP'!$AX57</f>
        <v>0</v>
      </c>
      <c r="BF55">
        <f>$E55*'Nutrient Content_TFP'!$AY57</f>
        <v>2.4770896719013589E-4</v>
      </c>
    </row>
    <row r="56" spans="1:58" ht="14.5" x14ac:dyDescent="0.35">
      <c r="A56" s="4">
        <v>53</v>
      </c>
      <c r="B56" t="s">
        <v>139</v>
      </c>
      <c r="C56" s="2">
        <f>'Your Model Diet'!E64</f>
        <v>1.376572251319885</v>
      </c>
      <c r="D56">
        <f>'Nutrient Content_TFP'!$G58</f>
        <v>267.87269397</v>
      </c>
      <c r="E56">
        <f t="shared" si="0"/>
        <v>5.1389047196951409E-3</v>
      </c>
      <c r="F56">
        <f t="shared" si="1"/>
        <v>0.5138904719695141</v>
      </c>
      <c r="G56">
        <f>Cost_TFP!C58</f>
        <v>0.86409267433679993</v>
      </c>
      <c r="H56" s="1">
        <f t="shared" si="2"/>
        <v>4.4404899224033774E-3</v>
      </c>
      <c r="I56">
        <f>$E56*'Nutrient Content_TFP'!$Z58</f>
        <v>0.25105646753518568</v>
      </c>
      <c r="J56">
        <f>$E56*'Nutrient Content_TFP'!$AA58</f>
        <v>0.58149896811649515</v>
      </c>
      <c r="K56">
        <f>$E56*'Nutrient Content_TFP'!$AB58</f>
        <v>0.54180669089682176</v>
      </c>
      <c r="L56">
        <f>$E56*'Nutrient Content_TFP'!$AC58</f>
        <v>7.3875902261864787E-2</v>
      </c>
      <c r="M56">
        <f>$E56*'Nutrient Content_TFP'!$AD58</f>
        <v>6.5494811961997008E-3</v>
      </c>
      <c r="N56">
        <f>$E56*'Nutrient Content_TFP'!$AE58</f>
        <v>0.25826826425614574</v>
      </c>
      <c r="O56">
        <f>$E56*'Nutrient Content_TFP'!$C58</f>
        <v>1.0618684282704673</v>
      </c>
      <c r="P56">
        <f>$E56*'Nutrient Content_TFP'!$D58</f>
        <v>0.10733906123876975</v>
      </c>
      <c r="Q56">
        <f>$E56*'Nutrient Content_TFP'!$E58</f>
        <v>0.11176632003687727</v>
      </c>
      <c r="R56">
        <f>$E56*'Nutrient Content_TFP'!$F58</f>
        <v>6.3013358155180449E-4</v>
      </c>
      <c r="S56">
        <f>$E56*'Nutrient Content_TFP'!$H58</f>
        <v>1.4229480829273923E-2</v>
      </c>
      <c r="T56">
        <f>$E56*'Nutrient Content_TFP'!$I58</f>
        <v>0.23476908670991434</v>
      </c>
      <c r="U56">
        <f>$E56*'Nutrient Content_TFP'!$J58</f>
        <v>0.53338408479892241</v>
      </c>
      <c r="V56">
        <f>$E56*'Nutrient Content_TFP'!$K58</f>
        <v>1.0293286126623008E-2</v>
      </c>
      <c r="W56">
        <f>$E56*'Nutrient Content_TFP'!$L58</f>
        <v>0.12606397129346117</v>
      </c>
      <c r="X56">
        <f>$E56*'Nutrient Content_TFP'!$M58</f>
        <v>8.2380014728906607E-3</v>
      </c>
      <c r="Y56">
        <f>$E56*'Nutrient Content_TFP'!$N58</f>
        <v>1.1023611913422122</v>
      </c>
      <c r="Z56">
        <f>$E56*'Nutrient Content_TFP'!$O58</f>
        <v>1.031359866657241</v>
      </c>
      <c r="AA56">
        <f>$E56*'Nutrient Content_TFP'!$P58</f>
        <v>8.1300298086781065E-4</v>
      </c>
      <c r="AB56">
        <f>$E56*'Nutrient Content_TFP'!$Q58</f>
        <v>2.6161263855486885</v>
      </c>
      <c r="AC56">
        <f>$E56*'Nutrient Content_TFP'!$R58</f>
        <v>7.7010465147997107E-4</v>
      </c>
      <c r="AD56">
        <f>$E56*'Nutrient Content_TFP'!$S58</f>
        <v>3.3775512212467383E-3</v>
      </c>
      <c r="AE56">
        <f>$E56*'Nutrient Content_TFP'!$T58</f>
        <v>6.8136964612470292E-4</v>
      </c>
      <c r="AF56">
        <f>$E56*'Nutrient Content_TFP'!$U58</f>
        <v>3.2325570292055538E-3</v>
      </c>
      <c r="AG56">
        <f>$E56*'Nutrient Content_TFP'!$W58</f>
        <v>3.8661767979829478E-3</v>
      </c>
      <c r="AH56">
        <f>$E56*'Nutrient Content_TFP'!$X58</f>
        <v>2.5742852674579503E-2</v>
      </c>
      <c r="AI56">
        <f>$E56*'Nutrient Content_TFP'!$V58</f>
        <v>0.3526214298699939</v>
      </c>
      <c r="AJ56">
        <f>$E56*'Nutrient Content_TFP'!$Y58</f>
        <v>7.7528831847505997E-3</v>
      </c>
      <c r="AK56">
        <f>$E56*'Nutrient Content_TFP'!$AF58</f>
        <v>8.8116824054661272E-3</v>
      </c>
      <c r="AL56">
        <f>$E56*'Nutrient Content_TFP'!$AI58</f>
        <v>4.9991277549343751E-4</v>
      </c>
      <c r="AM56">
        <f>$E56*'Nutrient Content_TFP'!$AO58</f>
        <v>0</v>
      </c>
      <c r="AN56">
        <f>$E56*'Nutrient Content_TFP'!$AP58</f>
        <v>2.8605059715586796E-3</v>
      </c>
      <c r="AO56">
        <f>$E56*'Nutrient Content_TFP'!$AQ58</f>
        <v>6.1470834811647472E-4</v>
      </c>
      <c r="AP56">
        <f>$E56*'Nutrient Content_TFP'!$AZ58</f>
        <v>1.9548305251920518E-2</v>
      </c>
      <c r="AQ56">
        <f>$E56*'Nutrient Content_TFP'!$BA58</f>
        <v>1.0961297603096802E-2</v>
      </c>
      <c r="AR56">
        <f>$E56*'Nutrient Content_TFP'!$AG58</f>
        <v>0</v>
      </c>
      <c r="AS56">
        <f>$E56*'Nutrient Content_TFP'!$AJ58</f>
        <v>0</v>
      </c>
      <c r="AT56">
        <f>$E56*'Nutrient Content_TFP'!$AK58</f>
        <v>4.8317320139806537E-4</v>
      </c>
      <c r="AU56">
        <f>$E56*'Nutrient Content_TFP'!$AL58</f>
        <v>0</v>
      </c>
      <c r="AV56">
        <f>$E56*'Nutrient Content_TFP'!$AM58</f>
        <v>0</v>
      </c>
      <c r="AW56">
        <f>$E56*'Nutrient Content_TFP'!AN58</f>
        <v>1.6739573581481706E-5</v>
      </c>
      <c r="AX56">
        <f>$E56*'Nutrient Content_TFP'!AH58</f>
        <v>8.8116824049522379E-3</v>
      </c>
      <c r="AY56">
        <f>$E56*'Nutrient Content_TFP'!$AR58</f>
        <v>2.2194878095316117E-6</v>
      </c>
      <c r="AZ56">
        <f>$E56*'Nutrient Content_TFP'!$AS58</f>
        <v>0</v>
      </c>
      <c r="BA56">
        <f>$E56*'Nutrient Content_TFP'!$AT58</f>
        <v>0</v>
      </c>
      <c r="BB56">
        <f>$E56*'Nutrient Content_TFP'!$AU58</f>
        <v>0</v>
      </c>
      <c r="BC56">
        <f>$E56*'Nutrient Content_TFP'!$AV58</f>
        <v>0</v>
      </c>
      <c r="BD56">
        <f>$E56*'Nutrient Content_TFP'!$AW58</f>
        <v>6.1470834657480341E-4</v>
      </c>
      <c r="BE56">
        <f>$E56*'Nutrient Content_TFP'!$AX58</f>
        <v>0</v>
      </c>
      <c r="BF56">
        <f>$E56*'Nutrient Content_TFP'!$AY58</f>
        <v>0</v>
      </c>
    </row>
    <row r="57" spans="1:58" ht="14.5" x14ac:dyDescent="0.35">
      <c r="A57" s="4">
        <v>54</v>
      </c>
      <c r="B57" t="s">
        <v>141</v>
      </c>
      <c r="C57" s="2">
        <f>'Your Model Diet'!E65</f>
        <v>9.7579631805419922</v>
      </c>
      <c r="D57">
        <f>'Nutrient Content_TFP'!$G59</f>
        <v>269.71841683000002</v>
      </c>
      <c r="E57">
        <f t="shared" si="0"/>
        <v>3.6178334780499283E-2</v>
      </c>
      <c r="F57">
        <f t="shared" si="1"/>
        <v>3.6178334780499282</v>
      </c>
      <c r="G57">
        <f>Cost_TFP!C59</f>
        <v>0.8933848355456</v>
      </c>
      <c r="H57" s="1">
        <f t="shared" si="2"/>
        <v>3.2321175668190011E-2</v>
      </c>
      <c r="I57">
        <f>$E57*'Nutrient Content_TFP'!$Z59</f>
        <v>1.7766055250086383</v>
      </c>
      <c r="J57">
        <f>$E57*'Nutrient Content_TFP'!$AA59</f>
        <v>4.6185342724612113</v>
      </c>
      <c r="K57">
        <f>$E57*'Nutrient Content_TFP'!$AB59</f>
        <v>3.3675285383852103</v>
      </c>
      <c r="L57">
        <f>$E57*'Nutrient Content_TFP'!$AC59</f>
        <v>0.45232670805229036</v>
      </c>
      <c r="M57">
        <f>$E57*'Nutrient Content_TFP'!$AD59</f>
        <v>6.0801709817738102E-2</v>
      </c>
      <c r="N57">
        <f>$E57*'Nutrient Content_TFP'!$AE59</f>
        <v>1.4506686107831617</v>
      </c>
      <c r="O57">
        <f>$E57*'Nutrient Content_TFP'!$C59</f>
        <v>6.1883735549740777</v>
      </c>
      <c r="P57">
        <f>$E57*'Nutrient Content_TFP'!$D59</f>
        <v>0.69738785828515859</v>
      </c>
      <c r="Q57">
        <f>$E57*'Nutrient Content_TFP'!$E59</f>
        <v>0.71633310970405906</v>
      </c>
      <c r="R57">
        <f>$E57*'Nutrient Content_TFP'!$F59</f>
        <v>7.4058252922893433E-3</v>
      </c>
      <c r="S57">
        <f>$E57*'Nutrient Content_TFP'!$H59</f>
        <v>8.5478952166879674E-2</v>
      </c>
      <c r="T57">
        <f>$E57*'Nutrient Content_TFP'!$I59</f>
        <v>1.4996476492480322</v>
      </c>
      <c r="U57">
        <f>$E57*'Nutrient Content_TFP'!$J59</f>
        <v>2.9757948020486533</v>
      </c>
      <c r="V57">
        <f>$E57*'Nutrient Content_TFP'!$K59</f>
        <v>7.1550326839028622E-2</v>
      </c>
      <c r="W57">
        <f>$E57*'Nutrient Content_TFP'!$L59</f>
        <v>0.91615429075683441</v>
      </c>
      <c r="X57">
        <f>$E57*'Nutrient Content_TFP'!$M59</f>
        <v>9.6258218290364697E-2</v>
      </c>
      <c r="Y57">
        <f>$E57*'Nutrient Content_TFP'!$N59</f>
        <v>8.1805149849816292</v>
      </c>
      <c r="Z57">
        <f>$E57*'Nutrient Content_TFP'!$O59</f>
        <v>6.5246540688549013</v>
      </c>
      <c r="AA57">
        <f>$E57*'Nutrient Content_TFP'!$P59</f>
        <v>8.4212720203241265E-3</v>
      </c>
      <c r="AB57">
        <f>$E57*'Nutrient Content_TFP'!$Q59</f>
        <v>21.987687304045195</v>
      </c>
      <c r="AC57">
        <f>$E57*'Nutrient Content_TFP'!$R59</f>
        <v>1.0555957747058142E-2</v>
      </c>
      <c r="AD57">
        <f>$E57*'Nutrient Content_TFP'!$S59</f>
        <v>2.3135776540350213E-2</v>
      </c>
      <c r="AE57">
        <f>$E57*'Nutrient Content_TFP'!$T59</f>
        <v>3.4299124188205835E-3</v>
      </c>
      <c r="AF57">
        <f>$E57*'Nutrient Content_TFP'!$U59</f>
        <v>5.8931285506682952E-2</v>
      </c>
      <c r="AG57">
        <f>$E57*'Nutrient Content_TFP'!$W59</f>
        <v>2.7844752466461824E-2</v>
      </c>
      <c r="AH57">
        <f>$E57*'Nutrient Content_TFP'!$X59</f>
        <v>0.25925910809358432</v>
      </c>
      <c r="AI57">
        <f>$E57*'Nutrient Content_TFP'!$V59</f>
        <v>2.4444670913120805</v>
      </c>
      <c r="AJ57">
        <f>$E57*'Nutrient Content_TFP'!$Y59</f>
        <v>4.9313529358089053E-2</v>
      </c>
      <c r="AK57">
        <f>$E57*'Nutrient Content_TFP'!$AF59</f>
        <v>6.5846533527221099E-2</v>
      </c>
      <c r="AL57">
        <f>$E57*'Nutrient Content_TFP'!$AI59</f>
        <v>3.7114108646279413E-3</v>
      </c>
      <c r="AM57">
        <f>$E57*'Nutrient Content_TFP'!$AO59</f>
        <v>3.4696860913905663E-5</v>
      </c>
      <c r="AN57">
        <f>$E57*'Nutrient Content_TFP'!$AP59</f>
        <v>2.0095513809992301E-2</v>
      </c>
      <c r="AO57">
        <f>$E57*'Nutrient Content_TFP'!$AQ59</f>
        <v>2.8204876458763775E-3</v>
      </c>
      <c r="AP57">
        <f>$E57*'Nutrient Content_TFP'!$AZ59</f>
        <v>0.12243269703030905</v>
      </c>
      <c r="AQ57">
        <f>$E57*'Nutrient Content_TFP'!$BA59</f>
        <v>7.8485505945573047E-2</v>
      </c>
      <c r="AR57">
        <f>$E57*'Nutrient Content_TFP'!$AG59</f>
        <v>0</v>
      </c>
      <c r="AS57">
        <f>$E57*'Nutrient Content_TFP'!$AJ59</f>
        <v>0</v>
      </c>
      <c r="AT57">
        <f>$E57*'Nutrient Content_TFP'!$AK59</f>
        <v>3.7114108646279413E-3</v>
      </c>
      <c r="AU57">
        <f>$E57*'Nutrient Content_TFP'!$AL59</f>
        <v>0</v>
      </c>
      <c r="AV57">
        <f>$E57*'Nutrient Content_TFP'!$AM59</f>
        <v>0</v>
      </c>
      <c r="AW57">
        <f>$E57*'Nutrient Content_TFP'!AN59</f>
        <v>0</v>
      </c>
      <c r="AX57">
        <f>$E57*'Nutrient Content_TFP'!AH59</f>
        <v>6.5846533530838941E-2</v>
      </c>
      <c r="AY57">
        <f>$E57*'Nutrient Content_TFP'!$AR59</f>
        <v>0</v>
      </c>
      <c r="AZ57">
        <f>$E57*'Nutrient Content_TFP'!$AS59</f>
        <v>0</v>
      </c>
      <c r="BA57">
        <f>$E57*'Nutrient Content_TFP'!$AT59</f>
        <v>0</v>
      </c>
      <c r="BB57">
        <f>$E57*'Nutrient Content_TFP'!$AU59</f>
        <v>0</v>
      </c>
      <c r="BC57">
        <f>$E57*'Nutrient Content_TFP'!$AV59</f>
        <v>0</v>
      </c>
      <c r="BD57">
        <f>$E57*'Nutrient Content_TFP'!$AW59</f>
        <v>2.8204876531120445E-3</v>
      </c>
      <c r="BE57">
        <f>$E57*'Nutrient Content_TFP'!$AX59</f>
        <v>0</v>
      </c>
      <c r="BF57">
        <f>$E57*'Nutrient Content_TFP'!$AY59</f>
        <v>0</v>
      </c>
    </row>
    <row r="58" spans="1:58" ht="14.5" x14ac:dyDescent="0.35">
      <c r="A58" s="4">
        <v>55</v>
      </c>
      <c r="B58" t="s">
        <v>142</v>
      </c>
      <c r="C58" s="2">
        <f>'Your Model Diet'!E66</f>
        <v>3.3189339637756352</v>
      </c>
      <c r="D58">
        <f>'Nutrient Content_TFP'!$G60</f>
        <v>263.20979983000001</v>
      </c>
      <c r="E58">
        <f t="shared" si="0"/>
        <v>1.2609461980212148E-2</v>
      </c>
      <c r="F58">
        <f t="shared" si="1"/>
        <v>1.2609461980212149</v>
      </c>
      <c r="G58">
        <f>Cost_TFP!C60</f>
        <v>1.1298642262142</v>
      </c>
      <c r="H58" s="1">
        <f t="shared" si="2"/>
        <v>1.4246980003249773E-2</v>
      </c>
      <c r="I58">
        <f>$E58*'Nutrient Content_TFP'!$Z60</f>
        <v>0.58026489492657896</v>
      </c>
      <c r="J58">
        <f>$E58*'Nutrient Content_TFP'!$AA60</f>
        <v>1.4271599181930033</v>
      </c>
      <c r="K58">
        <f>$E58*'Nutrient Content_TFP'!$AB60</f>
        <v>1.3106190788084364</v>
      </c>
      <c r="L58">
        <f>$E58*'Nutrient Content_TFP'!$AC60</f>
        <v>0.17750543368187532</v>
      </c>
      <c r="M58">
        <f>$E58*'Nutrient Content_TFP'!$AD60</f>
        <v>1.9007312800456744E-2</v>
      </c>
      <c r="N58">
        <f>$E58*'Nutrient Content_TFP'!$AE60</f>
        <v>0.53781365119833879</v>
      </c>
      <c r="O58">
        <f>$E58*'Nutrient Content_TFP'!$C60</f>
        <v>2.2253018019533881</v>
      </c>
      <c r="P58">
        <f>$E58*'Nutrient Content_TFP'!$D60</f>
        <v>0.23518758362740794</v>
      </c>
      <c r="Q58">
        <f>$E58*'Nutrient Content_TFP'!$E60</f>
        <v>0.2318762767971945</v>
      </c>
      <c r="R58">
        <f>$E58*'Nutrient Content_TFP'!$F60</f>
        <v>2.3073244256610671E-3</v>
      </c>
      <c r="S58">
        <f>$E58*'Nutrient Content_TFP'!$H60</f>
        <v>2.995568103588785E-2</v>
      </c>
      <c r="T58">
        <f>$E58*'Nutrient Content_TFP'!$I60</f>
        <v>0.47467985111874594</v>
      </c>
      <c r="U58">
        <f>$E58*'Nutrient Content_TFP'!$J60</f>
        <v>0.92960443121928271</v>
      </c>
      <c r="V58">
        <f>$E58*'Nutrient Content_TFP'!$K60</f>
        <v>2.2962804403646873E-2</v>
      </c>
      <c r="W58">
        <f>$E58*'Nutrient Content_TFP'!$L60</f>
        <v>0.30365040500754098</v>
      </c>
      <c r="X58">
        <f>$E58*'Nutrient Content_TFP'!$M60</f>
        <v>2.5076345647928412E-2</v>
      </c>
      <c r="Y58">
        <f>$E58*'Nutrient Content_TFP'!$N60</f>
        <v>2.5456777744804904</v>
      </c>
      <c r="Z58">
        <f>$E58*'Nutrient Content_TFP'!$O60</f>
        <v>2.2985161948144466</v>
      </c>
      <c r="AA58">
        <f>$E58*'Nutrient Content_TFP'!$P60</f>
        <v>2.6716175347059512E-3</v>
      </c>
      <c r="AB58">
        <f>$E58*'Nutrient Content_TFP'!$Q60</f>
        <v>6.5553274517759723</v>
      </c>
      <c r="AC58">
        <f>$E58*'Nutrient Content_TFP'!$R60</f>
        <v>2.4715952646734954E-3</v>
      </c>
      <c r="AD58">
        <f>$E58*'Nutrient Content_TFP'!$S60</f>
        <v>8.2079739892338653E-3</v>
      </c>
      <c r="AE58">
        <f>$E58*'Nutrient Content_TFP'!$T60</f>
        <v>1.4620227401260515E-3</v>
      </c>
      <c r="AF58">
        <f>$E58*'Nutrient Content_TFP'!$U60</f>
        <v>3.1953415793531802E-2</v>
      </c>
      <c r="AG58">
        <f>$E58*'Nutrient Content_TFP'!$W60</f>
        <v>1.0705559580618617E-2</v>
      </c>
      <c r="AH58">
        <f>$E58*'Nutrient Content_TFP'!$X60</f>
        <v>8.2376670201473559E-2</v>
      </c>
      <c r="AI58">
        <f>$E58*'Nutrient Content_TFP'!$V60</f>
        <v>0.82069990730451325</v>
      </c>
      <c r="AJ58">
        <f>$E58*'Nutrient Content_TFP'!$Y60</f>
        <v>1.7921483418471443E-2</v>
      </c>
      <c r="AK58">
        <f>$E58*'Nutrient Content_TFP'!$AF60</f>
        <v>2.2042179983487904E-2</v>
      </c>
      <c r="AL58">
        <f>$E58*'Nutrient Content_TFP'!$AI60</f>
        <v>1.5136417365257259E-3</v>
      </c>
      <c r="AM58">
        <f>$E58*'Nutrient Content_TFP'!$AO60</f>
        <v>0</v>
      </c>
      <c r="AN58">
        <f>$E58*'Nutrient Content_TFP'!$AP60</f>
        <v>6.5937379962750023E-3</v>
      </c>
      <c r="AO58">
        <f>$E58*'Nutrient Content_TFP'!$AQ60</f>
        <v>1.2063749079378352E-3</v>
      </c>
      <c r="AP58">
        <f>$E58*'Nutrient Content_TFP'!$AZ60</f>
        <v>5.482608393975525E-2</v>
      </c>
      <c r="AQ58">
        <f>$E58*'Nutrient Content_TFP'!$BA60</f>
        <v>2.2909747237582937E-2</v>
      </c>
      <c r="AR58">
        <f>$E58*'Nutrient Content_TFP'!$AG60</f>
        <v>0</v>
      </c>
      <c r="AS58">
        <f>$E58*'Nutrient Content_TFP'!$AJ60</f>
        <v>0</v>
      </c>
      <c r="AT58">
        <f>$E58*'Nutrient Content_TFP'!$AK60</f>
        <v>1.138372015170295E-3</v>
      </c>
      <c r="AU58">
        <f>$E58*'Nutrient Content_TFP'!$AL60</f>
        <v>0</v>
      </c>
      <c r="AV58">
        <f>$E58*'Nutrient Content_TFP'!$AM60</f>
        <v>0</v>
      </c>
      <c r="AW58">
        <f>$E58*'Nutrient Content_TFP'!AN60</f>
        <v>3.7526972135543092E-4</v>
      </c>
      <c r="AX58">
        <f>$E58*'Nutrient Content_TFP'!AH60</f>
        <v>2.2042179987270743E-2</v>
      </c>
      <c r="AY58">
        <f>$E58*'Nutrient Content_TFP'!$AR60</f>
        <v>2.9273332537155766E-5</v>
      </c>
      <c r="AZ58">
        <f>$E58*'Nutrient Content_TFP'!$AS60</f>
        <v>3.1712771661309596E-5</v>
      </c>
      <c r="BA58">
        <f>$E58*'Nutrient Content_TFP'!$AT60</f>
        <v>0</v>
      </c>
      <c r="BB58">
        <f>$E58*'Nutrient Content_TFP'!$AU60</f>
        <v>0</v>
      </c>
      <c r="BC58">
        <f>$E58*'Nutrient Content_TFP'!$AV60</f>
        <v>0</v>
      </c>
      <c r="BD58">
        <f>$E58*'Nutrient Content_TFP'!$AW60</f>
        <v>1.2063749054159428E-3</v>
      </c>
      <c r="BE58">
        <f>$E58*'Nutrient Content_TFP'!$AX60</f>
        <v>0</v>
      </c>
      <c r="BF58">
        <f>$E58*'Nutrient Content_TFP'!$AY60</f>
        <v>0</v>
      </c>
    </row>
    <row r="59" spans="1:58" ht="14.5" x14ac:dyDescent="0.35">
      <c r="A59" s="4">
        <v>56</v>
      </c>
      <c r="B59" t="s">
        <v>143</v>
      </c>
      <c r="C59" s="2">
        <f>'Your Model Diet'!E67</f>
        <v>5.929084300994873</v>
      </c>
      <c r="D59">
        <f>'Nutrient Content_TFP'!$G61</f>
        <v>273.25293563000002</v>
      </c>
      <c r="E59">
        <f t="shared" si="0"/>
        <v>2.1698154083230746E-2</v>
      </c>
      <c r="F59">
        <f t="shared" si="1"/>
        <v>2.1698154083230747</v>
      </c>
      <c r="G59">
        <f>Cost_TFP!C61</f>
        <v>0.61164659531479992</v>
      </c>
      <c r="H59" s="1">
        <f t="shared" si="2"/>
        <v>1.327160206962401E-2</v>
      </c>
      <c r="I59">
        <f>$E59*'Nutrient Content_TFP'!$Z61</f>
        <v>0.91492914072873055</v>
      </c>
      <c r="J59">
        <f>$E59*'Nutrient Content_TFP'!$AA61</f>
        <v>1.9331950129567228</v>
      </c>
      <c r="K59">
        <f>$E59*'Nutrient Content_TFP'!$AB61</f>
        <v>3.036918878762866</v>
      </c>
      <c r="L59">
        <f>$E59*'Nutrient Content_TFP'!$AC61</f>
        <v>0.45071675543327394</v>
      </c>
      <c r="M59">
        <f>$E59*'Nutrient Content_TFP'!$AD61</f>
        <v>3.8371952867456413E-2</v>
      </c>
      <c r="N59">
        <f>$E59*'Nutrient Content_TFP'!$AE61</f>
        <v>1.1048039910201637</v>
      </c>
      <c r="O59">
        <f>$E59*'Nutrient Content_TFP'!$C61</f>
        <v>3.0516658148077718</v>
      </c>
      <c r="P59">
        <f>$E59*'Nutrient Content_TFP'!$D61</f>
        <v>0.88729016018511109</v>
      </c>
      <c r="Q59">
        <f>$E59*'Nutrient Content_TFP'!$E61</f>
        <v>1.3530637569159678</v>
      </c>
      <c r="R59">
        <f>$E59*'Nutrient Content_TFP'!$F61</f>
        <v>1.6473838078287946E-3</v>
      </c>
      <c r="S59">
        <f>$E59*'Nutrient Content_TFP'!$H61</f>
        <v>2.599495181720542E-2</v>
      </c>
      <c r="T59">
        <f>$E59*'Nutrient Content_TFP'!$I61</f>
        <v>0.55825154182870274</v>
      </c>
      <c r="U59">
        <f>$E59*'Nutrient Content_TFP'!$J61</f>
        <v>1.3269122031045997</v>
      </c>
      <c r="V59">
        <f>$E59*'Nutrient Content_TFP'!$K61</f>
        <v>4.3999613916667596E-2</v>
      </c>
      <c r="W59">
        <f>$E59*'Nutrient Content_TFP'!$L61</f>
        <v>0.40630318362309981</v>
      </c>
      <c r="X59">
        <f>$E59*'Nutrient Content_TFP'!$M61</f>
        <v>6.0939967988321748E-2</v>
      </c>
      <c r="Y59">
        <f>$E59*'Nutrient Content_TFP'!$N61</f>
        <v>3.740319470728982</v>
      </c>
      <c r="Z59">
        <f>$E59*'Nutrient Content_TFP'!$O61</f>
        <v>4.7294587326297775</v>
      </c>
      <c r="AA59">
        <f>$E59*'Nutrient Content_TFP'!$P61</f>
        <v>4.8455270068395451E-3</v>
      </c>
      <c r="AB59">
        <f>$E59*'Nutrient Content_TFP'!$Q61</f>
        <v>14.966248937393768</v>
      </c>
      <c r="AC59">
        <f>$E59*'Nutrient Content_TFP'!$R61</f>
        <v>4.5669187984034966E-3</v>
      </c>
      <c r="AD59">
        <f>$E59*'Nutrient Content_TFP'!$S61</f>
        <v>1.0620171885585125E-2</v>
      </c>
      <c r="AE59">
        <f>$E59*'Nutrient Content_TFP'!$T61</f>
        <v>2.5002186055586113E-3</v>
      </c>
      <c r="AF59">
        <f>$E59*'Nutrient Content_TFP'!$U61</f>
        <v>5.2934138080831694E-2</v>
      </c>
      <c r="AG59">
        <f>$E59*'Nutrient Content_TFP'!$W61</f>
        <v>1.3734888029886125E-2</v>
      </c>
      <c r="AH59">
        <f>$E59*'Nutrient Content_TFP'!$X61</f>
        <v>8.8392290003043689E-2</v>
      </c>
      <c r="AI59">
        <f>$E59*'Nutrient Content_TFP'!$V61</f>
        <v>0.96759131491656747</v>
      </c>
      <c r="AJ59">
        <f>$E59*'Nutrient Content_TFP'!$Y61</f>
        <v>2.6383761890790471E-2</v>
      </c>
      <c r="AK59">
        <f>$E59*'Nutrient Content_TFP'!$AF61</f>
        <v>2.9629381531880383E-2</v>
      </c>
      <c r="AL59">
        <f>$E59*'Nutrient Content_TFP'!$AI61</f>
        <v>3.8664461299625321E-4</v>
      </c>
      <c r="AM59">
        <f>$E59*'Nutrient Content_TFP'!$AO61</f>
        <v>0</v>
      </c>
      <c r="AN59">
        <f>$E59*'Nutrient Content_TFP'!$AP61</f>
        <v>2.6308398831366275E-3</v>
      </c>
      <c r="AO59">
        <f>$E59*'Nutrient Content_TFP'!$AQ61</f>
        <v>2.7396962748264558E-2</v>
      </c>
      <c r="AP59">
        <f>$E59*'Nutrient Content_TFP'!$AZ61</f>
        <v>3.7816397426920868E-2</v>
      </c>
      <c r="AQ59">
        <f>$E59*'Nutrient Content_TFP'!$BA61</f>
        <v>0.26032299198599357</v>
      </c>
      <c r="AR59">
        <f>$E59*'Nutrient Content_TFP'!$AG61</f>
        <v>1.2482989769632949E-3</v>
      </c>
      <c r="AS59">
        <f>$E59*'Nutrient Content_TFP'!$AJ61</f>
        <v>0</v>
      </c>
      <c r="AT59">
        <f>$E59*'Nutrient Content_TFP'!$AK61</f>
        <v>1.4972763923157473E-4</v>
      </c>
      <c r="AU59">
        <f>$E59*'Nutrient Content_TFP'!$AL61</f>
        <v>1.1282499622261775E-4</v>
      </c>
      <c r="AV59">
        <f>$E59*'Nutrient Content_TFP'!$AM61</f>
        <v>0</v>
      </c>
      <c r="AW59">
        <f>$E59*'Nutrient Content_TFP'!AN61</f>
        <v>1.2409197537224532E-4</v>
      </c>
      <c r="AX59">
        <f>$E59*'Nutrient Content_TFP'!AH61</f>
        <v>2.8381082561426536E-2</v>
      </c>
      <c r="AY59">
        <f>$E59*'Nutrient Content_TFP'!$AR61</f>
        <v>5.3591873693951898E-4</v>
      </c>
      <c r="AZ59">
        <f>$E59*'Nutrient Content_TFP'!$AS61</f>
        <v>0</v>
      </c>
      <c r="BA59">
        <f>$E59*'Nutrient Content_TFP'!$AT61</f>
        <v>3.1238736961749338E-3</v>
      </c>
      <c r="BB59">
        <f>$E59*'Nutrient Content_TFP'!$AU61</f>
        <v>0</v>
      </c>
      <c r="BC59">
        <f>$E59*'Nutrient Content_TFP'!$AV61</f>
        <v>0</v>
      </c>
      <c r="BD59">
        <f>$E59*'Nutrient Content_TFP'!$AW61</f>
        <v>2.7396962739585296E-2</v>
      </c>
      <c r="BE59">
        <f>$E59*'Nutrient Content_TFP'!$AX61</f>
        <v>0</v>
      </c>
      <c r="BF59">
        <f>$E59*'Nutrient Content_TFP'!$AY61</f>
        <v>0</v>
      </c>
    </row>
    <row r="60" spans="1:58" ht="14.5" x14ac:dyDescent="0.35">
      <c r="A60" s="4">
        <v>57</v>
      </c>
      <c r="B60" t="s">
        <v>145</v>
      </c>
      <c r="C60" s="2">
        <f>'Your Model Diet'!E68</f>
        <v>10.924485206604</v>
      </c>
      <c r="D60">
        <f>'Nutrient Content_TFP'!$G62</f>
        <v>283.40665268999999</v>
      </c>
      <c r="E60">
        <f t="shared" si="0"/>
        <v>3.854703163427E-2</v>
      </c>
      <c r="F60">
        <f t="shared" si="1"/>
        <v>3.8547031634270001</v>
      </c>
      <c r="G60">
        <f>Cost_TFP!C62</f>
        <v>1.1220298286215999</v>
      </c>
      <c r="H60" s="1">
        <f t="shared" si="2"/>
        <v>4.3250919298471358E-2</v>
      </c>
      <c r="I60">
        <f>$E60*'Nutrient Content_TFP'!$Z62</f>
        <v>1.5184547308353262</v>
      </c>
      <c r="J60">
        <f>$E60*'Nutrient Content_TFP'!$AA62</f>
        <v>3.1557238883360559</v>
      </c>
      <c r="K60">
        <f>$E60*'Nutrient Content_TFP'!$AB62</f>
        <v>6.2808046121963788</v>
      </c>
      <c r="L60">
        <f>$E60*'Nutrient Content_TFP'!$AC62</f>
        <v>0.66152666333925736</v>
      </c>
      <c r="M60">
        <f>$E60*'Nutrient Content_TFP'!$AD62</f>
        <v>4.8592899558723521E-2</v>
      </c>
      <c r="N60">
        <f>$E60*'Nutrient Content_TFP'!$AE62</f>
        <v>2.2838258579945991</v>
      </c>
      <c r="O60">
        <f>$E60*'Nutrient Content_TFP'!$C62</f>
        <v>2.717319283084326</v>
      </c>
      <c r="P60">
        <f>$E60*'Nutrient Content_TFP'!$D62</f>
        <v>1.5853945315795339</v>
      </c>
      <c r="Q60">
        <f>$E60*'Nutrient Content_TFP'!$E62</f>
        <v>1.773481251630179</v>
      </c>
      <c r="R60">
        <f>$E60*'Nutrient Content_TFP'!$F62</f>
        <v>4.6669412625307601E-3</v>
      </c>
      <c r="S60">
        <f>$E60*'Nutrient Content_TFP'!$H62</f>
        <v>5.7095947709372326E-2</v>
      </c>
      <c r="T60">
        <f>$E60*'Nutrient Content_TFP'!$I62</f>
        <v>1.0132910732969622</v>
      </c>
      <c r="U60">
        <f>$E60*'Nutrient Content_TFP'!$J62</f>
        <v>2.2171988714617643</v>
      </c>
      <c r="V60">
        <f>$E60*'Nutrient Content_TFP'!$K62</f>
        <v>6.6900654888291625E-2</v>
      </c>
      <c r="W60">
        <f>$E60*'Nutrient Content_TFP'!$L62</f>
        <v>0.70138316851431581</v>
      </c>
      <c r="X60">
        <f>$E60*'Nutrient Content_TFP'!$M62</f>
        <v>9.9743369283160521E-2</v>
      </c>
      <c r="Y60">
        <f>$E60*'Nutrient Content_TFP'!$N62</f>
        <v>7.5237778663433907</v>
      </c>
      <c r="Z60">
        <f>$E60*'Nutrient Content_TFP'!$O62</f>
        <v>8.7364844549719649</v>
      </c>
      <c r="AA60">
        <f>$E60*'Nutrient Content_TFP'!$P62</f>
        <v>7.7704777998935321E-3</v>
      </c>
      <c r="AB60">
        <f>$E60*'Nutrient Content_TFP'!$Q62</f>
        <v>25.474408312461325</v>
      </c>
      <c r="AC60">
        <f>$E60*'Nutrient Content_TFP'!$R62</f>
        <v>8.4581233083313861E-3</v>
      </c>
      <c r="AD60">
        <f>$E60*'Nutrient Content_TFP'!$S62</f>
        <v>2.1767402019432266E-2</v>
      </c>
      <c r="AE60">
        <f>$E60*'Nutrient Content_TFP'!$T62</f>
        <v>3.9695480462631858E-3</v>
      </c>
      <c r="AF60">
        <f>$E60*'Nutrient Content_TFP'!$U62</f>
        <v>4.0580005320612058E-3</v>
      </c>
      <c r="AG60">
        <f>$E60*'Nutrient Content_TFP'!$W62</f>
        <v>3.0519202502939966E-2</v>
      </c>
      <c r="AH60">
        <f>$E60*'Nutrient Content_TFP'!$X62</f>
        <v>0.12757109069727676</v>
      </c>
      <c r="AI60">
        <f>$E60*'Nutrient Content_TFP'!$V62</f>
        <v>1.8473906764822599</v>
      </c>
      <c r="AJ60">
        <f>$E60*'Nutrient Content_TFP'!$Y62</f>
        <v>4.5201758510855762E-2</v>
      </c>
      <c r="AK60">
        <f>$E60*'Nutrient Content_TFP'!$AF62</f>
        <v>4.3512620064116186E-2</v>
      </c>
      <c r="AL60">
        <f>$E60*'Nutrient Content_TFP'!$AI62</f>
        <v>1.5726139078375602E-3</v>
      </c>
      <c r="AM60">
        <f>$E60*'Nutrient Content_TFP'!$AO62</f>
        <v>0</v>
      </c>
      <c r="AN60">
        <f>$E60*'Nutrient Content_TFP'!$AP62</f>
        <v>3.0901815867486063E-3</v>
      </c>
      <c r="AO60">
        <f>$E60*'Nutrient Content_TFP'!$AQ62</f>
        <v>4.072672280113622E-2</v>
      </c>
      <c r="AP60">
        <f>$E60*'Nutrient Content_TFP'!$AZ62</f>
        <v>3.8255188615517022E-2</v>
      </c>
      <c r="AQ60">
        <f>$E60*'Nutrient Content_TFP'!$BA62</f>
        <v>0.22949802067565528</v>
      </c>
      <c r="AR60">
        <f>$E60*'Nutrient Content_TFP'!$AG62</f>
        <v>0</v>
      </c>
      <c r="AS60">
        <f>$E60*'Nutrient Content_TFP'!$AJ62</f>
        <v>0</v>
      </c>
      <c r="AT60">
        <f>$E60*'Nutrient Content_TFP'!$AK62</f>
        <v>4.0890845731230471E-4</v>
      </c>
      <c r="AU60">
        <f>$E60*'Nutrient Content_TFP'!$AL62</f>
        <v>8.9515097171210438E-4</v>
      </c>
      <c r="AV60">
        <f>$E60*'Nutrient Content_TFP'!$AM62</f>
        <v>0</v>
      </c>
      <c r="AW60">
        <f>$E60*'Nutrient Content_TFP'!AN62</f>
        <v>2.6855447881315102E-4</v>
      </c>
      <c r="AX60">
        <f>$E60*'Nutrient Content_TFP'!AH62</f>
        <v>4.35126200833897E-2</v>
      </c>
      <c r="AY60">
        <f>$E60*'Nutrient Content_TFP'!$AR62</f>
        <v>5.5628390482884505E-3</v>
      </c>
      <c r="AZ60">
        <f>$E60*'Nutrient Content_TFP'!$AS62</f>
        <v>0</v>
      </c>
      <c r="BA60">
        <f>$E60*'Nutrient Content_TFP'!$AT62</f>
        <v>3.3139051546510158E-3</v>
      </c>
      <c r="BB60">
        <f>$E60*'Nutrient Content_TFP'!$AU62</f>
        <v>0</v>
      </c>
      <c r="BC60">
        <f>$E60*'Nutrient Content_TFP'!$AV62</f>
        <v>0</v>
      </c>
      <c r="BD60">
        <f>$E60*'Nutrient Content_TFP'!$AW62</f>
        <v>4.072672280113622E-2</v>
      </c>
      <c r="BE60">
        <f>$E60*'Nutrient Content_TFP'!$AX62</f>
        <v>0</v>
      </c>
      <c r="BF60">
        <f>$E60*'Nutrient Content_TFP'!$AY62</f>
        <v>0</v>
      </c>
    </row>
    <row r="61" spans="1:58" ht="14.5" x14ac:dyDescent="0.35">
      <c r="A61" s="4">
        <v>58</v>
      </c>
      <c r="B61" t="s">
        <v>146</v>
      </c>
      <c r="C61" s="2">
        <f>'Your Model Diet'!E69</f>
        <v>8.4221601486206055</v>
      </c>
      <c r="D61">
        <f>'Nutrient Content_TFP'!$G63</f>
        <v>235.80925506</v>
      </c>
      <c r="E61">
        <f t="shared" si="0"/>
        <v>3.5715986408072262E-2</v>
      </c>
      <c r="F61">
        <f t="shared" si="1"/>
        <v>3.5715986408072262</v>
      </c>
      <c r="G61">
        <f>Cost_TFP!C63</f>
        <v>1.4001116711792001</v>
      </c>
      <c r="H61" s="1">
        <f t="shared" si="2"/>
        <v>5.0006369417619649E-2</v>
      </c>
      <c r="I61">
        <f>$E61*'Nutrient Content_TFP'!$Z63</f>
        <v>2.1075616404181545</v>
      </c>
      <c r="J61">
        <f>$E61*'Nutrient Content_TFP'!$AA63</f>
        <v>2.4296926332735631</v>
      </c>
      <c r="K61">
        <f>$E61*'Nutrient Content_TFP'!$AB63</f>
        <v>3.7763635579164583</v>
      </c>
      <c r="L61">
        <f>$E61*'Nutrient Content_TFP'!$AC63</f>
        <v>0.46113509912168615</v>
      </c>
      <c r="M61">
        <f>$E61*'Nutrient Content_TFP'!$AD63</f>
        <v>6.1714752931173442E-2</v>
      </c>
      <c r="N61">
        <f>$E61*'Nutrient Content_TFP'!$AE63</f>
        <v>1.3764608784772776</v>
      </c>
      <c r="O61">
        <f>$E61*'Nutrient Content_TFP'!$C63</f>
        <v>3.9097322371254264</v>
      </c>
      <c r="P61">
        <f>$E61*'Nutrient Content_TFP'!$D63</f>
        <v>1.4373176799123817</v>
      </c>
      <c r="Q61">
        <f>$E61*'Nutrient Content_TFP'!$E63</f>
        <v>1.4959332785563486</v>
      </c>
      <c r="R61">
        <f>$E61*'Nutrient Content_TFP'!$F63</f>
        <v>2.8180925109863959E-3</v>
      </c>
      <c r="S61">
        <f>$E61*'Nutrient Content_TFP'!$H63</f>
        <v>2.9341499298109051E-2</v>
      </c>
      <c r="T61">
        <f>$E61*'Nutrient Content_TFP'!$I63</f>
        <v>0.57657307941457892</v>
      </c>
      <c r="U61">
        <f>$E61*'Nutrient Content_TFP'!$J63</f>
        <v>1.7138096038864412</v>
      </c>
      <c r="V61">
        <f>$E61*'Nutrient Content_TFP'!$K63</f>
        <v>7.4907982462418296E-2</v>
      </c>
      <c r="W61">
        <f>$E61*'Nutrient Content_TFP'!$L63</f>
        <v>0.69378221611633561</v>
      </c>
      <c r="X61">
        <f>$E61*'Nutrient Content_TFP'!$M63</f>
        <v>0.12376645097457284</v>
      </c>
      <c r="Y61">
        <f>$E61*'Nutrient Content_TFP'!$N63</f>
        <v>5.2339056976458629</v>
      </c>
      <c r="Z61">
        <f>$E61*'Nutrient Content_TFP'!$O63</f>
        <v>7.4357006315785501</v>
      </c>
      <c r="AA61">
        <f>$E61*'Nutrient Content_TFP'!$P63</f>
        <v>7.011565002945086E-3</v>
      </c>
      <c r="AB61">
        <f>$E61*'Nutrient Content_TFP'!$Q63</f>
        <v>16.517967319025427</v>
      </c>
      <c r="AC61">
        <f>$E61*'Nutrient Content_TFP'!$R63</f>
        <v>6.8165049397391356E-3</v>
      </c>
      <c r="AD61">
        <f>$E61*'Nutrient Content_TFP'!$S63</f>
        <v>4.4255677661761555E-2</v>
      </c>
      <c r="AE61">
        <f>$E61*'Nutrient Content_TFP'!$T63</f>
        <v>6.6312447324601929E-3</v>
      </c>
      <c r="AF61">
        <f>$E61*'Nutrient Content_TFP'!$U63</f>
        <v>6.4355522302107199E-2</v>
      </c>
      <c r="AG61">
        <f>$E61*'Nutrient Content_TFP'!$W63</f>
        <v>1.254732150351134E-2</v>
      </c>
      <c r="AH61">
        <f>$E61*'Nutrient Content_TFP'!$X63</f>
        <v>0.28167205695870157</v>
      </c>
      <c r="AI61">
        <f>$E61*'Nutrient Content_TFP'!$V63</f>
        <v>0.81854917898601343</v>
      </c>
      <c r="AJ61">
        <f>$E61*'Nutrient Content_TFP'!$Y63</f>
        <v>0.1035297050582346</v>
      </c>
      <c r="AK61">
        <f>$E61*'Nutrient Content_TFP'!$AF63</f>
        <v>3.5246235536299103E-2</v>
      </c>
      <c r="AL61">
        <f>$E61*'Nutrient Content_TFP'!$AI63</f>
        <v>4.8523742812753576E-3</v>
      </c>
      <c r="AM61">
        <f>$E61*'Nutrient Content_TFP'!$AO63</f>
        <v>0</v>
      </c>
      <c r="AN61">
        <f>$E61*'Nutrient Content_TFP'!$AP63</f>
        <v>4.9567786384284683E-3</v>
      </c>
      <c r="AO61">
        <f>$E61*'Nutrient Content_TFP'!$AQ63</f>
        <v>4.6166386004977911E-2</v>
      </c>
      <c r="AP61">
        <f>$E61*'Nutrient Content_TFP'!$AZ63</f>
        <v>8.3249539224363234E-2</v>
      </c>
      <c r="AQ61">
        <f>$E61*'Nutrient Content_TFP'!$BA63</f>
        <v>0.34767847590395884</v>
      </c>
      <c r="AR61">
        <f>$E61*'Nutrient Content_TFP'!$AG63</f>
        <v>5.7923512795948068E-4</v>
      </c>
      <c r="AS61">
        <f>$E61*'Nutrient Content_TFP'!$AJ63</f>
        <v>0</v>
      </c>
      <c r="AT61">
        <f>$E61*'Nutrient Content_TFP'!$AK63</f>
        <v>2.4126640734933613E-3</v>
      </c>
      <c r="AU61">
        <f>$E61*'Nutrient Content_TFP'!$AL63</f>
        <v>0</v>
      </c>
      <c r="AV61">
        <f>$E61*'Nutrient Content_TFP'!$AM63</f>
        <v>0</v>
      </c>
      <c r="AW61">
        <f>$E61*'Nutrient Content_TFP'!AN63</f>
        <v>2.4397102113535951E-3</v>
      </c>
      <c r="AX61">
        <f>$E61*'Nutrient Content_TFP'!AH63</f>
        <v>3.4667000422626021E-2</v>
      </c>
      <c r="AY61">
        <f>$E61*'Nutrient Content_TFP'!$AR63</f>
        <v>4.5190531630422609E-2</v>
      </c>
      <c r="AZ61">
        <f>$E61*'Nutrient Content_TFP'!$AS63</f>
        <v>8.0293173332762779E-4</v>
      </c>
      <c r="BA61">
        <f>$E61*'Nutrient Content_TFP'!$AT63</f>
        <v>1.2488855398092957E-4</v>
      </c>
      <c r="BB61">
        <f>$E61*'Nutrient Content_TFP'!$AU63</f>
        <v>0</v>
      </c>
      <c r="BC61">
        <f>$E61*'Nutrient Content_TFP'!$AV63</f>
        <v>0</v>
      </c>
      <c r="BD61">
        <f>$E61*'Nutrient Content_TFP'!$AW63</f>
        <v>4.6166385990691512E-2</v>
      </c>
      <c r="BE61">
        <f>$E61*'Nutrient Content_TFP'!$AX63</f>
        <v>0</v>
      </c>
      <c r="BF61">
        <f>$E61*'Nutrient Content_TFP'!$AY63</f>
        <v>0</v>
      </c>
    </row>
    <row r="62" spans="1:58" ht="14.5" x14ac:dyDescent="0.35">
      <c r="A62" s="4">
        <v>59</v>
      </c>
      <c r="B62" t="s">
        <v>148</v>
      </c>
      <c r="C62" s="2">
        <f>'Your Model Diet'!E70</f>
        <v>4.9287090301513672</v>
      </c>
      <c r="D62">
        <f>'Nutrient Content_TFP'!$G64</f>
        <v>323.19767942999999</v>
      </c>
      <c r="E62">
        <f t="shared" si="0"/>
        <v>1.5249828027366314E-2</v>
      </c>
      <c r="F62">
        <f t="shared" si="1"/>
        <v>1.5249828027366314</v>
      </c>
      <c r="G62">
        <f>Cost_TFP!C64</f>
        <v>0.52939132936259992</v>
      </c>
      <c r="H62" s="1">
        <f t="shared" si="2"/>
        <v>8.0731267319584885E-3</v>
      </c>
      <c r="I62">
        <f>$E62*'Nutrient Content_TFP'!$Z64</f>
        <v>0.73626436586590061</v>
      </c>
      <c r="J62">
        <f>$E62*'Nutrient Content_TFP'!$AA64</f>
        <v>2.0305610846921365</v>
      </c>
      <c r="K62">
        <f>$E62*'Nutrient Content_TFP'!$AB64</f>
        <v>2.2751463718361729</v>
      </c>
      <c r="L62">
        <f>$E62*'Nutrient Content_TFP'!$AC64</f>
        <v>0.4892942804050357</v>
      </c>
      <c r="M62">
        <f>$E62*'Nutrient Content_TFP'!$AD64</f>
        <v>2.280672422433783E-2</v>
      </c>
      <c r="N62">
        <f>$E62*'Nutrient Content_TFP'!$AE64</f>
        <v>0.66076959638351518</v>
      </c>
      <c r="O62">
        <f>$E62*'Nutrient Content_TFP'!$C64</f>
        <v>2.2407183057922029</v>
      </c>
      <c r="P62">
        <f>$E62*'Nutrient Content_TFP'!$D64</f>
        <v>0.64182808106613465</v>
      </c>
      <c r="Q62">
        <f>$E62*'Nutrient Content_TFP'!$E64</f>
        <v>0.67206624391248171</v>
      </c>
      <c r="R62">
        <f>$E62*'Nutrient Content_TFP'!$F64</f>
        <v>2.422182606870436E-3</v>
      </c>
      <c r="S62">
        <f>$E62*'Nutrient Content_TFP'!$H64</f>
        <v>4.7716713142015164E-2</v>
      </c>
      <c r="T62">
        <f>$E62*'Nutrient Content_TFP'!$I64</f>
        <v>0.35516714029813573</v>
      </c>
      <c r="U62">
        <f>$E62*'Nutrient Content_TFP'!$J64</f>
        <v>1.2153109550976167</v>
      </c>
      <c r="V62">
        <f>$E62*'Nutrient Content_TFP'!$K64</f>
        <v>3.3390093959503153E-2</v>
      </c>
      <c r="W62">
        <f>$E62*'Nutrient Content_TFP'!$L64</f>
        <v>0.80169396535592119</v>
      </c>
      <c r="X62">
        <f>$E62*'Nutrient Content_TFP'!$M64</f>
        <v>7.1441328068530111E-2</v>
      </c>
      <c r="Y62">
        <f>$E62*'Nutrient Content_TFP'!$N64</f>
        <v>2.903699689882091</v>
      </c>
      <c r="Z62">
        <f>$E62*'Nutrient Content_TFP'!$O64</f>
        <v>3.3216524134803738</v>
      </c>
      <c r="AA62">
        <f>$E62*'Nutrient Content_TFP'!$P64</f>
        <v>3.5030739872854437E-3</v>
      </c>
      <c r="AB62">
        <f>$E62*'Nutrient Content_TFP'!$Q64</f>
        <v>7.037469662083053</v>
      </c>
      <c r="AC62">
        <f>$E62*'Nutrient Content_TFP'!$R64</f>
        <v>3.8956630133006815E-3</v>
      </c>
      <c r="AD62">
        <f>$E62*'Nutrient Content_TFP'!$S64</f>
        <v>2.5278017796757867E-3</v>
      </c>
      <c r="AE62">
        <f>$E62*'Nutrient Content_TFP'!$T64</f>
        <v>2.8302318475405056E-3</v>
      </c>
      <c r="AF62">
        <f>$E62*'Nutrient Content_TFP'!$U64</f>
        <v>7.0816770773025955E-3</v>
      </c>
      <c r="AG62">
        <f>$E62*'Nutrient Content_TFP'!$W64</f>
        <v>3.1962150521651543E-2</v>
      </c>
      <c r="AH62">
        <f>$E62*'Nutrient Content_TFP'!$X64</f>
        <v>5.998543934042995E-2</v>
      </c>
      <c r="AI62">
        <f>$E62*'Nutrient Content_TFP'!$V64</f>
        <v>0.7685196202477137</v>
      </c>
      <c r="AJ62">
        <f>$E62*'Nutrient Content_TFP'!$Y64</f>
        <v>2.085304269227085E-2</v>
      </c>
      <c r="AK62">
        <f>$E62*'Nutrient Content_TFP'!$AF64</f>
        <v>2.6854047489537639E-2</v>
      </c>
      <c r="AL62">
        <f>$E62*'Nutrient Content_TFP'!$AI64</f>
        <v>3.7470138033459706E-4</v>
      </c>
      <c r="AM62">
        <f>$E62*'Nutrient Content_TFP'!$AO64</f>
        <v>2.1489471300276957E-4</v>
      </c>
      <c r="AN62">
        <f>$E62*'Nutrient Content_TFP'!$AP64</f>
        <v>2.8542457441102852E-3</v>
      </c>
      <c r="AO62">
        <f>$E62*'Nutrient Content_TFP'!$AQ64</f>
        <v>1.956740031781214E-2</v>
      </c>
      <c r="AP62">
        <f>$E62*'Nutrient Content_TFP'!$AZ64</f>
        <v>0.12385624707357823</v>
      </c>
      <c r="AQ62">
        <f>$E62*'Nutrient Content_TFP'!$BA64</f>
        <v>0.43243656998089042</v>
      </c>
      <c r="AR62">
        <f>$E62*'Nutrient Content_TFP'!$AG64</f>
        <v>7.7370054087011206E-3</v>
      </c>
      <c r="AS62">
        <f>$E62*'Nutrient Content_TFP'!$AJ64</f>
        <v>0</v>
      </c>
      <c r="AT62">
        <f>$E62*'Nutrient Content_TFP'!$AK64</f>
        <v>6.334642381603683E-5</v>
      </c>
      <c r="AU62">
        <f>$E62*'Nutrient Content_TFP'!$AL64</f>
        <v>1.7768193167709282E-4</v>
      </c>
      <c r="AV62">
        <f>$E62*'Nutrient Content_TFP'!$AM64</f>
        <v>5.0584162986322534E-5</v>
      </c>
      <c r="AW62">
        <f>$E62*'Nutrient Content_TFP'!AN64</f>
        <v>8.308886033016208E-5</v>
      </c>
      <c r="AX62">
        <f>$E62*'Nutrient Content_TFP'!AH64</f>
        <v>1.9117042088461433E-2</v>
      </c>
      <c r="AY62">
        <f>$E62*'Nutrient Content_TFP'!$AR64</f>
        <v>0</v>
      </c>
      <c r="AZ62">
        <f>$E62*'Nutrient Content_TFP'!$AS64</f>
        <v>0</v>
      </c>
      <c r="BA62">
        <f>$E62*'Nutrient Content_TFP'!$AT64</f>
        <v>2.7252135637089166E-3</v>
      </c>
      <c r="BB62">
        <f>$E62*'Nutrient Content_TFP'!$AU64</f>
        <v>0</v>
      </c>
      <c r="BC62">
        <f>$E62*'Nutrient Content_TFP'!$AV64</f>
        <v>1.6157652272313073E-2</v>
      </c>
      <c r="BD62">
        <f>$E62*'Nutrient Content_TFP'!$AW64</f>
        <v>3.4097480424491E-3</v>
      </c>
      <c r="BE62">
        <f>$E62*'Nutrient Content_TFP'!$AX64</f>
        <v>0</v>
      </c>
      <c r="BF62">
        <f>$E62*'Nutrient Content_TFP'!$AY64</f>
        <v>1.6157652272313073E-2</v>
      </c>
    </row>
    <row r="63" spans="1:58" ht="14.5" x14ac:dyDescent="0.35">
      <c r="A63" s="4">
        <v>60</v>
      </c>
      <c r="B63" t="s">
        <v>149</v>
      </c>
      <c r="C63" s="2">
        <f>'Your Model Diet'!E71</f>
        <v>4.4671025276184082</v>
      </c>
      <c r="D63">
        <f>'Nutrient Content_TFP'!$G65</f>
        <v>62.451667378000003</v>
      </c>
      <c r="E63">
        <f t="shared" si="0"/>
        <v>7.1528955353272847E-2</v>
      </c>
      <c r="F63">
        <f t="shared" si="1"/>
        <v>7.1528955353272847</v>
      </c>
      <c r="G63">
        <f>Cost_TFP!C65</f>
        <v>0.12435823650939999</v>
      </c>
      <c r="H63" s="1">
        <f t="shared" si="2"/>
        <v>8.8952147470926172E-3</v>
      </c>
      <c r="I63">
        <f>$E63*'Nutrient Content_TFP'!$Z65</f>
        <v>0.66274960962251095</v>
      </c>
      <c r="J63">
        <f>$E63*'Nutrient Content_TFP'!$AA65</f>
        <v>2.3319078820324872</v>
      </c>
      <c r="K63">
        <f>$E63*'Nutrient Content_TFP'!$AB65</f>
        <v>1.4766734618617599</v>
      </c>
      <c r="L63">
        <f>$E63*'Nutrient Content_TFP'!$AC65</f>
        <v>0.18787315203448879</v>
      </c>
      <c r="M63">
        <f>$E63*'Nutrient Content_TFP'!$AD65</f>
        <v>8.3237479269491783E-3</v>
      </c>
      <c r="N63">
        <f>$E63*'Nutrient Content_TFP'!$AE65</f>
        <v>0.63885238260533805</v>
      </c>
      <c r="O63">
        <f>$E63*'Nutrient Content_TFP'!$C65</f>
        <v>0.65045607073759826</v>
      </c>
      <c r="P63">
        <f>$E63*'Nutrient Content_TFP'!$D65</f>
        <v>0.35823026658718099</v>
      </c>
      <c r="Q63">
        <f>$E63*'Nutrient Content_TFP'!$E65</f>
        <v>0.21448560987805443</v>
      </c>
      <c r="R63">
        <f>$E63*'Nutrient Content_TFP'!$F65</f>
        <v>2.4728122011686542E-3</v>
      </c>
      <c r="S63">
        <f>$E63*'Nutrient Content_TFP'!$H65</f>
        <v>3.7203440370678534E-2</v>
      </c>
      <c r="T63">
        <f>$E63*'Nutrient Content_TFP'!$I65</f>
        <v>0.43408535118450831</v>
      </c>
      <c r="U63">
        <f>$E63*'Nutrient Content_TFP'!$J65</f>
        <v>1.1850490616947085</v>
      </c>
      <c r="V63">
        <f>$E63*'Nutrient Content_TFP'!$K65</f>
        <v>4.2721097222007169E-2</v>
      </c>
      <c r="W63">
        <f>$E63*'Nutrient Content_TFP'!$L65</f>
        <v>0.45476208332925006</v>
      </c>
      <c r="X63">
        <f>$E63*'Nutrient Content_TFP'!$M65</f>
        <v>6.3091591148367931E-2</v>
      </c>
      <c r="Y63">
        <f>$E63*'Nutrient Content_TFP'!$N65</f>
        <v>1.8110918468629142</v>
      </c>
      <c r="Z63">
        <f>$E63*'Nutrient Content_TFP'!$O65</f>
        <v>4.5599246849789976</v>
      </c>
      <c r="AA63">
        <f>$E63*'Nutrient Content_TFP'!$P65</f>
        <v>3.0169371203733072E-3</v>
      </c>
      <c r="AB63">
        <f>$E63*'Nutrient Content_TFP'!$Q65</f>
        <v>19.213848905543415</v>
      </c>
      <c r="AC63">
        <f>$E63*'Nutrient Content_TFP'!$R65</f>
        <v>3.7469825537753553E-3</v>
      </c>
      <c r="AD63">
        <f>$E63*'Nutrient Content_TFP'!$S65</f>
        <v>4.8193832351501389E-3</v>
      </c>
      <c r="AE63">
        <f>$E63*'Nutrient Content_TFP'!$T65</f>
        <v>1.6455873931186349E-3</v>
      </c>
      <c r="AF63">
        <f>$E63*'Nutrient Content_TFP'!$U65</f>
        <v>4.124433960075017E-2</v>
      </c>
      <c r="AG63">
        <f>$E63*'Nutrient Content_TFP'!$W65</f>
        <v>2.1749462968009944E-2</v>
      </c>
      <c r="AH63">
        <f>$E63*'Nutrient Content_TFP'!$X65</f>
        <v>0.18508078958279817</v>
      </c>
      <c r="AI63">
        <f>$E63*'Nutrient Content_TFP'!$V65</f>
        <v>0.57207475407666919</v>
      </c>
      <c r="AJ63">
        <f>$E63*'Nutrient Content_TFP'!$Y65</f>
        <v>1.6307684561834339E-2</v>
      </c>
      <c r="AK63">
        <f>$E63*'Nutrient Content_TFP'!$AF65</f>
        <v>2.4038186268329351E-2</v>
      </c>
      <c r="AL63">
        <f>$E63*'Nutrient Content_TFP'!$AI65</f>
        <v>2.6476514138382432E-3</v>
      </c>
      <c r="AM63">
        <f>$E63*'Nutrient Content_TFP'!$AO65</f>
        <v>6.9253470503258106E-7</v>
      </c>
      <c r="AN63">
        <f>$E63*'Nutrient Content_TFP'!$AP65</f>
        <v>2.5301234962771637E-4</v>
      </c>
      <c r="AO63">
        <f>$E63*'Nutrient Content_TFP'!$AQ65</f>
        <v>5.6012834917478996E-3</v>
      </c>
      <c r="AP63">
        <f>$E63*'Nutrient Content_TFP'!$AZ65</f>
        <v>6.5476175008220994E-3</v>
      </c>
      <c r="AQ63">
        <f>$E63*'Nutrient Content_TFP'!$BA65</f>
        <v>4.8442451478526057E-3</v>
      </c>
      <c r="AR63">
        <f>$E63*'Nutrient Content_TFP'!$AG65</f>
        <v>0</v>
      </c>
      <c r="AS63">
        <f>$E63*'Nutrient Content_TFP'!$AJ65</f>
        <v>3.6805510092847958E-6</v>
      </c>
      <c r="AT63">
        <f>$E63*'Nutrient Content_TFP'!$AK65</f>
        <v>7.3160269744193963E-4</v>
      </c>
      <c r="AU63">
        <f>$E63*'Nutrient Content_TFP'!$AL65</f>
        <v>5.2340747285720558E-4</v>
      </c>
      <c r="AV63">
        <f>$E63*'Nutrient Content_TFP'!$AM65</f>
        <v>7.2221600270119834E-4</v>
      </c>
      <c r="AW63">
        <f>$E63*'Nutrient Content_TFP'!AN65</f>
        <v>6.6674468982861484E-4</v>
      </c>
      <c r="AX63">
        <f>$E63*'Nutrient Content_TFP'!AH65</f>
        <v>2.4038186254023559E-2</v>
      </c>
      <c r="AY63">
        <f>$E63*'Nutrient Content_TFP'!$AR65</f>
        <v>1.8529382040796325E-3</v>
      </c>
      <c r="AZ63">
        <f>$E63*'Nutrient Content_TFP'!$AS65</f>
        <v>2.4774537937633789E-3</v>
      </c>
      <c r="BA63">
        <f>$E63*'Nutrient Content_TFP'!$AT65</f>
        <v>1.144855979617255E-4</v>
      </c>
      <c r="BB63">
        <f>$E63*'Nutrient Content_TFP'!$AU65</f>
        <v>0</v>
      </c>
      <c r="BC63">
        <f>$E63*'Nutrient Content_TFP'!$AV65</f>
        <v>0</v>
      </c>
      <c r="BD63">
        <f>$E63*'Nutrient Content_TFP'!$AW65</f>
        <v>5.601283498900796E-3</v>
      </c>
      <c r="BE63">
        <f>$E63*'Nutrient Content_TFP'!$AX65</f>
        <v>0</v>
      </c>
      <c r="BF63">
        <f>$E63*'Nutrient Content_TFP'!$AY65</f>
        <v>0</v>
      </c>
    </row>
    <row r="64" spans="1:58" ht="14.5" x14ac:dyDescent="0.35">
      <c r="A64" s="4">
        <v>61</v>
      </c>
      <c r="B64" t="s">
        <v>151</v>
      </c>
      <c r="C64" s="2">
        <f>'Your Model Diet'!E72</f>
        <v>5.3483219146728516</v>
      </c>
      <c r="D64">
        <f>'Nutrient Content_TFP'!$G66</f>
        <v>74.556733635000001</v>
      </c>
      <c r="E64">
        <f t="shared" si="0"/>
        <v>7.1734927938985366E-2</v>
      </c>
      <c r="F64">
        <f t="shared" si="1"/>
        <v>7.1734927938985367</v>
      </c>
      <c r="G64">
        <f>Cost_TFP!C66</f>
        <v>0.48863640573120004</v>
      </c>
      <c r="H64" s="1">
        <f t="shared" si="2"/>
        <v>3.5052297353492454E-2</v>
      </c>
      <c r="I64">
        <f>$E64*'Nutrient Content_TFP'!$Z66</f>
        <v>1.3974880667462577</v>
      </c>
      <c r="J64">
        <f>$E64*'Nutrient Content_TFP'!$AA66</f>
        <v>2.3025279582452658</v>
      </c>
      <c r="K64">
        <f>$E64*'Nutrient Content_TFP'!$AB66</f>
        <v>1.6298470291866272</v>
      </c>
      <c r="L64">
        <f>$E64*'Nutrient Content_TFP'!$AC66</f>
        <v>0.29513540991311799</v>
      </c>
      <c r="M64">
        <f>$E64*'Nutrient Content_TFP'!$AD66</f>
        <v>4.080518092162027E-2</v>
      </c>
      <c r="N64">
        <f>$E64*'Nutrient Content_TFP'!$AE66</f>
        <v>0.51825278142181552</v>
      </c>
      <c r="O64">
        <f>$E64*'Nutrient Content_TFP'!$C66</f>
        <v>1.9003204857876346</v>
      </c>
      <c r="P64">
        <f>$E64*'Nutrient Content_TFP'!$D66</f>
        <v>1.2212094577995694</v>
      </c>
      <c r="Q64">
        <f>$E64*'Nutrient Content_TFP'!$E66</f>
        <v>0.77168867582302569</v>
      </c>
      <c r="R64">
        <f>$E64*'Nutrient Content_TFP'!$F66</f>
        <v>3.5752264920450396E-3</v>
      </c>
      <c r="S64">
        <f>$E64*'Nutrient Content_TFP'!$H66</f>
        <v>5.7367762117985756E-2</v>
      </c>
      <c r="T64">
        <f>$E64*'Nutrient Content_TFP'!$I66</f>
        <v>0.17681328772845706</v>
      </c>
      <c r="U64">
        <f>$E64*'Nutrient Content_TFP'!$J66</f>
        <v>0.99683921558103528</v>
      </c>
      <c r="V64">
        <f>$E64*'Nutrient Content_TFP'!$K66</f>
        <v>4.5008486678472966E-2</v>
      </c>
      <c r="W64">
        <f>$E64*'Nutrient Content_TFP'!$L66</f>
        <v>0.78116095233050586</v>
      </c>
      <c r="X64">
        <f>$E64*'Nutrient Content_TFP'!$M66</f>
        <v>7.4390989075203029E-2</v>
      </c>
      <c r="Y64">
        <f>$E64*'Nutrient Content_TFP'!$N66</f>
        <v>3.6255379664639085</v>
      </c>
      <c r="Z64">
        <f>$E64*'Nutrient Content_TFP'!$O66</f>
        <v>9.4057984291191215</v>
      </c>
      <c r="AA64">
        <f>$E64*'Nutrient Content_TFP'!$P66</f>
        <v>4.8428654293132742E-3</v>
      </c>
      <c r="AB64">
        <f>$E64*'Nutrient Content_TFP'!$Q66</f>
        <v>26.569111898770885</v>
      </c>
      <c r="AC64">
        <f>$E64*'Nutrient Content_TFP'!$R66</f>
        <v>3.1709804962181233E-3</v>
      </c>
      <c r="AD64">
        <f>$E64*'Nutrient Content_TFP'!$S66</f>
        <v>1.7556646252988698E-2</v>
      </c>
      <c r="AE64">
        <f>$E64*'Nutrient Content_TFP'!$T66</f>
        <v>5.0547895022828547E-3</v>
      </c>
      <c r="AF64">
        <f>$E64*'Nutrient Content_TFP'!$U66</f>
        <v>0.21303533338655525</v>
      </c>
      <c r="AG64">
        <f>$E64*'Nutrient Content_TFP'!$W66</f>
        <v>1.9782775504457593E-2</v>
      </c>
      <c r="AH64">
        <f>$E64*'Nutrient Content_TFP'!$X66</f>
        <v>0.84506710275371122</v>
      </c>
      <c r="AI64">
        <f>$E64*'Nutrient Content_TFP'!$V66</f>
        <v>2.4354970562353677</v>
      </c>
      <c r="AJ64">
        <f>$E64*'Nutrient Content_TFP'!$Y66</f>
        <v>4.5648966537895172E-2</v>
      </c>
      <c r="AK64">
        <f>$E64*'Nutrient Content_TFP'!$AF66</f>
        <v>1.805721004790398E-2</v>
      </c>
      <c r="AL64">
        <f>$E64*'Nutrient Content_TFP'!$AI66</f>
        <v>1.1615049772683995E-2</v>
      </c>
      <c r="AM64">
        <f>$E64*'Nutrient Content_TFP'!$AO66</f>
        <v>0</v>
      </c>
      <c r="AN64">
        <f>$E64*'Nutrient Content_TFP'!$AP66</f>
        <v>3.0040515111839205E-3</v>
      </c>
      <c r="AO64">
        <f>$E64*'Nutrient Content_TFP'!$AQ66</f>
        <v>2.3088567135117765E-2</v>
      </c>
      <c r="AP64">
        <f>$E64*'Nutrient Content_TFP'!$AZ66</f>
        <v>4.7519231222001294E-2</v>
      </c>
      <c r="AQ64">
        <f>$E64*'Nutrient Content_TFP'!$BA66</f>
        <v>7.4899387228109335E-2</v>
      </c>
      <c r="AR64">
        <f>$E64*'Nutrient Content_TFP'!$AG66</f>
        <v>0</v>
      </c>
      <c r="AS64">
        <f>$E64*'Nutrient Content_TFP'!$AJ66</f>
        <v>2.2225125557395306E-3</v>
      </c>
      <c r="AT64">
        <f>$E64*'Nutrient Content_TFP'!$AK66</f>
        <v>2.0404697961258051E-3</v>
      </c>
      <c r="AU64">
        <f>$E64*'Nutrient Content_TFP'!$AL66</f>
        <v>6.5349060263981387E-4</v>
      </c>
      <c r="AV64">
        <f>$E64*'Nutrient Content_TFP'!$AM66</f>
        <v>1.9576067292445443E-3</v>
      </c>
      <c r="AW64">
        <f>$E64*'Nutrient Content_TFP'!AN66</f>
        <v>4.7409700817608097E-3</v>
      </c>
      <c r="AX64">
        <f>$E64*'Nutrient Content_TFP'!AH66</f>
        <v>1.8057210033556995E-2</v>
      </c>
      <c r="AY64">
        <f>$E64*'Nutrient Content_TFP'!$AR66</f>
        <v>1.5686605812267315E-2</v>
      </c>
      <c r="AZ64">
        <f>$E64*'Nutrient Content_TFP'!$AS66</f>
        <v>4.5536946321755598E-3</v>
      </c>
      <c r="BA64">
        <f>$E64*'Nutrient Content_TFP'!$AT66</f>
        <v>4.5659640307803881E-5</v>
      </c>
      <c r="BB64">
        <f>$E64*'Nutrient Content_TFP'!$AU66</f>
        <v>0</v>
      </c>
      <c r="BC64">
        <f>$E64*'Nutrient Content_TFP'!$AV66</f>
        <v>0</v>
      </c>
      <c r="BD64">
        <f>$E64*'Nutrient Content_TFP'!$AW66</f>
        <v>2.3088567106423798E-2</v>
      </c>
      <c r="BE64">
        <f>$E64*'Nutrient Content_TFP'!$AX66</f>
        <v>0</v>
      </c>
      <c r="BF64">
        <f>$E64*'Nutrient Content_TFP'!$AY66</f>
        <v>0</v>
      </c>
    </row>
    <row r="65" spans="1:58" ht="14.5" x14ac:dyDescent="0.35">
      <c r="A65" s="4">
        <v>62</v>
      </c>
      <c r="B65" t="s">
        <v>153</v>
      </c>
      <c r="C65" s="2">
        <f>'Your Model Diet'!E73</f>
        <v>1.7716859579086299</v>
      </c>
      <c r="D65">
        <f>'Nutrient Content_TFP'!$G67</f>
        <v>46.627614004000002</v>
      </c>
      <c r="E65">
        <f t="shared" si="0"/>
        <v>3.7996496191219302E-2</v>
      </c>
      <c r="F65">
        <f t="shared" si="1"/>
        <v>3.7996496191219302</v>
      </c>
      <c r="G65">
        <f>Cost_TFP!C67</f>
        <v>0.30926290393979999</v>
      </c>
      <c r="H65" s="1">
        <f t="shared" si="2"/>
        <v>1.1750906751634031E-2</v>
      </c>
      <c r="I65">
        <f>$E65*'Nutrient Content_TFP'!$Z67</f>
        <v>0.5447207173174804</v>
      </c>
      <c r="J65">
        <f>$E65*'Nutrient Content_TFP'!$AA67</f>
        <v>0.68382719862484909</v>
      </c>
      <c r="K65">
        <f>$E65*'Nutrient Content_TFP'!$AB67</f>
        <v>0.55395731061629494</v>
      </c>
      <c r="L65">
        <f>$E65*'Nutrient Content_TFP'!$AC67</f>
        <v>0.11107448667763362</v>
      </c>
      <c r="M65">
        <f>$E65*'Nutrient Content_TFP'!$AD67</f>
        <v>1.0207471106291395E-2</v>
      </c>
      <c r="N65">
        <f>$E65*'Nutrient Content_TFP'!$AE67</f>
        <v>0.14047783077055356</v>
      </c>
      <c r="O65">
        <f>$E65*'Nutrient Content_TFP'!$C67</f>
        <v>0.42296970198322686</v>
      </c>
      <c r="P65">
        <f>$E65*'Nutrient Content_TFP'!$D67</f>
        <v>0.41469176955446191</v>
      </c>
      <c r="Q65">
        <f>$E65*'Nutrient Content_TFP'!$E67</f>
        <v>0.47480181445696967</v>
      </c>
      <c r="R65">
        <f>$E65*'Nutrient Content_TFP'!$F67</f>
        <v>1.6061098003958998E-3</v>
      </c>
      <c r="S65">
        <f>$E65*'Nutrient Content_TFP'!$H67</f>
        <v>1.9462341817872601E-2</v>
      </c>
      <c r="T65">
        <f>$E65*'Nutrient Content_TFP'!$I67</f>
        <v>0.1917632860767387</v>
      </c>
      <c r="U65">
        <f>$E65*'Nutrient Content_TFP'!$J67</f>
        <v>0.48663389544349067</v>
      </c>
      <c r="V65">
        <f>$E65*'Nutrient Content_TFP'!$K67</f>
        <v>1.7903482434926853E-2</v>
      </c>
      <c r="W65">
        <f>$E65*'Nutrient Content_TFP'!$L67</f>
        <v>0.25828441799168878</v>
      </c>
      <c r="X65">
        <f>$E65*'Nutrient Content_TFP'!$M67</f>
        <v>4.571225047267817E-2</v>
      </c>
      <c r="Y65">
        <f>$E65*'Nutrient Content_TFP'!$N67</f>
        <v>1.4733873038157834</v>
      </c>
      <c r="Z65">
        <f>$E65*'Nutrient Content_TFP'!$O67</f>
        <v>2.7120890893972098</v>
      </c>
      <c r="AA65">
        <f>$E65*'Nutrient Content_TFP'!$P67</f>
        <v>2.4895600867139659E-3</v>
      </c>
      <c r="AB65">
        <f>$E65*'Nutrient Content_TFP'!$Q67</f>
        <v>13.58862262721564</v>
      </c>
      <c r="AC65">
        <f>$E65*'Nutrient Content_TFP'!$R67</f>
        <v>2.1355639479127999E-3</v>
      </c>
      <c r="AD65">
        <f>$E65*'Nutrient Content_TFP'!$S67</f>
        <v>7.6240067942613676E-3</v>
      </c>
      <c r="AE65">
        <f>$E65*'Nutrient Content_TFP'!$T67</f>
        <v>1.6112701729373224E-3</v>
      </c>
      <c r="AF65">
        <f>$E65*'Nutrient Content_TFP'!$U67</f>
        <v>3.7667203200842082E-2</v>
      </c>
      <c r="AG65">
        <f>$E65*'Nutrient Content_TFP'!$W67</f>
        <v>6.0840950252804057E-3</v>
      </c>
      <c r="AH65">
        <f>$E65*'Nutrient Content_TFP'!$X67</f>
        <v>0.27838648930714749</v>
      </c>
      <c r="AI65">
        <f>$E65*'Nutrient Content_TFP'!$V67</f>
        <v>0.91548590502962268</v>
      </c>
      <c r="AJ65">
        <f>$E65*'Nutrient Content_TFP'!$Y67</f>
        <v>1.4644246110335076E-2</v>
      </c>
      <c r="AK65">
        <f>$E65*'Nutrient Content_TFP'!$AF67</f>
        <v>5.2385576428619378E-3</v>
      </c>
      <c r="AL65">
        <f>$E65*'Nutrient Content_TFP'!$AI67</f>
        <v>2.4854612564834838E-3</v>
      </c>
      <c r="AM65">
        <f>$E65*'Nutrient Content_TFP'!$AO67</f>
        <v>0</v>
      </c>
      <c r="AN65">
        <f>$E65*'Nutrient Content_TFP'!$AP67</f>
        <v>1.8649122609866098E-4</v>
      </c>
      <c r="AO65">
        <f>$E65*'Nutrient Content_TFP'!$AQ67</f>
        <v>1.2957695861874402E-2</v>
      </c>
      <c r="AP65">
        <f>$E65*'Nutrient Content_TFP'!$AZ67</f>
        <v>1.3017044808270845E-2</v>
      </c>
      <c r="AQ65">
        <f>$E65*'Nutrient Content_TFP'!$BA67</f>
        <v>3.2954835798874923E-3</v>
      </c>
      <c r="AR65">
        <f>$E65*'Nutrient Content_TFP'!$AG67</f>
        <v>0</v>
      </c>
      <c r="AS65">
        <f>$E65*'Nutrient Content_TFP'!$AJ67</f>
        <v>0</v>
      </c>
      <c r="AT65">
        <f>$E65*'Nutrient Content_TFP'!$AK67</f>
        <v>8.2643087470590988E-4</v>
      </c>
      <c r="AU65">
        <f>$E65*'Nutrient Content_TFP'!$AL67</f>
        <v>2.6187701927336546E-5</v>
      </c>
      <c r="AV65">
        <f>$E65*'Nutrient Content_TFP'!$AM67</f>
        <v>5.279365636593732E-4</v>
      </c>
      <c r="AW65">
        <f>$E65*'Nutrient Content_TFP'!AN67</f>
        <v>1.1049061161908643E-3</v>
      </c>
      <c r="AX65">
        <f>$E65*'Nutrient Content_TFP'!AH67</f>
        <v>5.2385576276633402E-3</v>
      </c>
      <c r="AY65">
        <f>$E65*'Nutrient Content_TFP'!$AR67</f>
        <v>1.1528268792257721E-3</v>
      </c>
      <c r="AZ65">
        <f>$E65*'Nutrient Content_TFP'!$AS67</f>
        <v>1.0803066222085253E-2</v>
      </c>
      <c r="BA65">
        <f>$E65*'Nutrient Content_TFP'!$AT67</f>
        <v>6.2351699300596105E-4</v>
      </c>
      <c r="BB65">
        <f>$E65*'Nutrient Content_TFP'!$AU67</f>
        <v>4.8784081424868371E-6</v>
      </c>
      <c r="BC65">
        <f>$E65*'Nutrient Content_TFP'!$AV67</f>
        <v>0</v>
      </c>
      <c r="BD65">
        <f>$E65*'Nutrient Content_TFP'!$AW67</f>
        <v>1.2617978589761868E-2</v>
      </c>
      <c r="BE65">
        <f>$E65*'Nutrient Content_TFP'!$AX67</f>
        <v>3.3483887916864572E-4</v>
      </c>
      <c r="BF65">
        <f>$E65*'Nutrient Content_TFP'!$AY67</f>
        <v>4.8784081424868371E-6</v>
      </c>
    </row>
    <row r="66" spans="1:58" ht="14.5" x14ac:dyDescent="0.35">
      <c r="A66" s="4">
        <v>63</v>
      </c>
      <c r="B66" t="s">
        <v>154</v>
      </c>
      <c r="C66" s="2">
        <f>'Your Model Diet'!E74</f>
        <v>4.1999640464782706</v>
      </c>
      <c r="D66">
        <f>'Nutrient Content_TFP'!$G68</f>
        <v>56.378662192</v>
      </c>
      <c r="E66">
        <f t="shared" si="0"/>
        <v>7.4495631559598013E-2</v>
      </c>
      <c r="F66">
        <f t="shared" si="1"/>
        <v>7.449563155959801</v>
      </c>
      <c r="G66">
        <f>Cost_TFP!C68</f>
        <v>0.4448043902048</v>
      </c>
      <c r="H66" s="1">
        <f t="shared" si="2"/>
        <v>3.3135983968788446E-2</v>
      </c>
      <c r="I66">
        <f>$E66*'Nutrient Content_TFP'!$Z68</f>
        <v>1.2354651520907223</v>
      </c>
      <c r="J66">
        <f>$E66*'Nutrient Content_TFP'!$AA68</f>
        <v>1.9507668406291279</v>
      </c>
      <c r="K66">
        <f>$E66*'Nutrient Content_TFP'!$AB68</f>
        <v>1.1031277736665239</v>
      </c>
      <c r="L66">
        <f>$E66*'Nutrient Content_TFP'!$AC68</f>
        <v>0.22309570679413859</v>
      </c>
      <c r="M66">
        <f>$E66*'Nutrient Content_TFP'!$AD68</f>
        <v>2.5074423689218479E-2</v>
      </c>
      <c r="N66">
        <f>$E66*'Nutrient Content_TFP'!$AE68</f>
        <v>0.27321560345675194</v>
      </c>
      <c r="O66">
        <f>$E66*'Nutrient Content_TFP'!$C68</f>
        <v>1.5291682248507179</v>
      </c>
      <c r="P66">
        <f>$E66*'Nutrient Content_TFP'!$D68</f>
        <v>1.1481092200150065</v>
      </c>
      <c r="Q66">
        <f>$E66*'Nutrient Content_TFP'!$E68</f>
        <v>0.67415587938375521</v>
      </c>
      <c r="R66">
        <f>$E66*'Nutrient Content_TFP'!$F68</f>
        <v>4.3833416966180842E-3</v>
      </c>
      <c r="S66">
        <f>$E66*'Nutrient Content_TFP'!$H68</f>
        <v>8.5264854559716274E-2</v>
      </c>
      <c r="T66">
        <f>$E66*'Nutrient Content_TFP'!$I68</f>
        <v>6.8963173879946729E-2</v>
      </c>
      <c r="U66">
        <f>$E66*'Nutrient Content_TFP'!$J68</f>
        <v>1.1312589465837879</v>
      </c>
      <c r="V66">
        <f>$E66*'Nutrient Content_TFP'!$K68</f>
        <v>4.4370685949558168E-2</v>
      </c>
      <c r="W66">
        <f>$E66*'Nutrient Content_TFP'!$L68</f>
        <v>0.83852162558139431</v>
      </c>
      <c r="X66">
        <f>$E66*'Nutrient Content_TFP'!$M68</f>
        <v>9.5610877099503652E-2</v>
      </c>
      <c r="Y66">
        <f>$E66*'Nutrient Content_TFP'!$N68</f>
        <v>4.3989307038057355</v>
      </c>
      <c r="Z66">
        <f>$E66*'Nutrient Content_TFP'!$O68</f>
        <v>13.823536552517298</v>
      </c>
      <c r="AA66">
        <f>$E66*'Nutrient Content_TFP'!$P68</f>
        <v>5.1555789606031839E-3</v>
      </c>
      <c r="AB66">
        <f>$E66*'Nutrient Content_TFP'!$Q68</f>
        <v>18.793378861069066</v>
      </c>
      <c r="AC66">
        <f>$E66*'Nutrient Content_TFP'!$R68</f>
        <v>4.1689838020626925E-3</v>
      </c>
      <c r="AD66">
        <f>$E66*'Nutrient Content_TFP'!$S68</f>
        <v>1.9625885666299862E-2</v>
      </c>
      <c r="AE66">
        <f>$E66*'Nutrient Content_TFP'!$T68</f>
        <v>6.3326643210558711E-3</v>
      </c>
      <c r="AF66">
        <f>$E66*'Nutrient Content_TFP'!$U68</f>
        <v>0.35142120382335407</v>
      </c>
      <c r="AG66">
        <f>$E66*'Nutrient Content_TFP'!$W68</f>
        <v>1.8918281475266991E-2</v>
      </c>
      <c r="AH66">
        <f>$E66*'Nutrient Content_TFP'!$X68</f>
        <v>0.91890170745451716</v>
      </c>
      <c r="AI66">
        <f>$E66*'Nutrient Content_TFP'!$V68</f>
        <v>2.3997180954442019</v>
      </c>
      <c r="AJ66">
        <f>$E66*'Nutrient Content_TFP'!$Y68</f>
        <v>2.9402679233500789E-2</v>
      </c>
      <c r="AK66">
        <f>$E66*'Nutrient Content_TFP'!$AF68</f>
        <v>2.7300758341959322E-3</v>
      </c>
      <c r="AL66">
        <f>$E66*'Nutrient Content_TFP'!$AI68</f>
        <v>2.0336688848743165E-2</v>
      </c>
      <c r="AM66">
        <f>$E66*'Nutrient Content_TFP'!$AO68</f>
        <v>0</v>
      </c>
      <c r="AN66">
        <f>$E66*'Nutrient Content_TFP'!$AP68</f>
        <v>1.0181966375227356E-3</v>
      </c>
      <c r="AO66">
        <f>$E66*'Nutrient Content_TFP'!$AQ68</f>
        <v>2.1209099501988439E-2</v>
      </c>
      <c r="AP66">
        <f>$E66*'Nutrient Content_TFP'!$AZ68</f>
        <v>4.2639707145690188E-2</v>
      </c>
      <c r="AQ66">
        <f>$E66*'Nutrient Content_TFP'!$BA68</f>
        <v>5.188660278917321E-2</v>
      </c>
      <c r="AR66">
        <f>$E66*'Nutrient Content_TFP'!$AG68</f>
        <v>0</v>
      </c>
      <c r="AS66">
        <f>$E66*'Nutrient Content_TFP'!$AJ68</f>
        <v>3.4279580547773124E-4</v>
      </c>
      <c r="AT66">
        <f>$E66*'Nutrient Content_TFP'!$AK68</f>
        <v>5.7142073389108445E-3</v>
      </c>
      <c r="AU66">
        <f>$E66*'Nutrient Content_TFP'!$AL68</f>
        <v>2.2378195697627529E-3</v>
      </c>
      <c r="AV66">
        <f>$E66*'Nutrient Content_TFP'!$AM68</f>
        <v>5.5222715492682347E-3</v>
      </c>
      <c r="AW66">
        <f>$E66*'Nutrient Content_TFP'!AN68</f>
        <v>6.519594585323603E-3</v>
      </c>
      <c r="AX66">
        <f>$E66*'Nutrient Content_TFP'!AH68</f>
        <v>2.7300758267463686E-3</v>
      </c>
      <c r="AY66">
        <f>$E66*'Nutrient Content_TFP'!$AR68</f>
        <v>4.7605377000105595E-3</v>
      </c>
      <c r="AZ66">
        <f>$E66*'Nutrient Content_TFP'!$AS68</f>
        <v>1.2210495980800153E-2</v>
      </c>
      <c r="BA66">
        <f>$E66*'Nutrient Content_TFP'!$AT68</f>
        <v>5.6942821860262413E-6</v>
      </c>
      <c r="BB66">
        <f>$E66*'Nutrient Content_TFP'!$AU68</f>
        <v>0</v>
      </c>
      <c r="BC66">
        <f>$E66*'Nutrient Content_TFP'!$AV68</f>
        <v>0</v>
      </c>
      <c r="BD66">
        <f>$E66*'Nutrient Content_TFP'!$AW68</f>
        <v>1.7416096433731904E-2</v>
      </c>
      <c r="BE66">
        <f>$E66*'Nutrient Content_TFP'!$AX68</f>
        <v>3.793003112953918E-3</v>
      </c>
      <c r="BF66">
        <f>$E66*'Nutrient Content_TFP'!$AY68</f>
        <v>0</v>
      </c>
    </row>
    <row r="67" spans="1:58" ht="14.5" x14ac:dyDescent="0.35">
      <c r="A67" s="4">
        <v>64</v>
      </c>
      <c r="B67" t="s">
        <v>155</v>
      </c>
      <c r="C67" s="2">
        <f>'Your Model Diet'!E75</f>
        <v>4.3306179046630859</v>
      </c>
      <c r="D67">
        <f>'Nutrient Content_TFP'!$G69</f>
        <v>139.97242716</v>
      </c>
      <c r="E67">
        <f t="shared" si="0"/>
        <v>3.0939078449449431E-2</v>
      </c>
      <c r="F67">
        <f t="shared" si="1"/>
        <v>3.0939078449449431</v>
      </c>
      <c r="G67">
        <f>Cost_TFP!C69</f>
        <v>0.67716967377399995</v>
      </c>
      <c r="H67" s="1">
        <f t="shared" si="2"/>
        <v>2.0951005660481862E-2</v>
      </c>
      <c r="I67">
        <f>$E67*'Nutrient Content_TFP'!$Z69</f>
        <v>0.39368392652077483</v>
      </c>
      <c r="J67">
        <f>$E67*'Nutrient Content_TFP'!$AA69</f>
        <v>1.6548940433277828</v>
      </c>
      <c r="K67">
        <f>$E67*'Nutrient Content_TFP'!$AB69</f>
        <v>2.3464709640880201</v>
      </c>
      <c r="L67">
        <f>$E67*'Nutrient Content_TFP'!$AC69</f>
        <v>0.62638683238357973</v>
      </c>
      <c r="M67">
        <f>$E67*'Nutrient Content_TFP'!$AD69</f>
        <v>7.1769709285348079E-2</v>
      </c>
      <c r="N67">
        <f>$E67*'Nutrient Content_TFP'!$AE69</f>
        <v>0.74217705129820322</v>
      </c>
      <c r="O67">
        <f>$E67*'Nutrient Content_TFP'!$C69</f>
        <v>1.416953308035223</v>
      </c>
      <c r="P67">
        <f>$E67*'Nutrient Content_TFP'!$D69</f>
        <v>0.70557624695046772</v>
      </c>
      <c r="Q67">
        <f>$E67*'Nutrient Content_TFP'!$E69</f>
        <v>0.65672497845154476</v>
      </c>
      <c r="R67">
        <f>$E67*'Nutrient Content_TFP'!$F69</f>
        <v>2.9016053469339271E-3</v>
      </c>
      <c r="S67">
        <f>$E67*'Nutrient Content_TFP'!$H69</f>
        <v>5.991642750601129E-2</v>
      </c>
      <c r="T67">
        <f>$E67*'Nutrient Content_TFP'!$I69</f>
        <v>9.8882698244795175E-3</v>
      </c>
      <c r="U67">
        <f>$E67*'Nutrient Content_TFP'!$J69</f>
        <v>0.60260610549630489</v>
      </c>
      <c r="V67">
        <f>$E67*'Nutrient Content_TFP'!$K69</f>
        <v>1.8020979735672939E-2</v>
      </c>
      <c r="W67">
        <f>$E67*'Nutrient Content_TFP'!$L69</f>
        <v>0.54382779111450108</v>
      </c>
      <c r="X67">
        <f>$E67*'Nutrient Content_TFP'!$M69</f>
        <v>2.9799087935773915E-2</v>
      </c>
      <c r="Y67">
        <f>$E67*'Nutrient Content_TFP'!$N69</f>
        <v>2.3527441735526535</v>
      </c>
      <c r="Z67">
        <f>$E67*'Nutrient Content_TFP'!$O69</f>
        <v>7.501282369798024</v>
      </c>
      <c r="AA67">
        <f>$E67*'Nutrient Content_TFP'!$P69</f>
        <v>2.7013824015251421E-3</v>
      </c>
      <c r="AB67">
        <f>$E67*'Nutrient Content_TFP'!$Q69</f>
        <v>10.189308075069558</v>
      </c>
      <c r="AC67">
        <f>$E67*'Nutrient Content_TFP'!$R69</f>
        <v>3.1204736104017746E-3</v>
      </c>
      <c r="AD67">
        <f>$E67*'Nutrient Content_TFP'!$S69</f>
        <v>4.4763275409314173E-3</v>
      </c>
      <c r="AE67">
        <f>$E67*'Nutrient Content_TFP'!$T69</f>
        <v>4.6340028583646926E-3</v>
      </c>
      <c r="AF67">
        <f>$E67*'Nutrient Content_TFP'!$U69</f>
        <v>0.16309694264285921</v>
      </c>
      <c r="AG67">
        <f>$E67*'Nutrient Content_TFP'!$W69</f>
        <v>1.7624111092265575E-2</v>
      </c>
      <c r="AH67">
        <f>$E67*'Nutrient Content_TFP'!$X69</f>
        <v>0.28861235508838839</v>
      </c>
      <c r="AI67">
        <f>$E67*'Nutrient Content_TFP'!$V69</f>
        <v>1.3474643813901852</v>
      </c>
      <c r="AJ67">
        <f>$E67*'Nutrient Content_TFP'!$Y69</f>
        <v>1.5587404410031506E-2</v>
      </c>
      <c r="AK67">
        <f>$E67*'Nutrient Content_TFP'!$AF69</f>
        <v>7.2600041010949853E-4</v>
      </c>
      <c r="AL67">
        <f>$E67*'Nutrient Content_TFP'!$AI69</f>
        <v>1.3647353778806928E-2</v>
      </c>
      <c r="AM67">
        <f>$E67*'Nutrient Content_TFP'!$AO69</f>
        <v>6.7303630601886467E-5</v>
      </c>
      <c r="AN67">
        <f>$E67*'Nutrient Content_TFP'!$AP69</f>
        <v>2.7552692110340972E-3</v>
      </c>
      <c r="AO67">
        <f>$E67*'Nutrient Content_TFP'!$AQ69</f>
        <v>5.2066962983114418E-3</v>
      </c>
      <c r="AP67">
        <f>$E67*'Nutrient Content_TFP'!$AZ69</f>
        <v>0.12696860193895437</v>
      </c>
      <c r="AQ67">
        <f>$E67*'Nutrient Content_TFP'!$BA69</f>
        <v>1.8109401539681488E-2</v>
      </c>
      <c r="AR67">
        <f>$E67*'Nutrient Content_TFP'!$AG69</f>
        <v>0</v>
      </c>
      <c r="AS67">
        <f>$E67*'Nutrient Content_TFP'!$AJ69</f>
        <v>1.7449856819038627E-5</v>
      </c>
      <c r="AT67">
        <f>$E67*'Nutrient Content_TFP'!$AK69</f>
        <v>2.5828844563737186E-4</v>
      </c>
      <c r="AU67">
        <f>$E67*'Nutrient Content_TFP'!$AL69</f>
        <v>9.0937466046305676E-4</v>
      </c>
      <c r="AV67">
        <f>$E67*'Nutrient Content_TFP'!$AM69</f>
        <v>1.1067941971006993E-2</v>
      </c>
      <c r="AW67">
        <f>$E67*'Nutrient Content_TFP'!AN69</f>
        <v>1.3942988479743754E-3</v>
      </c>
      <c r="AX67">
        <f>$E67*'Nutrient Content_TFP'!AH69</f>
        <v>7.2600041939122192E-4</v>
      </c>
      <c r="AY67">
        <f>$E67*'Nutrient Content_TFP'!$AR69</f>
        <v>4.538445992370909E-4</v>
      </c>
      <c r="AZ67">
        <f>$E67*'Nutrient Content_TFP'!$AS69</f>
        <v>0</v>
      </c>
      <c r="BA67">
        <f>$E67*'Nutrient Content_TFP'!$AT69</f>
        <v>2.0158374508404278E-3</v>
      </c>
      <c r="BB67">
        <f>$E67*'Nutrient Content_TFP'!$AU69</f>
        <v>0</v>
      </c>
      <c r="BC67">
        <f>$E67*'Nutrient Content_TFP'!$AV69</f>
        <v>2.7370142513278312E-3</v>
      </c>
      <c r="BD67">
        <f>$E67*'Nutrient Content_TFP'!$AW69</f>
        <v>2.4696820500775189E-3</v>
      </c>
      <c r="BE67">
        <f>$E67*'Nutrient Content_TFP'!$AX69</f>
        <v>0</v>
      </c>
      <c r="BF67">
        <f>$E67*'Nutrient Content_TFP'!$AY69</f>
        <v>2.7370142513278312E-3</v>
      </c>
    </row>
    <row r="68" spans="1:58" ht="14.5" x14ac:dyDescent="0.35">
      <c r="A68" s="4">
        <v>65</v>
      </c>
      <c r="B68" t="s">
        <v>157</v>
      </c>
      <c r="C68" s="2">
        <f>'Your Model Diet'!E76</f>
        <v>4.8419322967529297</v>
      </c>
      <c r="D68">
        <f>'Nutrient Content_TFP'!$G70</f>
        <v>121.43791776</v>
      </c>
      <c r="E68">
        <f t="shared" si="0"/>
        <v>3.9871667647679285E-2</v>
      </c>
      <c r="F68">
        <f t="shared" si="1"/>
        <v>3.9871667647679283</v>
      </c>
      <c r="G68">
        <f>Cost_TFP!C70</f>
        <v>0.3788815826852</v>
      </c>
      <c r="H68" s="1">
        <f t="shared" si="2"/>
        <v>1.5106640542651012E-2</v>
      </c>
      <c r="I68">
        <f>$E68*'Nutrient Content_TFP'!$Z70</f>
        <v>0.48914412447111266</v>
      </c>
      <c r="J68">
        <f>$E68*'Nutrient Content_TFP'!$AA70</f>
        <v>2.4976622806666273</v>
      </c>
      <c r="K68">
        <f>$E68*'Nutrient Content_TFP'!$AB70</f>
        <v>1.9664796114148146</v>
      </c>
      <c r="L68">
        <f>$E68*'Nutrient Content_TFP'!$AC70</f>
        <v>0.27366395201555227</v>
      </c>
      <c r="M68">
        <f>$E68*'Nutrient Content_TFP'!$AD70</f>
        <v>3.7807952115101441E-2</v>
      </c>
      <c r="N68">
        <f>$E68*'Nutrient Content_TFP'!$AE70</f>
        <v>0.94810210871521794</v>
      </c>
      <c r="O68">
        <f>$E68*'Nutrient Content_TFP'!$C70</f>
        <v>2.0164159716886947</v>
      </c>
      <c r="P68">
        <f>$E68*'Nutrient Content_TFP'!$D70</f>
        <v>0.59465024021489199</v>
      </c>
      <c r="Q68">
        <f>$E68*'Nutrient Content_TFP'!$E70</f>
        <v>0.48658142390930603</v>
      </c>
      <c r="R68">
        <f>$E68*'Nutrient Content_TFP'!$F70</f>
        <v>4.2686268554173769E-3</v>
      </c>
      <c r="S68">
        <f>$E68*'Nutrient Content_TFP'!$H70</f>
        <v>6.6599845398376642E-2</v>
      </c>
      <c r="T68">
        <f>$E68*'Nutrient Content_TFP'!$I70</f>
        <v>1.257645393089276E-2</v>
      </c>
      <c r="U68">
        <f>$E68*'Nutrient Content_TFP'!$J70</f>
        <v>0.8306725501041613</v>
      </c>
      <c r="V68">
        <f>$E68*'Nutrient Content_TFP'!$K70</f>
        <v>2.5109098388497623E-2</v>
      </c>
      <c r="W68">
        <f>$E68*'Nutrient Content_TFP'!$L70</f>
        <v>0.86183533287511493</v>
      </c>
      <c r="X68">
        <f>$E68*'Nutrient Content_TFP'!$M70</f>
        <v>5.0715247232909794E-2</v>
      </c>
      <c r="Y68">
        <f>$E68*'Nutrient Content_TFP'!$N70</f>
        <v>2.8791024742391453</v>
      </c>
      <c r="Z68">
        <f>$E68*'Nutrient Content_TFP'!$O70</f>
        <v>13.751046963232428</v>
      </c>
      <c r="AA68">
        <f>$E68*'Nutrient Content_TFP'!$P70</f>
        <v>2.6938332614857567E-3</v>
      </c>
      <c r="AB68">
        <f>$E68*'Nutrient Content_TFP'!$Q70</f>
        <v>11.143770036083611</v>
      </c>
      <c r="AC68">
        <f>$E68*'Nutrient Content_TFP'!$R70</f>
        <v>2.4586936381504883E-3</v>
      </c>
      <c r="AD68">
        <f>$E68*'Nutrient Content_TFP'!$S70</f>
        <v>2.5236495926300143E-3</v>
      </c>
      <c r="AE68">
        <f>$E68*'Nutrient Content_TFP'!$T70</f>
        <v>8.7504674615550542E-3</v>
      </c>
      <c r="AF68">
        <f>$E68*'Nutrient Content_TFP'!$U70</f>
        <v>0.355573497961097</v>
      </c>
      <c r="AG68">
        <f>$E68*'Nutrient Content_TFP'!$W70</f>
        <v>1.7704410641005475E-2</v>
      </c>
      <c r="AH68">
        <f>$E68*'Nutrient Content_TFP'!$X70</f>
        <v>0.4067578528635567</v>
      </c>
      <c r="AI68">
        <f>$E68*'Nutrient Content_TFP'!$V70</f>
        <v>2.1604893432260406</v>
      </c>
      <c r="AJ68">
        <f>$E68*'Nutrient Content_TFP'!$Y70</f>
        <v>1.8809916485000286E-2</v>
      </c>
      <c r="AK68">
        <f>$E68*'Nutrient Content_TFP'!$AF70</f>
        <v>8.8841950572106539E-4</v>
      </c>
      <c r="AL68">
        <f>$E68*'Nutrient Content_TFP'!$AI70</f>
        <v>2.4652872856048034E-2</v>
      </c>
      <c r="AM68">
        <f>$E68*'Nutrient Content_TFP'!$AO70</f>
        <v>0</v>
      </c>
      <c r="AN68">
        <f>$E68*'Nutrient Content_TFP'!$AP70</f>
        <v>4.7235838029789203E-3</v>
      </c>
      <c r="AO68">
        <f>$E68*'Nutrient Content_TFP'!$AQ70</f>
        <v>5.8888345499270443E-4</v>
      </c>
      <c r="AP68">
        <f>$E68*'Nutrient Content_TFP'!$AZ70</f>
        <v>4.4845974369051717E-2</v>
      </c>
      <c r="AQ68">
        <f>$E68*'Nutrient Content_TFP'!$BA70</f>
        <v>3.539926466926098E-2</v>
      </c>
      <c r="AR68">
        <f>$E68*'Nutrient Content_TFP'!$AG70</f>
        <v>0</v>
      </c>
      <c r="AS68">
        <f>$E68*'Nutrient Content_TFP'!$AJ70</f>
        <v>2.4535017529349123E-4</v>
      </c>
      <c r="AT68">
        <f>$E68*'Nutrient Content_TFP'!$AK70</f>
        <v>1.6782929871431459E-3</v>
      </c>
      <c r="AU68">
        <f>$E68*'Nutrient Content_TFP'!$AL70</f>
        <v>0</v>
      </c>
      <c r="AV68">
        <f>$E68*'Nutrient Content_TFP'!$AM70</f>
        <v>1.99654950711056E-2</v>
      </c>
      <c r="AW68">
        <f>$E68*'Nutrient Content_TFP'!AN70</f>
        <v>2.7637346225057938E-3</v>
      </c>
      <c r="AX68">
        <f>$E68*'Nutrient Content_TFP'!AH70</f>
        <v>8.8841950173389856E-4</v>
      </c>
      <c r="AY68">
        <f>$E68*'Nutrient Content_TFP'!$AR70</f>
        <v>3.7899327889818004E-4</v>
      </c>
      <c r="AZ68">
        <f>$E68*'Nutrient Content_TFP'!$AS70</f>
        <v>0</v>
      </c>
      <c r="BA68">
        <f>$E68*'Nutrient Content_TFP'!$AT70</f>
        <v>4.5432090674489348E-5</v>
      </c>
      <c r="BB68">
        <f>$E68*'Nutrient Content_TFP'!$AU70</f>
        <v>0</v>
      </c>
      <c r="BC68">
        <f>$E68*'Nutrient Content_TFP'!$AV70</f>
        <v>0</v>
      </c>
      <c r="BD68">
        <f>$E68*'Nutrient Content_TFP'!$AW70</f>
        <v>5.8888343904403735E-4</v>
      </c>
      <c r="BE68">
        <f>$E68*'Nutrient Content_TFP'!$AX70</f>
        <v>0</v>
      </c>
      <c r="BF68">
        <f>$E68*'Nutrient Content_TFP'!$AY70</f>
        <v>0</v>
      </c>
    </row>
    <row r="69" spans="1:58" ht="14.5" x14ac:dyDescent="0.35">
      <c r="A69" s="4">
        <v>66</v>
      </c>
      <c r="B69" t="s">
        <v>158</v>
      </c>
      <c r="C69" s="2">
        <f>'Your Model Diet'!E77</f>
        <v>4.1951761245727539</v>
      </c>
      <c r="D69">
        <f>'Nutrient Content_TFP'!$G71</f>
        <v>110.77667398</v>
      </c>
      <c r="E69">
        <f t="shared" ref="E69:E100" si="3">$C69/$D69</f>
        <v>3.7870573053404417E-2</v>
      </c>
      <c r="F69">
        <f t="shared" ref="F69:F100" si="4">$E69*100</f>
        <v>3.7870573053404417</v>
      </c>
      <c r="G69">
        <f>Cost_TFP!C71</f>
        <v>0.65992798788219997</v>
      </c>
      <c r="H69" s="1">
        <f t="shared" ref="H69:H100" si="5">$E69*$G69</f>
        <v>2.4991851075079039E-2</v>
      </c>
      <c r="I69">
        <f>$E69*'Nutrient Content_TFP'!$Z71</f>
        <v>0.3699123036798167</v>
      </c>
      <c r="J69">
        <f>$E69*'Nutrient Content_TFP'!$AA71</f>
        <v>1.9469253500937755</v>
      </c>
      <c r="K69">
        <f>$E69*'Nutrient Content_TFP'!$AB71</f>
        <v>1.9938684141717904</v>
      </c>
      <c r="L69">
        <f>$E69*'Nutrient Content_TFP'!$AC71</f>
        <v>0.4498570352166103</v>
      </c>
      <c r="M69">
        <f>$E69*'Nutrient Content_TFP'!$AD71</f>
        <v>5.4340953468224658E-2</v>
      </c>
      <c r="N69">
        <f>$E69*'Nutrient Content_TFP'!$AE71</f>
        <v>0.6682588560857482</v>
      </c>
      <c r="O69">
        <f>$E69*'Nutrient Content_TFP'!$C71</f>
        <v>1.4929336025300664</v>
      </c>
      <c r="P69">
        <f>$E69*'Nutrient Content_TFP'!$D71</f>
        <v>0.50426688226327521</v>
      </c>
      <c r="Q69">
        <f>$E69*'Nutrient Content_TFP'!$E71</f>
        <v>0.29865731706731774</v>
      </c>
      <c r="R69">
        <f>$E69*'Nutrient Content_TFP'!$F71</f>
        <v>4.720941565750791E-3</v>
      </c>
      <c r="S69">
        <f>$E69*'Nutrient Content_TFP'!$H71</f>
        <v>6.6200013114280115E-2</v>
      </c>
      <c r="T69">
        <f>$E69*'Nutrient Content_TFP'!$I71</f>
        <v>5.6181144751359588E-3</v>
      </c>
      <c r="U69">
        <f>$E69*'Nutrient Content_TFP'!$J71</f>
        <v>0.90753343813186471</v>
      </c>
      <c r="V69">
        <f>$E69*'Nutrient Content_TFP'!$K71</f>
        <v>1.6901224415147929E-2</v>
      </c>
      <c r="W69">
        <f>$E69*'Nutrient Content_TFP'!$L71</f>
        <v>0.70630224650036633</v>
      </c>
      <c r="X69">
        <f>$E69*'Nutrient Content_TFP'!$M71</f>
        <v>3.1779020521922136E-2</v>
      </c>
      <c r="Y69">
        <f>$E69*'Nutrient Content_TFP'!$N71</f>
        <v>2.264348567836012</v>
      </c>
      <c r="Z69">
        <f>$E69*'Nutrient Content_TFP'!$O71</f>
        <v>9.775297135130927</v>
      </c>
      <c r="AA69">
        <f>$E69*'Nutrient Content_TFP'!$P71</f>
        <v>2.6280342074516197E-3</v>
      </c>
      <c r="AB69">
        <f>$E69*'Nutrient Content_TFP'!$Q71</f>
        <v>8.8773615972345485</v>
      </c>
      <c r="AC69">
        <f>$E69*'Nutrient Content_TFP'!$R71</f>
        <v>2.7760574696895704E-3</v>
      </c>
      <c r="AD69">
        <f>$E69*'Nutrient Content_TFP'!$S71</f>
        <v>1.3073068793729226E-3</v>
      </c>
      <c r="AE69">
        <f>$E69*'Nutrient Content_TFP'!$T71</f>
        <v>7.2205456585768451E-3</v>
      </c>
      <c r="AF69">
        <f>$E69*'Nutrient Content_TFP'!$U71</f>
        <v>0.42342562220004504</v>
      </c>
      <c r="AG69">
        <f>$E69*'Nutrient Content_TFP'!$W71</f>
        <v>2.2970928394317285E-2</v>
      </c>
      <c r="AH69">
        <f>$E69*'Nutrient Content_TFP'!$X71</f>
        <v>0.86774104862254209</v>
      </c>
      <c r="AI69">
        <f>$E69*'Nutrient Content_TFP'!$V71</f>
        <v>2.2021253906068123</v>
      </c>
      <c r="AJ69">
        <f>$E69*'Nutrient Content_TFP'!$Y71</f>
        <v>1.4038049255769925E-2</v>
      </c>
      <c r="AK69">
        <f>$E69*'Nutrient Content_TFP'!$AF71</f>
        <v>1.0620111642927639E-3</v>
      </c>
      <c r="AL69">
        <f>$E69*'Nutrient Content_TFP'!$AI71</f>
        <v>2.1690255093690793E-2</v>
      </c>
      <c r="AM69">
        <f>$E69*'Nutrient Content_TFP'!$AO71</f>
        <v>6.6807137088353255E-5</v>
      </c>
      <c r="AN69">
        <f>$E69*'Nutrient Content_TFP'!$AP71</f>
        <v>2.1112348334895391E-3</v>
      </c>
      <c r="AO69">
        <f>$E69*'Nutrient Content_TFP'!$AQ71</f>
        <v>2.4154479993491731E-3</v>
      </c>
      <c r="AP69">
        <f>$E69*'Nutrient Content_TFP'!$AZ71</f>
        <v>0.10809063824277057</v>
      </c>
      <c r="AQ69">
        <f>$E69*'Nutrient Content_TFP'!$BA71</f>
        <v>0.11075772301731314</v>
      </c>
      <c r="AR69">
        <f>$E69*'Nutrient Content_TFP'!$AG71</f>
        <v>0</v>
      </c>
      <c r="AS69">
        <f>$E69*'Nutrient Content_TFP'!$AJ71</f>
        <v>2.9307628316993309E-3</v>
      </c>
      <c r="AT69">
        <f>$E69*'Nutrient Content_TFP'!$AK71</f>
        <v>1.0804009290016892E-3</v>
      </c>
      <c r="AU69">
        <f>$E69*'Nutrient Content_TFP'!$AL71</f>
        <v>3.536969091962719E-4</v>
      </c>
      <c r="AV69">
        <f>$E69*'Nutrient Content_TFP'!$AM71</f>
        <v>1.2088627034263283E-2</v>
      </c>
      <c r="AW69">
        <f>$E69*'Nutrient Content_TFP'!AN71</f>
        <v>5.2367673933172735E-3</v>
      </c>
      <c r="AX69">
        <f>$E69*'Nutrient Content_TFP'!AH71</f>
        <v>1.0620111832280504E-3</v>
      </c>
      <c r="AY69">
        <f>$E69*'Nutrient Content_TFP'!$AR71</f>
        <v>0</v>
      </c>
      <c r="AZ69">
        <f>$E69*'Nutrient Content_TFP'!$AS71</f>
        <v>0</v>
      </c>
      <c r="BA69">
        <f>$E69*'Nutrient Content_TFP'!$AT71</f>
        <v>4.4868751989089126E-5</v>
      </c>
      <c r="BB69">
        <f>$E69*'Nutrient Content_TFP'!$AU71</f>
        <v>8.6051883002761359E-4</v>
      </c>
      <c r="BC69">
        <f>$E69*'Nutrient Content_TFP'!$AV71</f>
        <v>1.4533713657478898E-3</v>
      </c>
      <c r="BD69">
        <f>$E69*'Nutrient Content_TFP'!$AW71</f>
        <v>1.0155781872189906E-4</v>
      </c>
      <c r="BE69">
        <f>$E69*'Nutrient Content_TFP'!$AX71</f>
        <v>0</v>
      </c>
      <c r="BF69">
        <f>$E69*'Nutrient Content_TFP'!$AY71</f>
        <v>2.3138901957755033E-3</v>
      </c>
    </row>
    <row r="70" spans="1:58" ht="14.5" x14ac:dyDescent="0.35">
      <c r="A70" s="4">
        <v>67</v>
      </c>
      <c r="B70" t="s">
        <v>160</v>
      </c>
      <c r="C70" s="2">
        <f>'Your Model Diet'!E78</f>
        <v>5.4028997421264648</v>
      </c>
      <c r="D70">
        <f>'Nutrient Content_TFP'!$G72</f>
        <v>121.11224633</v>
      </c>
      <c r="E70">
        <f t="shared" si="3"/>
        <v>4.4610680635919671E-2</v>
      </c>
      <c r="F70">
        <f t="shared" si="4"/>
        <v>4.4610680635919673</v>
      </c>
      <c r="G70">
        <f>Cost_TFP!C72</f>
        <v>0.32372313643559997</v>
      </c>
      <c r="H70" s="1">
        <f t="shared" si="5"/>
        <v>1.4441509453986801E-2</v>
      </c>
      <c r="I70">
        <f>$E70*'Nutrient Content_TFP'!$Z72</f>
        <v>0.37794936240472393</v>
      </c>
      <c r="J70">
        <f>$E70*'Nutrient Content_TFP'!$AA72</f>
        <v>2.8869898359818107</v>
      </c>
      <c r="K70">
        <f>$E70*'Nutrient Content_TFP'!$AB72</f>
        <v>2.2655218748718182</v>
      </c>
      <c r="L70">
        <f>$E70*'Nutrient Content_TFP'!$AC72</f>
        <v>0.533579750637726</v>
      </c>
      <c r="M70">
        <f>$E70*'Nutrient Content_TFP'!$AD72</f>
        <v>7.1098505398913978E-2</v>
      </c>
      <c r="N70">
        <f>$E70*'Nutrient Content_TFP'!$AE72</f>
        <v>0.8712465198810484</v>
      </c>
      <c r="O70">
        <f>$E70*'Nutrient Content_TFP'!$C72</f>
        <v>1.1380654138454209</v>
      </c>
      <c r="P70">
        <f>$E70*'Nutrient Content_TFP'!$D72</f>
        <v>0.77609750482841477</v>
      </c>
      <c r="Q70">
        <f>$E70*'Nutrient Content_TFP'!$E72</f>
        <v>0.59722741865584617</v>
      </c>
      <c r="R70">
        <f>$E70*'Nutrient Content_TFP'!$F72</f>
        <v>5.1357494827921901E-3</v>
      </c>
      <c r="S70">
        <f>$E70*'Nutrient Content_TFP'!$H72</f>
        <v>5.9980661473369307E-2</v>
      </c>
      <c r="T70">
        <f>$E70*'Nutrient Content_TFP'!$I72</f>
        <v>4.9202430781259696E-3</v>
      </c>
      <c r="U70">
        <f>$E70*'Nutrient Content_TFP'!$J72</f>
        <v>0.54104625404046025</v>
      </c>
      <c r="V70">
        <f>$E70*'Nutrient Content_TFP'!$K72</f>
        <v>1.7558998684310167E-2</v>
      </c>
      <c r="W70">
        <f>$E70*'Nutrient Content_TFP'!$L72</f>
        <v>0.81931095334028681</v>
      </c>
      <c r="X70">
        <f>$E70*'Nutrient Content_TFP'!$M72</f>
        <v>4.3294928880624632E-2</v>
      </c>
      <c r="Y70">
        <f>$E70*'Nutrient Content_TFP'!$N72</f>
        <v>2.3302747728149682</v>
      </c>
      <c r="Z70">
        <f>$E70*'Nutrient Content_TFP'!$O72</f>
        <v>12.794456022778128</v>
      </c>
      <c r="AA70">
        <f>$E70*'Nutrient Content_TFP'!$P72</f>
        <v>2.5622745106055225E-3</v>
      </c>
      <c r="AB70">
        <f>$E70*'Nutrient Content_TFP'!$Q72</f>
        <v>10.04714287922793</v>
      </c>
      <c r="AC70">
        <f>$E70*'Nutrient Content_TFP'!$R72</f>
        <v>4.0237936099041067E-3</v>
      </c>
      <c r="AD70">
        <f>$E70*'Nutrient Content_TFP'!$S72</f>
        <v>2.1698970265965627E-3</v>
      </c>
      <c r="AE70">
        <f>$E70*'Nutrient Content_TFP'!$T72</f>
        <v>1.0184313327963069E-2</v>
      </c>
      <c r="AF70">
        <f>$E70*'Nutrient Content_TFP'!$U72</f>
        <v>0.48706152889659143</v>
      </c>
      <c r="AG70">
        <f>$E70*'Nutrient Content_TFP'!$W72</f>
        <v>2.3055295957243999E-2</v>
      </c>
      <c r="AH70">
        <f>$E70*'Nutrient Content_TFP'!$X72</f>
        <v>0.39635341234817806</v>
      </c>
      <c r="AI70">
        <f>$E70*'Nutrient Content_TFP'!$V72</f>
        <v>2.3509945624184678</v>
      </c>
      <c r="AJ70">
        <f>$E70*'Nutrient Content_TFP'!$Y72</f>
        <v>1.2423540210370971E-2</v>
      </c>
      <c r="AK70">
        <f>$E70*'Nutrient Content_TFP'!$AF72</f>
        <v>2.8205061790234029E-4</v>
      </c>
      <c r="AL70">
        <f>$E70*'Nutrient Content_TFP'!$AI72</f>
        <v>2.61833949116426E-2</v>
      </c>
      <c r="AM70">
        <f>$E70*'Nutrient Content_TFP'!$AO72</f>
        <v>0</v>
      </c>
      <c r="AN70">
        <f>$E70*'Nutrient Content_TFP'!$AP72</f>
        <v>1.4436162844480177E-3</v>
      </c>
      <c r="AO70">
        <f>$E70*'Nutrient Content_TFP'!$AQ72</f>
        <v>1.2266826904258244E-3</v>
      </c>
      <c r="AP70">
        <f>$E70*'Nutrient Content_TFP'!$AZ72</f>
        <v>0.11731905545438887</v>
      </c>
      <c r="AQ70">
        <f>$E70*'Nutrient Content_TFP'!$BA72</f>
        <v>0.17379637436774334</v>
      </c>
      <c r="AR70">
        <f>$E70*'Nutrient Content_TFP'!$AG72</f>
        <v>0</v>
      </c>
      <c r="AS70">
        <f>$E70*'Nutrient Content_TFP'!$AJ72</f>
        <v>7.2055126752456825E-5</v>
      </c>
      <c r="AT70">
        <f>$E70*'Nutrient Content_TFP'!$AK72</f>
        <v>9.8058133077199216E-4</v>
      </c>
      <c r="AU70">
        <f>$E70*'Nutrient Content_TFP'!$AL72</f>
        <v>4.1174360056147355E-5</v>
      </c>
      <c r="AV70">
        <f>$E70*'Nutrient Content_TFP'!$AM72</f>
        <v>2.270849477881973E-2</v>
      </c>
      <c r="AW70">
        <f>$E70*'Nutrient Content_TFP'!AN72</f>
        <v>2.3810893152422744E-3</v>
      </c>
      <c r="AX70">
        <f>$E70*'Nutrient Content_TFP'!AH72</f>
        <v>2.8205062682447644E-4</v>
      </c>
      <c r="AY70">
        <f>$E70*'Nutrient Content_TFP'!$AR72</f>
        <v>0</v>
      </c>
      <c r="AZ70">
        <f>$E70*'Nutrient Content_TFP'!$AS72</f>
        <v>0</v>
      </c>
      <c r="BA70">
        <f>$E70*'Nutrient Content_TFP'!$AT72</f>
        <v>1.2266826815036881E-3</v>
      </c>
      <c r="BB70">
        <f>$E70*'Nutrient Content_TFP'!$AU72</f>
        <v>0</v>
      </c>
      <c r="BC70">
        <f>$E70*'Nutrient Content_TFP'!$AV72</f>
        <v>0</v>
      </c>
      <c r="BD70">
        <f>$E70*'Nutrient Content_TFP'!$AW72</f>
        <v>1.2266826815036881E-3</v>
      </c>
      <c r="BE70">
        <f>$E70*'Nutrient Content_TFP'!$AX72</f>
        <v>0</v>
      </c>
      <c r="BF70">
        <f>$E70*'Nutrient Content_TFP'!$AY72</f>
        <v>0</v>
      </c>
    </row>
    <row r="71" spans="1:58" ht="14.5" x14ac:dyDescent="0.35">
      <c r="A71" s="4">
        <v>68</v>
      </c>
      <c r="B71" t="s">
        <v>161</v>
      </c>
      <c r="C71" s="2">
        <f>'Your Model Diet'!E79</f>
        <v>5.9885573387145996</v>
      </c>
      <c r="D71">
        <f>'Nutrient Content_TFP'!$G73</f>
        <v>533.75688344000002</v>
      </c>
      <c r="E71">
        <f t="shared" si="3"/>
        <v>1.1219634864695431E-2</v>
      </c>
      <c r="F71">
        <f t="shared" si="4"/>
        <v>1.1219634864695431</v>
      </c>
      <c r="G71">
        <f>Cost_TFP!C73</f>
        <v>1.1732299673081998</v>
      </c>
      <c r="H71" s="1">
        <f t="shared" si="5"/>
        <v>1.3163211845516559E-2</v>
      </c>
      <c r="I71">
        <f>$E71*'Nutrient Content_TFP'!$Z73</f>
        <v>0.72185379041615549</v>
      </c>
      <c r="J71">
        <f>$E71*'Nutrient Content_TFP'!$AA73</f>
        <v>1.7439754685621418</v>
      </c>
      <c r="K71">
        <f>$E71*'Nutrient Content_TFP'!$AB73</f>
        <v>3.897846470837691</v>
      </c>
      <c r="L71">
        <f>$E71*'Nutrient Content_TFP'!$AC73</f>
        <v>1.0548462175959237</v>
      </c>
      <c r="M71">
        <f>$E71*'Nutrient Content_TFP'!$AD73</f>
        <v>2.5297685400337652E-2</v>
      </c>
      <c r="N71">
        <f>$E71*'Nutrient Content_TFP'!$AE73</f>
        <v>0.67412076810503618</v>
      </c>
      <c r="O71">
        <f>$E71*'Nutrient Content_TFP'!$C73</f>
        <v>0.67690042090702629</v>
      </c>
      <c r="P71">
        <f>$E71*'Nutrient Content_TFP'!$D73</f>
        <v>0.50828984938303778</v>
      </c>
      <c r="Q71">
        <f>$E71*'Nutrient Content_TFP'!$E73</f>
        <v>1.233688067534049E-2</v>
      </c>
      <c r="R71">
        <f>$E71*'Nutrient Content_TFP'!$F73</f>
        <v>6.9625234930007877E-3</v>
      </c>
      <c r="S71">
        <f>$E71*'Nutrient Content_TFP'!$H73</f>
        <v>7.626332863727904E-2</v>
      </c>
      <c r="T71">
        <f>$E71*'Nutrient Content_TFP'!$I73</f>
        <v>6.564984317180407E-2</v>
      </c>
      <c r="U71">
        <f>$E71*'Nutrient Content_TFP'!$J73</f>
        <v>0.9757351128270495</v>
      </c>
      <c r="V71">
        <f>$E71*'Nutrient Content_TFP'!$K73</f>
        <v>2.3231486199458393E-2</v>
      </c>
      <c r="W71">
        <f>$E71*'Nutrient Content_TFP'!$L73</f>
        <v>1.4867249869746373</v>
      </c>
      <c r="X71">
        <f>$E71*'Nutrient Content_TFP'!$M73</f>
        <v>8.7609110677835347E-2</v>
      </c>
      <c r="Y71">
        <f>$E71*'Nutrient Content_TFP'!$N73</f>
        <v>4.0960915953453823</v>
      </c>
      <c r="Z71">
        <f>$E71*'Nutrient Content_TFP'!$O73</f>
        <v>5.9117629139677659</v>
      </c>
      <c r="AA71">
        <f>$E71*'Nutrient Content_TFP'!$P73</f>
        <v>2.3062219692592508E-3</v>
      </c>
      <c r="AB71">
        <f>$E71*'Nutrient Content_TFP'!$Q73</f>
        <v>3.6631679456351813</v>
      </c>
      <c r="AC71">
        <f>$E71*'Nutrient Content_TFP'!$R73</f>
        <v>1.5967755998636869E-3</v>
      </c>
      <c r="AD71">
        <f>$E71*'Nutrient Content_TFP'!$S73</f>
        <v>4.0094862224869114E-4</v>
      </c>
      <c r="AE71">
        <f>$E71*'Nutrient Content_TFP'!$T73</f>
        <v>3.8457588504756919E-3</v>
      </c>
      <c r="AF71">
        <f>$E71*'Nutrient Content_TFP'!$U73</f>
        <v>5.886302257043145E-3</v>
      </c>
      <c r="AG71">
        <f>$E71*'Nutrient Content_TFP'!$W73</f>
        <v>7.0766790591663561E-2</v>
      </c>
      <c r="AH71">
        <f>$E71*'Nutrient Content_TFP'!$X73</f>
        <v>6.4488579725600709E-2</v>
      </c>
      <c r="AI71">
        <f>$E71*'Nutrient Content_TFP'!$V73</f>
        <v>4.6309441637511883E-2</v>
      </c>
      <c r="AJ71">
        <f>$E71*'Nutrient Content_TFP'!$Y73</f>
        <v>2.7939616046692768E-2</v>
      </c>
      <c r="AK71">
        <f>$E71*'Nutrient Content_TFP'!$AF73</f>
        <v>2.5895215923177517E-3</v>
      </c>
      <c r="AL71">
        <f>$E71*'Nutrient Content_TFP'!$AI73</f>
        <v>0</v>
      </c>
      <c r="AM71">
        <f>$E71*'Nutrient Content_TFP'!$AO73</f>
        <v>1.8878278054897167E-3</v>
      </c>
      <c r="AN71">
        <f>$E71*'Nutrient Content_TFP'!$AP73</f>
        <v>2.4673761325997781E-4</v>
      </c>
      <c r="AO71">
        <f>$E71*'Nutrient Content_TFP'!$AQ73</f>
        <v>5.4005968642890895E-2</v>
      </c>
      <c r="AP71">
        <f>$E71*'Nutrient Content_TFP'!$AZ73</f>
        <v>0.26766656963639862</v>
      </c>
      <c r="AQ71">
        <f>$E71*'Nutrient Content_TFP'!$BA73</f>
        <v>0.61340088459900743</v>
      </c>
      <c r="AR71">
        <f>$E71*'Nutrient Content_TFP'!$AG73</f>
        <v>0</v>
      </c>
      <c r="AS71">
        <f>$E71*'Nutrient Content_TFP'!$AJ73</f>
        <v>0</v>
      </c>
      <c r="AT71">
        <f>$E71*'Nutrient Content_TFP'!$AK73</f>
        <v>0</v>
      </c>
      <c r="AU71">
        <f>$E71*'Nutrient Content_TFP'!$AL73</f>
        <v>0</v>
      </c>
      <c r="AV71">
        <f>$E71*'Nutrient Content_TFP'!$AM73</f>
        <v>0</v>
      </c>
      <c r="AW71">
        <f>$E71*'Nutrient Content_TFP'!AN73</f>
        <v>0</v>
      </c>
      <c r="AX71">
        <f>$E71*'Nutrient Content_TFP'!AH73</f>
        <v>2.5895215934397153E-3</v>
      </c>
      <c r="AY71">
        <f>$E71*'Nutrient Content_TFP'!$AR73</f>
        <v>0</v>
      </c>
      <c r="AZ71">
        <f>$E71*'Nutrient Content_TFP'!$AS73</f>
        <v>0</v>
      </c>
      <c r="BA71">
        <f>$E71*'Nutrient Content_TFP'!$AT73</f>
        <v>0</v>
      </c>
      <c r="BB71">
        <f>$E71*'Nutrient Content_TFP'!$AU73</f>
        <v>0</v>
      </c>
      <c r="BC71">
        <f>$E71*'Nutrient Content_TFP'!$AV73</f>
        <v>5.4005968644012858E-2</v>
      </c>
      <c r="BD71">
        <f>$E71*'Nutrient Content_TFP'!$AW73</f>
        <v>0</v>
      </c>
      <c r="BE71">
        <f>$E71*'Nutrient Content_TFP'!$AX73</f>
        <v>0</v>
      </c>
      <c r="BF71">
        <f>$E71*'Nutrient Content_TFP'!$AY73</f>
        <v>5.4005968644012858E-2</v>
      </c>
    </row>
    <row r="72" spans="1:58" ht="14.5" x14ac:dyDescent="0.35">
      <c r="A72" s="4">
        <v>69</v>
      </c>
      <c r="B72" t="s">
        <v>163</v>
      </c>
      <c r="C72" s="2">
        <f>'Your Model Diet'!E80</f>
        <v>25.707389831542969</v>
      </c>
      <c r="D72">
        <f>'Nutrient Content_TFP'!$G74</f>
        <v>576.60102189999998</v>
      </c>
      <c r="E72">
        <f t="shared" si="3"/>
        <v>4.4584363979849842E-2</v>
      </c>
      <c r="F72">
        <f t="shared" si="4"/>
        <v>4.4584363979849844</v>
      </c>
      <c r="G72">
        <f>Cost_TFP!C74</f>
        <v>1.5553578062869999</v>
      </c>
      <c r="H72" s="1">
        <f t="shared" si="5"/>
        <v>6.9344638554400387E-2</v>
      </c>
      <c r="I72">
        <f>$E72*'Nutrient Content_TFP'!$Z74</f>
        <v>3.5110841829002739</v>
      </c>
      <c r="J72">
        <f>$E72*'Nutrient Content_TFP'!$AA74</f>
        <v>4.3603014462172283</v>
      </c>
      <c r="K72">
        <f>$E72*'Nutrient Content_TFP'!$AB74</f>
        <v>19.641669125414438</v>
      </c>
      <c r="L72">
        <f>$E72*'Nutrient Content_TFP'!$AC74</f>
        <v>5.3880357801623608</v>
      </c>
      <c r="M72">
        <f>$E72*'Nutrient Content_TFP'!$AD74</f>
        <v>0.5057330476548707</v>
      </c>
      <c r="N72">
        <f>$E72*'Nutrient Content_TFP'!$AE74</f>
        <v>2.6577503934500291</v>
      </c>
      <c r="O72">
        <f>$E72*'Nutrient Content_TFP'!$C74</f>
        <v>4.9121575942163149</v>
      </c>
      <c r="P72">
        <f>$E72*'Nutrient Content_TFP'!$D74</f>
        <v>2.4182338637700966</v>
      </c>
      <c r="Q72">
        <f>$E72*'Nutrient Content_TFP'!$E74</f>
        <v>0</v>
      </c>
      <c r="R72">
        <f>$E72*'Nutrient Content_TFP'!$F74</f>
        <v>4.5016723787654027E-2</v>
      </c>
      <c r="S72">
        <f>$E72*'Nutrient Content_TFP'!$H74</f>
        <v>0.40127660889966682</v>
      </c>
      <c r="T72">
        <f>$E72*'Nutrient Content_TFP'!$I74</f>
        <v>0</v>
      </c>
      <c r="U72">
        <f>$E72*'Nutrient Content_TFP'!$J74</f>
        <v>3.5717119769299166</v>
      </c>
      <c r="V72">
        <f>$E72*'Nutrient Content_TFP'!$K74</f>
        <v>0.13688130639151555</v>
      </c>
      <c r="W72">
        <f>$E72*'Nutrient Content_TFP'!$L74</f>
        <v>8.7172258241933775</v>
      </c>
      <c r="X72">
        <f>$E72*'Nutrient Content_TFP'!$M74</f>
        <v>0.29442121722091841</v>
      </c>
      <c r="Y72">
        <f>$E72*'Nutrient Content_TFP'!$N74</f>
        <v>19.506556423040919</v>
      </c>
      <c r="Z72">
        <f>$E72*'Nutrient Content_TFP'!$O74</f>
        <v>29.403830676939034</v>
      </c>
      <c r="AA72">
        <f>$E72*'Nutrient Content_TFP'!$P74</f>
        <v>1.6248459081026921E-2</v>
      </c>
      <c r="AB72">
        <f>$E72*'Nutrient Content_TFP'!$Q74</f>
        <v>8.5905450692142544</v>
      </c>
      <c r="AC72">
        <f>$E72*'Nutrient Content_TFP'!$R74</f>
        <v>1.1400979955422098E-2</v>
      </c>
      <c r="AD72">
        <f>$E72*'Nutrient Content_TFP'!$S74</f>
        <v>0</v>
      </c>
      <c r="AE72">
        <f>$E72*'Nutrient Content_TFP'!$T74</f>
        <v>1.8017297603861365E-2</v>
      </c>
      <c r="AF72">
        <f>$E72*'Nutrient Content_TFP'!$U74</f>
        <v>3.3783993603206622E-2</v>
      </c>
      <c r="AG72">
        <f>$E72*'Nutrient Content_TFP'!$W74</f>
        <v>0.39533670798967313</v>
      </c>
      <c r="AH72">
        <f>$E72*'Nutrient Content_TFP'!$X74</f>
        <v>0.33225699704129608</v>
      </c>
      <c r="AI72">
        <f>$E72*'Nutrient Content_TFP'!$V74</f>
        <v>5.5528779080091899E-2</v>
      </c>
      <c r="AJ72">
        <f>$E72*'Nutrient Content_TFP'!$Y74</f>
        <v>0.14576900605538859</v>
      </c>
      <c r="AK72">
        <f>$E72*'Nutrient Content_TFP'!$AF74</f>
        <v>0</v>
      </c>
      <c r="AL72">
        <f>$E72*'Nutrient Content_TFP'!$AI74</f>
        <v>0</v>
      </c>
      <c r="AM72">
        <f>$E72*'Nutrient Content_TFP'!$AO74</f>
        <v>3.4065564464173972E-3</v>
      </c>
      <c r="AN72">
        <f>$E72*'Nutrient Content_TFP'!$AP74</f>
        <v>0</v>
      </c>
      <c r="AO72">
        <f>$E72*'Nutrient Content_TFP'!$AQ74</f>
        <v>0.29592272837438238</v>
      </c>
      <c r="AP72">
        <f>$E72*'Nutrient Content_TFP'!$AZ74</f>
        <v>1.3894393981814772</v>
      </c>
      <c r="AQ72">
        <f>$E72*'Nutrient Content_TFP'!$BA74</f>
        <v>0.23332291228462468</v>
      </c>
      <c r="AR72">
        <f>$E72*'Nutrient Content_TFP'!$AG74</f>
        <v>0</v>
      </c>
      <c r="AS72">
        <f>$E72*'Nutrient Content_TFP'!$AJ74</f>
        <v>0</v>
      </c>
      <c r="AT72">
        <f>$E72*'Nutrient Content_TFP'!$AK74</f>
        <v>0</v>
      </c>
      <c r="AU72">
        <f>$E72*'Nutrient Content_TFP'!$AL74</f>
        <v>0</v>
      </c>
      <c r="AV72">
        <f>$E72*'Nutrient Content_TFP'!$AM74</f>
        <v>0</v>
      </c>
      <c r="AW72">
        <f>$E72*'Nutrient Content_TFP'!AN74</f>
        <v>0</v>
      </c>
      <c r="AX72">
        <f>$E72*'Nutrient Content_TFP'!AH74</f>
        <v>0</v>
      </c>
      <c r="AY72">
        <f>$E72*'Nutrient Content_TFP'!$AR74</f>
        <v>0</v>
      </c>
      <c r="AZ72">
        <f>$E72*'Nutrient Content_TFP'!$AS74</f>
        <v>0</v>
      </c>
      <c r="BA72">
        <f>$E72*'Nutrient Content_TFP'!$AT74</f>
        <v>0</v>
      </c>
      <c r="BB72">
        <f>$E72*'Nutrient Content_TFP'!$AU74</f>
        <v>0</v>
      </c>
      <c r="BC72">
        <f>$E72*'Nutrient Content_TFP'!$AV74</f>
        <v>0.29592272836992395</v>
      </c>
      <c r="BD72">
        <f>$E72*'Nutrient Content_TFP'!$AW74</f>
        <v>0</v>
      </c>
      <c r="BE72">
        <f>$E72*'Nutrient Content_TFP'!$AX74</f>
        <v>0</v>
      </c>
      <c r="BF72">
        <f>$E72*'Nutrient Content_TFP'!$AY74</f>
        <v>0.29592272836992395</v>
      </c>
    </row>
    <row r="73" spans="1:58" ht="14.5" x14ac:dyDescent="0.35">
      <c r="A73" s="4">
        <v>70</v>
      </c>
      <c r="B73" t="s">
        <v>165</v>
      </c>
      <c r="C73" s="2">
        <f>'Your Model Diet'!E81</f>
        <v>18.79734992980957</v>
      </c>
      <c r="D73">
        <f>'Nutrient Content_TFP'!$G75</f>
        <v>596.19245555999998</v>
      </c>
      <c r="E73">
        <f t="shared" si="3"/>
        <v>3.1528996642792691E-2</v>
      </c>
      <c r="F73">
        <f t="shared" si="4"/>
        <v>3.152899664279269</v>
      </c>
      <c r="G73">
        <f>Cost_TFP!C75</f>
        <v>0.59565395405580002</v>
      </c>
      <c r="H73" s="1">
        <f t="shared" si="5"/>
        <v>1.8780371517691512E-2</v>
      </c>
      <c r="I73">
        <f>$E73*'Nutrient Content_TFP'!$Z75</f>
        <v>2.8058998771159316</v>
      </c>
      <c r="J73">
        <f>$E73*'Nutrient Content_TFP'!$AA75</f>
        <v>2.848713777039817</v>
      </c>
      <c r="K73">
        <f>$E73*'Nutrient Content_TFP'!$AB75</f>
        <v>14.46978095559925</v>
      </c>
      <c r="L73">
        <f>$E73*'Nutrient Content_TFP'!$AC75</f>
        <v>3.4843097303936776</v>
      </c>
      <c r="M73">
        <f>$E73*'Nutrient Content_TFP'!$AD75</f>
        <v>8.6426068893242884E-3</v>
      </c>
      <c r="N73">
        <f>$E73*'Nutrient Content_TFP'!$AE75</f>
        <v>2.8580333445609796</v>
      </c>
      <c r="O73">
        <f>$E73*'Nutrient Content_TFP'!$C75</f>
        <v>1.8672727119630477</v>
      </c>
      <c r="P73">
        <f>$E73*'Nutrient Content_TFP'!$D75</f>
        <v>1.9698508090433318</v>
      </c>
      <c r="Q73">
        <f>$E73*'Nutrient Content_TFP'!$E75</f>
        <v>0</v>
      </c>
      <c r="R73">
        <f>$E73*'Nutrient Content_TFP'!$F75</f>
        <v>1.4129241601034868E-2</v>
      </c>
      <c r="S73">
        <f>$E73*'Nutrient Content_TFP'!$H75</f>
        <v>0.16331254070089848</v>
      </c>
      <c r="T73">
        <f>$E73*'Nutrient Content_TFP'!$I75</f>
        <v>0</v>
      </c>
      <c r="U73">
        <f>$E73*'Nutrient Content_TFP'!$J75</f>
        <v>2.6910006781716294</v>
      </c>
      <c r="V73">
        <f>$E73*'Nutrient Content_TFP'!$K75</f>
        <v>5.7950448811297579E-2</v>
      </c>
      <c r="W73">
        <f>$E73*'Nutrient Content_TFP'!$L75</f>
        <v>5.3816646108946156</v>
      </c>
      <c r="X73">
        <f>$E73*'Nutrient Content_TFP'!$M75</f>
        <v>0.40452494597053001</v>
      </c>
      <c r="Y73">
        <f>$E73*'Nutrient Content_TFP'!$N75</f>
        <v>10.822269090490794</v>
      </c>
      <c r="Z73">
        <f>$E73*'Nutrient Content_TFP'!$O75</f>
        <v>17.831721866758169</v>
      </c>
      <c r="AA73">
        <f>$E73*'Nutrient Content_TFP'!$P75</f>
        <v>6.6440895183221011E-3</v>
      </c>
      <c r="AB73">
        <f>$E73*'Nutrient Content_TFP'!$Q75</f>
        <v>13.022850843357206</v>
      </c>
      <c r="AC73">
        <f>$E73*'Nutrient Content_TFP'!$R75</f>
        <v>4.951686929798616E-3</v>
      </c>
      <c r="AD73">
        <f>$E73*'Nutrient Content_TFP'!$S75</f>
        <v>0</v>
      </c>
      <c r="AE73">
        <f>$E73*'Nutrient Content_TFP'!$T75</f>
        <v>1.3432604586286373E-2</v>
      </c>
      <c r="AF73">
        <f>$E73*'Nutrient Content_TFP'!$U75</f>
        <v>0</v>
      </c>
      <c r="AG73">
        <f>$E73*'Nutrient Content_TFP'!$W75</f>
        <v>0.29836933876947919</v>
      </c>
      <c r="AH73">
        <f>$E73*'Nutrient Content_TFP'!$X75</f>
        <v>9.4078976762941319E-3</v>
      </c>
      <c r="AI73">
        <f>$E73*'Nutrient Content_TFP'!$V75</f>
        <v>5.8743888241911252E-4</v>
      </c>
      <c r="AJ73">
        <f>$E73*'Nutrient Content_TFP'!$Y75</f>
        <v>8.0496385728605985E-2</v>
      </c>
      <c r="AK73">
        <f>$E73*'Nutrient Content_TFP'!$AF75</f>
        <v>0</v>
      </c>
      <c r="AL73">
        <f>$E73*'Nutrient Content_TFP'!$AI75</f>
        <v>0</v>
      </c>
      <c r="AM73">
        <f>$E73*'Nutrient Content_TFP'!$AO75</f>
        <v>0</v>
      </c>
      <c r="AN73">
        <f>$E73*'Nutrient Content_TFP'!$AP75</f>
        <v>0</v>
      </c>
      <c r="AO73">
        <f>$E73*'Nutrient Content_TFP'!$AQ75</f>
        <v>0.19705622901745432</v>
      </c>
      <c r="AP73">
        <f>$E73*'Nutrient Content_TFP'!$AZ75</f>
        <v>1.0894167347175288</v>
      </c>
      <c r="AQ73">
        <f>$E73*'Nutrient Content_TFP'!$BA75</f>
        <v>0.70175193779937628</v>
      </c>
      <c r="AR73">
        <f>$E73*'Nutrient Content_TFP'!$AG75</f>
        <v>0</v>
      </c>
      <c r="AS73">
        <f>$E73*'Nutrient Content_TFP'!$AJ75</f>
        <v>0</v>
      </c>
      <c r="AT73">
        <f>$E73*'Nutrient Content_TFP'!$AK75</f>
        <v>0</v>
      </c>
      <c r="AU73">
        <f>$E73*'Nutrient Content_TFP'!$AL75</f>
        <v>0</v>
      </c>
      <c r="AV73">
        <f>$E73*'Nutrient Content_TFP'!$AM75</f>
        <v>0</v>
      </c>
      <c r="AW73">
        <f>$E73*'Nutrient Content_TFP'!AN75</f>
        <v>0</v>
      </c>
      <c r="AX73">
        <f>$E73*'Nutrient Content_TFP'!AH75</f>
        <v>0</v>
      </c>
      <c r="AY73">
        <f>$E73*'Nutrient Content_TFP'!$AR75</f>
        <v>0</v>
      </c>
      <c r="AZ73">
        <f>$E73*'Nutrient Content_TFP'!$AS75</f>
        <v>0</v>
      </c>
      <c r="BA73">
        <f>$E73*'Nutrient Content_TFP'!$AT75</f>
        <v>0</v>
      </c>
      <c r="BB73">
        <f>$E73*'Nutrient Content_TFP'!$AU75</f>
        <v>0</v>
      </c>
      <c r="BC73">
        <f>$E73*'Nutrient Content_TFP'!$AV75</f>
        <v>0.19705622901745432</v>
      </c>
      <c r="BD73">
        <f>$E73*'Nutrient Content_TFP'!$AW75</f>
        <v>0</v>
      </c>
      <c r="BE73">
        <f>$E73*'Nutrient Content_TFP'!$AX75</f>
        <v>0</v>
      </c>
      <c r="BF73">
        <f>$E73*'Nutrient Content_TFP'!$AY75</f>
        <v>0.19705622901745432</v>
      </c>
    </row>
    <row r="74" spans="1:58" ht="14.5" x14ac:dyDescent="0.35">
      <c r="A74" s="4">
        <v>71</v>
      </c>
      <c r="B74" t="s">
        <v>167</v>
      </c>
      <c r="C74" s="2">
        <f>'Your Model Diet'!E82</f>
        <v>4.3250341415405273</v>
      </c>
      <c r="D74">
        <f>'Nutrient Content_TFP'!$G76</f>
        <v>190.93206262999999</v>
      </c>
      <c r="E74">
        <f t="shared" si="3"/>
        <v>2.2652215044268637E-2</v>
      </c>
      <c r="F74">
        <f t="shared" si="4"/>
        <v>2.2652215044268638</v>
      </c>
      <c r="G74">
        <f>Cost_TFP!C76</f>
        <v>0.84312247083019998</v>
      </c>
      <c r="H74" s="1">
        <f t="shared" si="5"/>
        <v>1.90985915179008E-2</v>
      </c>
      <c r="I74">
        <f>$E74*'Nutrient Content_TFP'!$Z76</f>
        <v>1.9462682414193107</v>
      </c>
      <c r="J74">
        <f>$E74*'Nutrient Content_TFP'!$AA76</f>
        <v>0.67219290787835251</v>
      </c>
      <c r="K74">
        <f>$E74*'Nutrient Content_TFP'!$AB76</f>
        <v>1.5785164013852597</v>
      </c>
      <c r="L74">
        <f>$E74*'Nutrient Content_TFP'!$AC76</f>
        <v>0.34129191789107716</v>
      </c>
      <c r="M74">
        <f>$E74*'Nutrient Content_TFP'!$AD76</f>
        <v>3.1518043699014064E-2</v>
      </c>
      <c r="N74">
        <f>$E74*'Nutrient Content_TFP'!$AE76</f>
        <v>0.35533050640910679</v>
      </c>
      <c r="O74">
        <f>$E74*'Nutrient Content_TFP'!$C76</f>
        <v>0.30108061371322714</v>
      </c>
      <c r="P74">
        <f>$E74*'Nutrient Content_TFP'!$D76</f>
        <v>1.3542395149847619</v>
      </c>
      <c r="Q74">
        <f>$E74*'Nutrient Content_TFP'!$E76</f>
        <v>2.0826137559498732</v>
      </c>
      <c r="R74">
        <f>$E74*'Nutrient Content_TFP'!$F76</f>
        <v>1.3567711124937362E-3</v>
      </c>
      <c r="S74">
        <f>$E74*'Nutrient Content_TFP'!$H76</f>
        <v>4.5910905634279449E-3</v>
      </c>
      <c r="T74">
        <f>$E74*'Nutrient Content_TFP'!$I76</f>
        <v>9.6806925550991345E-3</v>
      </c>
      <c r="U74">
        <f>$E74*'Nutrient Content_TFP'!$J76</f>
        <v>0.13127673800682718</v>
      </c>
      <c r="V74">
        <f>$E74*'Nutrient Content_TFP'!$K76</f>
        <v>1.733228826122395E-2</v>
      </c>
      <c r="W74">
        <f>$E74*'Nutrient Content_TFP'!$L76</f>
        <v>0.50811608342400705</v>
      </c>
      <c r="X74">
        <f>$E74*'Nutrient Content_TFP'!$M76</f>
        <v>0.14457273899720996</v>
      </c>
      <c r="Y74">
        <f>$E74*'Nutrient Content_TFP'!$N76</f>
        <v>4.0222813480630926</v>
      </c>
      <c r="Z74">
        <f>$E74*'Nutrient Content_TFP'!$O76</f>
        <v>6.4012670637614013</v>
      </c>
      <c r="AA74">
        <f>$E74*'Nutrient Content_TFP'!$P76</f>
        <v>4.0484171944793583E-3</v>
      </c>
      <c r="AB74">
        <f>$E74*'Nutrient Content_TFP'!$Q76</f>
        <v>12.089210383522724</v>
      </c>
      <c r="AC74">
        <f>$E74*'Nutrient Content_TFP'!$R76</f>
        <v>1.7677810049542676E-3</v>
      </c>
      <c r="AD74">
        <f>$E74*'Nutrient Content_TFP'!$S76</f>
        <v>5.491267435420868E-3</v>
      </c>
      <c r="AE74">
        <f>$E74*'Nutrient Content_TFP'!$T76</f>
        <v>1.1549605087663313E-2</v>
      </c>
      <c r="AF74">
        <f>$E74*'Nutrient Content_TFP'!$U76</f>
        <v>2.226056927778196E-3</v>
      </c>
      <c r="AG74">
        <f>$E74*'Nutrient Content_TFP'!$W76</f>
        <v>1.7010117957297469E-2</v>
      </c>
      <c r="AH74">
        <f>$E74*'Nutrient Content_TFP'!$X76</f>
        <v>9.4839795575960742E-2</v>
      </c>
      <c r="AI74">
        <f>$E74*'Nutrient Content_TFP'!$V76</f>
        <v>0.21999325204587011</v>
      </c>
      <c r="AJ74">
        <f>$E74*'Nutrient Content_TFP'!$Y76</f>
        <v>2.8830440842604797E-2</v>
      </c>
      <c r="AK74">
        <f>$E74*'Nutrient Content_TFP'!$AF76</f>
        <v>3.8014860982352308E-4</v>
      </c>
      <c r="AL74">
        <f>$E74*'Nutrient Content_TFP'!$AI76</f>
        <v>4.4521138464955059E-4</v>
      </c>
      <c r="AM74">
        <f>$E74*'Nutrient Content_TFP'!$AO76</f>
        <v>0</v>
      </c>
      <c r="AN74">
        <f>$E74*'Nutrient Content_TFP'!$AP76</f>
        <v>3.1460823343028074E-6</v>
      </c>
      <c r="AO74">
        <f>$E74*'Nutrient Content_TFP'!$AQ76</f>
        <v>6.2523175510432613E-2</v>
      </c>
      <c r="AP74">
        <f>$E74*'Nutrient Content_TFP'!$AZ76</f>
        <v>4.831253877996812E-2</v>
      </c>
      <c r="AQ74">
        <f>$E74*'Nutrient Content_TFP'!$BA76</f>
        <v>0.48894048857404832</v>
      </c>
      <c r="AR74">
        <f>$E74*'Nutrient Content_TFP'!$AG76</f>
        <v>0</v>
      </c>
      <c r="AS74">
        <f>$E74*'Nutrient Content_TFP'!$AJ76</f>
        <v>0</v>
      </c>
      <c r="AT74">
        <f>$E74*'Nutrient Content_TFP'!$AK76</f>
        <v>4.4521138464955059E-4</v>
      </c>
      <c r="AU74">
        <f>$E74*'Nutrient Content_TFP'!$AL76</f>
        <v>0</v>
      </c>
      <c r="AV74">
        <f>$E74*'Nutrient Content_TFP'!$AM76</f>
        <v>0</v>
      </c>
      <c r="AW74">
        <f>$E74*'Nutrient Content_TFP'!AN76</f>
        <v>0</v>
      </c>
      <c r="AX74">
        <f>$E74*'Nutrient Content_TFP'!AH76</f>
        <v>3.8014861208874462E-4</v>
      </c>
      <c r="AY74">
        <f>$E74*'Nutrient Content_TFP'!$AR76</f>
        <v>0</v>
      </c>
      <c r="AZ74">
        <f>$E74*'Nutrient Content_TFP'!$AS76</f>
        <v>6.2510048214296454E-2</v>
      </c>
      <c r="BA74">
        <f>$E74*'Nutrient Content_TFP'!$AT76</f>
        <v>1.3127298401379339E-5</v>
      </c>
      <c r="BB74">
        <f>$E74*'Nutrient Content_TFP'!$AU76</f>
        <v>0</v>
      </c>
      <c r="BC74">
        <f>$E74*'Nutrient Content_TFP'!$AV76</f>
        <v>0</v>
      </c>
      <c r="BD74">
        <f>$E74*'Nutrient Content_TFP'!$AW76</f>
        <v>6.2523175512697843E-2</v>
      </c>
      <c r="BE74">
        <f>$E74*'Nutrient Content_TFP'!$AX76</f>
        <v>0</v>
      </c>
      <c r="BF74">
        <f>$E74*'Nutrient Content_TFP'!$AY76</f>
        <v>0</v>
      </c>
    </row>
    <row r="75" spans="1:58" ht="14.5" x14ac:dyDescent="0.35">
      <c r="A75" s="4">
        <v>72</v>
      </c>
      <c r="B75" t="s">
        <v>169</v>
      </c>
      <c r="C75" s="2">
        <f>'Your Model Diet'!E83</f>
        <v>22.84556770324707</v>
      </c>
      <c r="D75">
        <f>'Nutrient Content_TFP'!$G77</f>
        <v>199.86684008</v>
      </c>
      <c r="E75">
        <f t="shared" si="3"/>
        <v>0.11430394203512076</v>
      </c>
      <c r="F75">
        <f t="shared" si="4"/>
        <v>11.430394203512076</v>
      </c>
      <c r="G75">
        <f>Cost_TFP!C77</f>
        <v>1.0291538844571999</v>
      </c>
      <c r="H75" s="1">
        <f t="shared" si="5"/>
        <v>0.11763634595421514</v>
      </c>
      <c r="I75">
        <f>$E75*'Nutrient Content_TFP'!$Z77</f>
        <v>11.103619099830311</v>
      </c>
      <c r="J75">
        <f>$E75*'Nutrient Content_TFP'!$AA77</f>
        <v>2.0135782912412545</v>
      </c>
      <c r="K75">
        <f>$E75*'Nutrient Content_TFP'!$AB77</f>
        <v>9.221055281465782</v>
      </c>
      <c r="L75">
        <f>$E75*'Nutrient Content_TFP'!$AC77</f>
        <v>2.5071750243872404</v>
      </c>
      <c r="M75">
        <f>$E75*'Nutrient Content_TFP'!$AD77</f>
        <v>0.17020459556551101</v>
      </c>
      <c r="N75">
        <f>$E75*'Nutrient Content_TFP'!$AE77</f>
        <v>1.9658850786441981</v>
      </c>
      <c r="O75">
        <f>$E75*'Nutrient Content_TFP'!$C77</f>
        <v>1.5552473493812335</v>
      </c>
      <c r="P75">
        <f>$E75*'Nutrient Content_TFP'!$D77</f>
        <v>7.2948584221976827</v>
      </c>
      <c r="Q75">
        <f>$E75*'Nutrient Content_TFP'!$E77</f>
        <v>10.323049725739605</v>
      </c>
      <c r="R75">
        <f>$E75*'Nutrient Content_TFP'!$F77</f>
        <v>6.767084420606753E-3</v>
      </c>
      <c r="S75">
        <f>$E75*'Nutrient Content_TFP'!$H77</f>
        <v>4.0536248014712992E-2</v>
      </c>
      <c r="T75">
        <f>$E75*'Nutrient Content_TFP'!$I77</f>
        <v>0.31703896175907098</v>
      </c>
      <c r="U75">
        <f>$E75*'Nutrient Content_TFP'!$J77</f>
        <v>1.5671326208085361</v>
      </c>
      <c r="V75">
        <f>$E75*'Nutrient Content_TFP'!$K77</f>
        <v>8.462213477813664E-2</v>
      </c>
      <c r="W75">
        <f>$E75*'Nutrient Content_TFP'!$L77</f>
        <v>2.9303492437827874</v>
      </c>
      <c r="X75">
        <f>$E75*'Nutrient Content_TFP'!$M77</f>
        <v>0.90901271897926117</v>
      </c>
      <c r="Y75">
        <f>$E75*'Nutrient Content_TFP'!$N77</f>
        <v>25.417262067449681</v>
      </c>
      <c r="Z75">
        <f>$E75*'Nutrient Content_TFP'!$O77</f>
        <v>34.758958046599219</v>
      </c>
      <c r="AA75">
        <f>$E75*'Nutrient Content_TFP'!$P77</f>
        <v>2.1011690633401876E-2</v>
      </c>
      <c r="AB75">
        <f>$E75*'Nutrient Content_TFP'!$Q77</f>
        <v>39.868877616051279</v>
      </c>
      <c r="AC75">
        <f>$E75*'Nutrient Content_TFP'!$R77</f>
        <v>1.1050333996309097E-2</v>
      </c>
      <c r="AD75">
        <f>$E75*'Nutrient Content_TFP'!$S77</f>
        <v>2.9617360134056418E-2</v>
      </c>
      <c r="AE75">
        <f>$E75*'Nutrient Content_TFP'!$T77</f>
        <v>6.1410102382013269E-2</v>
      </c>
      <c r="AF75">
        <f>$E75*'Nutrient Content_TFP'!$U77</f>
        <v>2.0809719042665653E-2</v>
      </c>
      <c r="AG75">
        <f>$E75*'Nutrient Content_TFP'!$W77</f>
        <v>0.12777791195085544</v>
      </c>
      <c r="AH75">
        <f>$E75*'Nutrient Content_TFP'!$X77</f>
        <v>0.59342892043696049</v>
      </c>
      <c r="AI75">
        <f>$E75*'Nutrient Content_TFP'!$V77</f>
        <v>0.95001248492138912</v>
      </c>
      <c r="AJ75">
        <f>$E75*'Nutrient Content_TFP'!$Y77</f>
        <v>0.13055312456386434</v>
      </c>
      <c r="AK75">
        <f>$E75*'Nutrient Content_TFP'!$AF77</f>
        <v>3.8721560516978455E-2</v>
      </c>
      <c r="AL75">
        <f>$E75*'Nutrient Content_TFP'!$AI77</f>
        <v>0</v>
      </c>
      <c r="AM75">
        <f>$E75*'Nutrient Content_TFP'!$AO77</f>
        <v>0</v>
      </c>
      <c r="AN75">
        <f>$E75*'Nutrient Content_TFP'!$AP77</f>
        <v>2.1710433534382698E-6</v>
      </c>
      <c r="AO75">
        <f>$E75*'Nutrient Content_TFP'!$AQ77</f>
        <v>0.34836534193463597</v>
      </c>
      <c r="AP75">
        <f>$E75*'Nutrient Content_TFP'!$AZ77</f>
        <v>0.37874036634285274</v>
      </c>
      <c r="AQ75">
        <f>$E75*'Nutrient Content_TFP'!$BA77</f>
        <v>0</v>
      </c>
      <c r="AR75">
        <f>$E75*'Nutrient Content_TFP'!$AG77</f>
        <v>0</v>
      </c>
      <c r="AS75">
        <f>$E75*'Nutrient Content_TFP'!$AJ77</f>
        <v>0</v>
      </c>
      <c r="AT75">
        <f>$E75*'Nutrient Content_TFP'!$AK77</f>
        <v>0</v>
      </c>
      <c r="AU75">
        <f>$E75*'Nutrient Content_TFP'!$AL77</f>
        <v>0</v>
      </c>
      <c r="AV75">
        <f>$E75*'Nutrient Content_TFP'!$AM77</f>
        <v>0</v>
      </c>
      <c r="AW75">
        <f>$E75*'Nutrient Content_TFP'!AN77</f>
        <v>0</v>
      </c>
      <c r="AX75">
        <f>$E75*'Nutrient Content_TFP'!AH77</f>
        <v>3.8721560539839245E-2</v>
      </c>
      <c r="AY75">
        <f>$E75*'Nutrient Content_TFP'!$AR77</f>
        <v>0</v>
      </c>
      <c r="AZ75">
        <f>$E75*'Nutrient Content_TFP'!$AS77</f>
        <v>0.34810916165366806</v>
      </c>
      <c r="BA75">
        <f>$E75*'Nutrient Content_TFP'!$AT77</f>
        <v>2.5618039527189535E-4</v>
      </c>
      <c r="BB75">
        <f>$E75*'Nutrient Content_TFP'!$AU77</f>
        <v>0</v>
      </c>
      <c r="BC75">
        <f>$E75*'Nutrient Content_TFP'!$AV77</f>
        <v>0</v>
      </c>
      <c r="BD75">
        <f>$E75*'Nutrient Content_TFP'!$AW77</f>
        <v>0.34836534193463597</v>
      </c>
      <c r="BE75">
        <f>$E75*'Nutrient Content_TFP'!$AX77</f>
        <v>0</v>
      </c>
      <c r="BF75">
        <f>$E75*'Nutrient Content_TFP'!$AY77</f>
        <v>0</v>
      </c>
    </row>
    <row r="76" spans="1:58" ht="14.5" x14ac:dyDescent="0.35">
      <c r="A76" s="4">
        <v>73</v>
      </c>
      <c r="B76" t="s">
        <v>171</v>
      </c>
      <c r="C76" s="2">
        <f>'Your Model Diet'!E84</f>
        <v>5.6817045211791992</v>
      </c>
      <c r="D76">
        <f>'Nutrient Content_TFP'!$G78</f>
        <v>252.57337085</v>
      </c>
      <c r="E76">
        <f t="shared" si="3"/>
        <v>2.2495263463674833E-2</v>
      </c>
      <c r="F76">
        <f t="shared" si="4"/>
        <v>2.2495263463674831</v>
      </c>
      <c r="G76">
        <f>Cost_TFP!C78</f>
        <v>1.5709376567722</v>
      </c>
      <c r="H76" s="1">
        <f t="shared" si="5"/>
        <v>3.5338656474098624E-2</v>
      </c>
      <c r="I76">
        <f>$E76*'Nutrient Content_TFP'!$Z78</f>
        <v>1.801274475224353</v>
      </c>
      <c r="J76">
        <f>$E76*'Nutrient Content_TFP'!$AA78</f>
        <v>0.4192479418399373</v>
      </c>
      <c r="K76">
        <f>$E76*'Nutrient Content_TFP'!$AB78</f>
        <v>3.4155474152853889</v>
      </c>
      <c r="L76">
        <f>$E76*'Nutrient Content_TFP'!$AC78</f>
        <v>0.57753994436026856</v>
      </c>
      <c r="M76">
        <f>$E76*'Nutrient Content_TFP'!$AD78</f>
        <v>4.3427328212360443E-2</v>
      </c>
      <c r="N76">
        <f>$E76*'Nutrient Content_TFP'!$AE78</f>
        <v>0.94968185590450582</v>
      </c>
      <c r="O76">
        <f>$E76*'Nutrient Content_TFP'!$C78</f>
        <v>0.56384263604760676</v>
      </c>
      <c r="P76">
        <f>$E76*'Nutrient Content_TFP'!$D78</f>
        <v>1.550660564185276</v>
      </c>
      <c r="Q76">
        <f>$E76*'Nutrient Content_TFP'!$E78</f>
        <v>2.4757615295545916</v>
      </c>
      <c r="R76">
        <f>$E76*'Nutrient Content_TFP'!$F78</f>
        <v>1.1370639274232101E-3</v>
      </c>
      <c r="S76">
        <f>$E76*'Nutrient Content_TFP'!$H78</f>
        <v>2.1024734301457906E-3</v>
      </c>
      <c r="T76">
        <f>$E76*'Nutrient Content_TFP'!$I78</f>
        <v>1.5467879951319936E-2</v>
      </c>
      <c r="U76">
        <f>$E76*'Nutrient Content_TFP'!$J78</f>
        <v>0.18632410938009161</v>
      </c>
      <c r="V76">
        <f>$E76*'Nutrient Content_TFP'!$K78</f>
        <v>1.8583567352620435E-2</v>
      </c>
      <c r="W76">
        <f>$E76*'Nutrient Content_TFP'!$L78</f>
        <v>0.43030385717151454</v>
      </c>
      <c r="X76">
        <f>$E76*'Nutrient Content_TFP'!$M78</f>
        <v>0.13137441265740948</v>
      </c>
      <c r="Y76">
        <f>$E76*'Nutrient Content_TFP'!$N78</f>
        <v>3.8220095280717805</v>
      </c>
      <c r="Z76">
        <f>$E76*'Nutrient Content_TFP'!$O78</f>
        <v>5.2059966742953394</v>
      </c>
      <c r="AA76">
        <f>$E76*'Nutrient Content_TFP'!$P78</f>
        <v>3.1954510659985215E-3</v>
      </c>
      <c r="AB76">
        <f>$E76*'Nutrient Content_TFP'!$Q78</f>
        <v>10.873818813432955</v>
      </c>
      <c r="AC76">
        <f>$E76*'Nutrient Content_TFP'!$R78</f>
        <v>1.4305186074713232E-3</v>
      </c>
      <c r="AD76">
        <f>$E76*'Nutrient Content_TFP'!$S78</f>
        <v>7.2607419228462727E-3</v>
      </c>
      <c r="AE76">
        <f>$E76*'Nutrient Content_TFP'!$T78</f>
        <v>8.0272825573111887E-3</v>
      </c>
      <c r="AF76">
        <f>$E76*'Nutrient Content_TFP'!$U78</f>
        <v>2.0016294315606934E-3</v>
      </c>
      <c r="AG76">
        <f>$E76*'Nutrient Content_TFP'!$W78</f>
        <v>1.7123952071158969E-2</v>
      </c>
      <c r="AH76">
        <f>$E76*'Nutrient Content_TFP'!$X78</f>
        <v>6.4729919351602119E-2</v>
      </c>
      <c r="AI76">
        <f>$E76*'Nutrient Content_TFP'!$V78</f>
        <v>0.70853904166672144</v>
      </c>
      <c r="AJ76">
        <f>$E76*'Nutrient Content_TFP'!$Y78</f>
        <v>3.0134961546379818E-2</v>
      </c>
      <c r="AK76">
        <f>$E76*'Nutrient Content_TFP'!$AF78</f>
        <v>6.0539591137251565E-4</v>
      </c>
      <c r="AL76">
        <f>$E76*'Nutrient Content_TFP'!$AI78</f>
        <v>2.9641550437567573E-4</v>
      </c>
      <c r="AM76">
        <f>$E76*'Nutrient Content_TFP'!$AO78</f>
        <v>0</v>
      </c>
      <c r="AN76">
        <f>$E76*'Nutrient Content_TFP'!$AP78</f>
        <v>0</v>
      </c>
      <c r="AO76">
        <f>$E76*'Nutrient Content_TFP'!$AQ78</f>
        <v>6.0100380343430862E-2</v>
      </c>
      <c r="AP76">
        <f>$E76*'Nutrient Content_TFP'!$AZ78</f>
        <v>4.2787952020025659E-2</v>
      </c>
      <c r="AQ76">
        <f>$E76*'Nutrient Content_TFP'!$BA78</f>
        <v>0.2742787546069147</v>
      </c>
      <c r="AR76">
        <f>$E76*'Nutrient Content_TFP'!$AG78</f>
        <v>0</v>
      </c>
      <c r="AS76">
        <f>$E76*'Nutrient Content_TFP'!$AJ78</f>
        <v>0</v>
      </c>
      <c r="AT76">
        <f>$E76*'Nutrient Content_TFP'!$AK78</f>
        <v>2.9641550437567573E-4</v>
      </c>
      <c r="AU76">
        <f>$E76*'Nutrient Content_TFP'!$AL78</f>
        <v>0</v>
      </c>
      <c r="AV76">
        <f>$E76*'Nutrient Content_TFP'!$AM78</f>
        <v>0</v>
      </c>
      <c r="AW76">
        <f>$E76*'Nutrient Content_TFP'!AN78</f>
        <v>0</v>
      </c>
      <c r="AX76">
        <f>$E76*'Nutrient Content_TFP'!AH78</f>
        <v>6.0539590462393663E-4</v>
      </c>
      <c r="AY76">
        <f>$E76*'Nutrient Content_TFP'!$AR78</f>
        <v>0</v>
      </c>
      <c r="AZ76">
        <f>$E76*'Nutrient Content_TFP'!$AS78</f>
        <v>6.0100380341181335E-2</v>
      </c>
      <c r="BA76">
        <f>$E76*'Nutrient Content_TFP'!$AT78</f>
        <v>0</v>
      </c>
      <c r="BB76">
        <f>$E76*'Nutrient Content_TFP'!$AU78</f>
        <v>0</v>
      </c>
      <c r="BC76">
        <f>$E76*'Nutrient Content_TFP'!$AV78</f>
        <v>0</v>
      </c>
      <c r="BD76">
        <f>$E76*'Nutrient Content_TFP'!$AW78</f>
        <v>6.0100380341181335E-2</v>
      </c>
      <c r="BE76">
        <f>$E76*'Nutrient Content_TFP'!$AX78</f>
        <v>0</v>
      </c>
      <c r="BF76">
        <f>$E76*'Nutrient Content_TFP'!$AY78</f>
        <v>0</v>
      </c>
    </row>
    <row r="77" spans="1:58" ht="14.5" x14ac:dyDescent="0.35">
      <c r="A77" s="4">
        <v>74</v>
      </c>
      <c r="B77" t="s">
        <v>172</v>
      </c>
      <c r="C77" s="2">
        <f>'Your Model Diet'!E85</f>
        <v>5.845707893371582</v>
      </c>
      <c r="D77">
        <f>'Nutrient Content_TFP'!$G79</f>
        <v>232.54865154000001</v>
      </c>
      <c r="E77">
        <f t="shared" si="3"/>
        <v>2.5137569513560817E-2</v>
      </c>
      <c r="F77">
        <f t="shared" si="4"/>
        <v>2.5137569513560818</v>
      </c>
      <c r="G77">
        <f>Cost_TFP!C79</f>
        <v>0.74689853237179993</v>
      </c>
      <c r="H77" s="1">
        <f t="shared" si="5"/>
        <v>1.8775213777072676E-2</v>
      </c>
      <c r="I77">
        <f>$E77*'Nutrient Content_TFP'!$Z79</f>
        <v>2.1041576577156542</v>
      </c>
      <c r="J77">
        <f>$E77*'Nutrient Content_TFP'!$AA79</f>
        <v>0.6573073267127939</v>
      </c>
      <c r="K77">
        <f>$E77*'Nutrient Content_TFP'!$AB79</f>
        <v>2.9897717346161281</v>
      </c>
      <c r="L77">
        <f>$E77*'Nutrient Content_TFP'!$AC79</f>
        <v>0.78467256477797864</v>
      </c>
      <c r="M77">
        <f>$E77*'Nutrient Content_TFP'!$AD79</f>
        <v>6.3437100516841261E-2</v>
      </c>
      <c r="N77">
        <f>$E77*'Nutrient Content_TFP'!$AE79</f>
        <v>0.63463654681405923</v>
      </c>
      <c r="O77">
        <f>$E77*'Nutrient Content_TFP'!$C79</f>
        <v>0.50878365340554965</v>
      </c>
      <c r="P77">
        <f>$E77*'Nutrient Content_TFP'!$D79</f>
        <v>1.3872236444577288</v>
      </c>
      <c r="Q77">
        <f>$E77*'Nutrient Content_TFP'!$E79</f>
        <v>2.1291511707311646</v>
      </c>
      <c r="R77">
        <f>$E77*'Nutrient Content_TFP'!$F79</f>
        <v>1.743278070539971E-3</v>
      </c>
      <c r="S77">
        <f>$E77*'Nutrient Content_TFP'!$H79</f>
        <v>1.0628879448608382E-2</v>
      </c>
      <c r="T77">
        <f>$E77*'Nutrient Content_TFP'!$I79</f>
        <v>0.10474167423923032</v>
      </c>
      <c r="U77">
        <f>$E77*'Nutrient Content_TFP'!$J79</f>
        <v>0.34029679031000104</v>
      </c>
      <c r="V77">
        <f>$E77*'Nutrient Content_TFP'!$K79</f>
        <v>2.2881760359256844E-2</v>
      </c>
      <c r="W77">
        <f>$E77*'Nutrient Content_TFP'!$L79</f>
        <v>0.5903216907729848</v>
      </c>
      <c r="X77">
        <f>$E77*'Nutrient Content_TFP'!$M79</f>
        <v>0.15686148518401766</v>
      </c>
      <c r="Y77">
        <f>$E77*'Nutrient Content_TFP'!$N79</f>
        <v>4.8261534143312543</v>
      </c>
      <c r="Z77">
        <f>$E77*'Nutrient Content_TFP'!$O79</f>
        <v>6.4076642619447073</v>
      </c>
      <c r="AA77">
        <f>$E77*'Nutrient Content_TFP'!$P79</f>
        <v>4.4702061109959911E-3</v>
      </c>
      <c r="AB77">
        <f>$E77*'Nutrient Content_TFP'!$Q79</f>
        <v>8.8227575538292839</v>
      </c>
      <c r="AC77">
        <f>$E77*'Nutrient Content_TFP'!$R79</f>
        <v>2.552478481343714E-3</v>
      </c>
      <c r="AD77">
        <f>$E77*'Nutrient Content_TFP'!$S79</f>
        <v>7.7626855476594335E-3</v>
      </c>
      <c r="AE77">
        <f>$E77*'Nutrient Content_TFP'!$T79</f>
        <v>1.0436562512314463E-2</v>
      </c>
      <c r="AF77">
        <f>$E77*'Nutrient Content_TFP'!$U79</f>
        <v>1.8192135776826119E-3</v>
      </c>
      <c r="AG77">
        <f>$E77*'Nutrient Content_TFP'!$W79</f>
        <v>2.7250136134370065E-2</v>
      </c>
      <c r="AH77">
        <f>$E77*'Nutrient Content_TFP'!$X79</f>
        <v>0.1571100450490566</v>
      </c>
      <c r="AI77">
        <f>$E77*'Nutrient Content_TFP'!$V79</f>
        <v>0.30102762660613308</v>
      </c>
      <c r="AJ77">
        <f>$E77*'Nutrient Content_TFP'!$Y79</f>
        <v>3.1960956539451642E-2</v>
      </c>
      <c r="AK77">
        <f>$E77*'Nutrient Content_TFP'!$AF79</f>
        <v>1.0804187377793111E-2</v>
      </c>
      <c r="AL77">
        <f>$E77*'Nutrient Content_TFP'!$AI79</f>
        <v>0</v>
      </c>
      <c r="AM77">
        <f>$E77*'Nutrient Content_TFP'!$AO79</f>
        <v>0</v>
      </c>
      <c r="AN77">
        <f>$E77*'Nutrient Content_TFP'!$AP79</f>
        <v>4.2895050268774342E-6</v>
      </c>
      <c r="AO77">
        <f>$E77*'Nutrient Content_TFP'!$AQ79</f>
        <v>6.9470050341702227E-2</v>
      </c>
      <c r="AP77">
        <f>$E77*'Nutrient Content_TFP'!$AZ79</f>
        <v>0.10837201693605689</v>
      </c>
      <c r="AQ77">
        <f>$E77*'Nutrient Content_TFP'!$BA79</f>
        <v>0</v>
      </c>
      <c r="AR77">
        <f>$E77*'Nutrient Content_TFP'!$AG79</f>
        <v>1.3119365149189381E-4</v>
      </c>
      <c r="AS77">
        <f>$E77*'Nutrient Content_TFP'!$AJ79</f>
        <v>0</v>
      </c>
      <c r="AT77">
        <f>$E77*'Nutrient Content_TFP'!$AK79</f>
        <v>0</v>
      </c>
      <c r="AU77">
        <f>$E77*'Nutrient Content_TFP'!$AL79</f>
        <v>0</v>
      </c>
      <c r="AV77">
        <f>$E77*'Nutrient Content_TFP'!$AM79</f>
        <v>0</v>
      </c>
      <c r="AW77">
        <f>$E77*'Nutrient Content_TFP'!AN79</f>
        <v>0</v>
      </c>
      <c r="AX77">
        <f>$E77*'Nutrient Content_TFP'!AH79</f>
        <v>1.0672993726301217E-2</v>
      </c>
      <c r="AY77">
        <f>$E77*'Nutrient Content_TFP'!$AR79</f>
        <v>0</v>
      </c>
      <c r="AZ77">
        <f>$E77*'Nutrient Content_TFP'!$AS79</f>
        <v>6.9293986395086868E-2</v>
      </c>
      <c r="BA77">
        <f>$E77*'Nutrient Content_TFP'!$AT79</f>
        <v>1.760639642116617E-4</v>
      </c>
      <c r="BB77">
        <f>$E77*'Nutrient Content_TFP'!$AU79</f>
        <v>0</v>
      </c>
      <c r="BC77">
        <f>$E77*'Nutrient Content_TFP'!$AV79</f>
        <v>0</v>
      </c>
      <c r="BD77">
        <f>$E77*'Nutrient Content_TFP'!$AW79</f>
        <v>6.9470050334160954E-2</v>
      </c>
      <c r="BE77">
        <f>$E77*'Nutrient Content_TFP'!$AX79</f>
        <v>0</v>
      </c>
      <c r="BF77">
        <f>$E77*'Nutrient Content_TFP'!$AY79</f>
        <v>0</v>
      </c>
    </row>
    <row r="78" spans="1:58" ht="14.5" x14ac:dyDescent="0.35">
      <c r="A78" s="4">
        <v>75</v>
      </c>
      <c r="B78" t="s">
        <v>173</v>
      </c>
      <c r="C78" s="2">
        <f>'Your Model Diet'!E86</f>
        <v>58.612480163574219</v>
      </c>
      <c r="D78">
        <f>'Nutrient Content_TFP'!$G80</f>
        <v>369.27761643000002</v>
      </c>
      <c r="E78">
        <f t="shared" si="3"/>
        <v>0.15872199547378946</v>
      </c>
      <c r="F78">
        <f t="shared" si="4"/>
        <v>15.872199547378946</v>
      </c>
      <c r="G78">
        <f>Cost_TFP!C80</f>
        <v>0.876470489307</v>
      </c>
      <c r="H78" s="1">
        <f t="shared" si="5"/>
        <v>0.1391151450366957</v>
      </c>
      <c r="I78">
        <f>$E78*'Nutrient Content_TFP'!$Z80</f>
        <v>2.7354882398725833</v>
      </c>
      <c r="J78">
        <f>$E78*'Nutrient Content_TFP'!$AA80</f>
        <v>25.794354017241105</v>
      </c>
      <c r="K78">
        <f>$E78*'Nutrient Content_TFP'!$AB80</f>
        <v>32.210866886317881</v>
      </c>
      <c r="L78">
        <f>$E78*'Nutrient Content_TFP'!$AC80</f>
        <v>10.173671820540951</v>
      </c>
      <c r="M78">
        <f>$E78*'Nutrient Content_TFP'!$AD80</f>
        <v>0.59487662480503745</v>
      </c>
      <c r="N78">
        <f>$E78*'Nutrient Content_TFP'!$AE80</f>
        <v>4.3445128296807356</v>
      </c>
      <c r="O78">
        <f>$E78*'Nutrient Content_TFP'!$C80</f>
        <v>3.4408871481661358</v>
      </c>
      <c r="P78">
        <f>$E78*'Nutrient Content_TFP'!$D80</f>
        <v>2.7147582736578428</v>
      </c>
      <c r="Q78">
        <f>$E78*'Nutrient Content_TFP'!$E80</f>
        <v>5.7297175362019774E-4</v>
      </c>
      <c r="R78">
        <f>$E78*'Nutrient Content_TFP'!$F80</f>
        <v>2.800992890892386E-2</v>
      </c>
      <c r="S78">
        <f>$E78*'Nutrient Content_TFP'!$H80</f>
        <v>0.44888907363797154</v>
      </c>
      <c r="T78">
        <f>$E78*'Nutrient Content_TFP'!$I80</f>
        <v>0</v>
      </c>
      <c r="U78">
        <f>$E78*'Nutrient Content_TFP'!$J80</f>
        <v>4.5068964098508495</v>
      </c>
      <c r="V78">
        <f>$E78*'Nutrient Content_TFP'!$K80</f>
        <v>0.15052493723260785</v>
      </c>
      <c r="W78">
        <f>$E78*'Nutrient Content_TFP'!$L80</f>
        <v>6.7208480916838349</v>
      </c>
      <c r="X78">
        <f>$E78*'Nutrient Content_TFP'!$M80</f>
        <v>0.50882726097920505</v>
      </c>
      <c r="Y78">
        <f>$E78*'Nutrient Content_TFP'!$N80</f>
        <v>17.926373562318261</v>
      </c>
      <c r="Z78">
        <f>$E78*'Nutrient Content_TFP'!$O80</f>
        <v>125.81085979040982</v>
      </c>
      <c r="AA78">
        <f>$E78*'Nutrient Content_TFP'!$P80</f>
        <v>1.1346108123162654E-2</v>
      </c>
      <c r="AB78">
        <f>$E78*'Nutrient Content_TFP'!$Q80</f>
        <v>67.572500958357352</v>
      </c>
      <c r="AC78">
        <f>$E78*'Nutrient Content_TFP'!$R80</f>
        <v>2.5868069606915185E-2</v>
      </c>
      <c r="AD78">
        <f>$E78*'Nutrient Content_TFP'!$S80</f>
        <v>0</v>
      </c>
      <c r="AE78">
        <f>$E78*'Nutrient Content_TFP'!$T80</f>
        <v>6.0190557393294979E-2</v>
      </c>
      <c r="AF78">
        <f>$E78*'Nutrient Content_TFP'!$U80</f>
        <v>3.2396364536434716</v>
      </c>
      <c r="AG78">
        <f>$E78*'Nutrient Content_TFP'!$W80</f>
        <v>0.78392326652010524</v>
      </c>
      <c r="AH78">
        <f>$E78*'Nutrient Content_TFP'!$X80</f>
        <v>2.5666854320730166</v>
      </c>
      <c r="AI78">
        <f>$E78*'Nutrient Content_TFP'!$V80</f>
        <v>0.72128386567684455</v>
      </c>
      <c r="AJ78">
        <f>$E78*'Nutrient Content_TFP'!$Y80</f>
        <v>0.10615268760285322</v>
      </c>
      <c r="AK78">
        <f>$E78*'Nutrient Content_TFP'!$AF80</f>
        <v>0</v>
      </c>
      <c r="AL78">
        <f>$E78*'Nutrient Content_TFP'!$AI80</f>
        <v>0.19860670577591383</v>
      </c>
      <c r="AM78">
        <f>$E78*'Nutrient Content_TFP'!$AO80</f>
        <v>0</v>
      </c>
      <c r="AN78">
        <f>$E78*'Nutrient Content_TFP'!$AP80</f>
        <v>0</v>
      </c>
      <c r="AO78">
        <f>$E78*'Nutrient Content_TFP'!$AQ80</f>
        <v>0</v>
      </c>
      <c r="AP78">
        <f>$E78*'Nutrient Content_TFP'!$AZ80</f>
        <v>3.5010684713835611</v>
      </c>
      <c r="AQ78">
        <f>$E78*'Nutrient Content_TFP'!$BA80</f>
        <v>0</v>
      </c>
      <c r="AR78">
        <f>$E78*'Nutrient Content_TFP'!$AG80</f>
        <v>0</v>
      </c>
      <c r="AS78">
        <f>$E78*'Nutrient Content_TFP'!$AJ80</f>
        <v>0</v>
      </c>
      <c r="AT78">
        <f>$E78*'Nutrient Content_TFP'!$AK80</f>
        <v>0</v>
      </c>
      <c r="AU78">
        <f>$E78*'Nutrient Content_TFP'!$AL80</f>
        <v>0</v>
      </c>
      <c r="AV78">
        <f>$E78*'Nutrient Content_TFP'!$AM80</f>
        <v>0.19860670577591383</v>
      </c>
      <c r="AW78">
        <f>$E78*'Nutrient Content_TFP'!AN80</f>
        <v>0</v>
      </c>
      <c r="AX78">
        <f>$E78*'Nutrient Content_TFP'!AH80</f>
        <v>0</v>
      </c>
      <c r="AY78">
        <f>$E78*'Nutrient Content_TFP'!$AR80</f>
        <v>0</v>
      </c>
      <c r="AZ78">
        <f>$E78*'Nutrient Content_TFP'!$AS80</f>
        <v>0</v>
      </c>
      <c r="BA78">
        <f>$E78*'Nutrient Content_TFP'!$AT80</f>
        <v>0</v>
      </c>
      <c r="BB78">
        <f>$E78*'Nutrient Content_TFP'!$AU80</f>
        <v>0</v>
      </c>
      <c r="BC78">
        <f>$E78*'Nutrient Content_TFP'!$AV80</f>
        <v>0</v>
      </c>
      <c r="BD78">
        <f>$E78*'Nutrient Content_TFP'!$AW80</f>
        <v>0</v>
      </c>
      <c r="BE78">
        <f>$E78*'Nutrient Content_TFP'!$AX80</f>
        <v>0</v>
      </c>
      <c r="BF78">
        <f>$E78*'Nutrient Content_TFP'!$AY80</f>
        <v>0</v>
      </c>
    </row>
    <row r="79" spans="1:58" ht="14.5" x14ac:dyDescent="0.35">
      <c r="A79" s="4">
        <v>76</v>
      </c>
      <c r="B79" t="s">
        <v>175</v>
      </c>
      <c r="C79" s="2">
        <f>'Your Model Diet'!E87</f>
        <v>4.9497404098510742</v>
      </c>
      <c r="D79">
        <f>'Nutrient Content_TFP'!$G81</f>
        <v>176.02831886000001</v>
      </c>
      <c r="E79">
        <f t="shared" si="3"/>
        <v>2.8119000635276951E-2</v>
      </c>
      <c r="F79">
        <f t="shared" si="4"/>
        <v>2.8119000635276952</v>
      </c>
      <c r="G79">
        <f>Cost_TFP!C81</f>
        <v>1.2751379015574</v>
      </c>
      <c r="H79" s="1">
        <f t="shared" si="5"/>
        <v>3.5855603463958247E-2</v>
      </c>
      <c r="I79">
        <f>$E79*'Nutrient Content_TFP'!$Z81</f>
        <v>1.8128140335364908</v>
      </c>
      <c r="J79">
        <f>$E79*'Nutrient Content_TFP'!$AA81</f>
        <v>0.93341484612417969</v>
      </c>
      <c r="K79">
        <f>$E79*'Nutrient Content_TFP'!$AB81</f>
        <v>2.2887645076654901</v>
      </c>
      <c r="L79">
        <f>$E79*'Nutrient Content_TFP'!$AC81</f>
        <v>0.852653475577276</v>
      </c>
      <c r="M79">
        <f>$E79*'Nutrient Content_TFP'!$AD81</f>
        <v>9.5310832078251639E-2</v>
      </c>
      <c r="N79">
        <f>$E79*'Nutrient Content_TFP'!$AE81</f>
        <v>0.32969864604347821</v>
      </c>
      <c r="O79">
        <f>$E79*'Nutrient Content_TFP'!$C81</f>
        <v>2.2057865072723084</v>
      </c>
      <c r="P79">
        <f>$E79*'Nutrient Content_TFP'!$D81</f>
        <v>1.3924728495175052</v>
      </c>
      <c r="Q79">
        <f>$E79*'Nutrient Content_TFP'!$E81</f>
        <v>2.9642238350792115E-2</v>
      </c>
      <c r="R79">
        <f>$E79*'Nutrient Content_TFP'!$F81</f>
        <v>1.1661176354437076E-2</v>
      </c>
      <c r="S79">
        <f>$E79*'Nutrient Content_TFP'!$H81</f>
        <v>8.9562727072419898E-2</v>
      </c>
      <c r="T79">
        <f>$E79*'Nutrient Content_TFP'!$I81</f>
        <v>0</v>
      </c>
      <c r="U79">
        <f>$E79*'Nutrient Content_TFP'!$J81</f>
        <v>2.1013939438601352</v>
      </c>
      <c r="V79">
        <f>$E79*'Nutrient Content_TFP'!$K81</f>
        <v>6.136888572050312E-2</v>
      </c>
      <c r="W79">
        <f>$E79*'Nutrient Content_TFP'!$L81</f>
        <v>0.94806451561928162</v>
      </c>
      <c r="X79">
        <f>$E79*'Nutrient Content_TFP'!$M81</f>
        <v>7.2366660815437231E-2</v>
      </c>
      <c r="Y79">
        <f>$E79*'Nutrient Content_TFP'!$N81</f>
        <v>6.6812843141875025</v>
      </c>
      <c r="Z79">
        <f>$E79*'Nutrient Content_TFP'!$O81</f>
        <v>4.5066754355355529</v>
      </c>
      <c r="AA79">
        <f>$E79*'Nutrient Content_TFP'!$P81</f>
        <v>8.4729072409760828E-3</v>
      </c>
      <c r="AB79">
        <f>$E79*'Nutrient Content_TFP'!$Q81</f>
        <v>12.217358827488976</v>
      </c>
      <c r="AC79">
        <f>$E79*'Nutrient Content_TFP'!$R81</f>
        <v>2.243739225759853E-2</v>
      </c>
      <c r="AD79">
        <f>$E79*'Nutrient Content_TFP'!$S81</f>
        <v>3.9518443425332624E-2</v>
      </c>
      <c r="AE79">
        <f>$E79*'Nutrient Content_TFP'!$T81</f>
        <v>8.8678932682357825E-3</v>
      </c>
      <c r="AF79">
        <f>$E79*'Nutrient Content_TFP'!$U81</f>
        <v>2.8205657450878142E-2</v>
      </c>
      <c r="AG79">
        <f>$E79*'Nutrient Content_TFP'!$W81</f>
        <v>3.39637266607846E-2</v>
      </c>
      <c r="AH79">
        <f>$E79*'Nutrient Content_TFP'!$X81</f>
        <v>4.8715004473991012E-2</v>
      </c>
      <c r="AI79">
        <f>$E79*'Nutrient Content_TFP'!$V81</f>
        <v>5.9284476701584226E-3</v>
      </c>
      <c r="AJ79">
        <f>$E79*'Nutrient Content_TFP'!$Y81</f>
        <v>2.8426846523493046E-2</v>
      </c>
      <c r="AK79">
        <f>$E79*'Nutrient Content_TFP'!$AF81</f>
        <v>9.8561536963775002E-3</v>
      </c>
      <c r="AL79">
        <f>$E79*'Nutrient Content_TFP'!$AI81</f>
        <v>2.3028644550847363E-3</v>
      </c>
      <c r="AM79">
        <f>$E79*'Nutrient Content_TFP'!$AO81</f>
        <v>0</v>
      </c>
      <c r="AN79">
        <f>$E79*'Nutrient Content_TFP'!$AP81</f>
        <v>0</v>
      </c>
      <c r="AO79">
        <f>$E79*'Nutrient Content_TFP'!$AQ81</f>
        <v>4.9223277236441945E-2</v>
      </c>
      <c r="AP79">
        <f>$E79*'Nutrient Content_TFP'!$AZ81</f>
        <v>0.12628221538452622</v>
      </c>
      <c r="AQ79">
        <f>$E79*'Nutrient Content_TFP'!$BA81</f>
        <v>8.4173993045666233E-4</v>
      </c>
      <c r="AR79">
        <f>$E79*'Nutrient Content_TFP'!$AG81</f>
        <v>4.964590058023223E-3</v>
      </c>
      <c r="AS79">
        <f>$E79*'Nutrient Content_TFP'!$AJ81</f>
        <v>0</v>
      </c>
      <c r="AT79">
        <f>$E79*'Nutrient Content_TFP'!$AK81</f>
        <v>0</v>
      </c>
      <c r="AU79">
        <f>$E79*'Nutrient Content_TFP'!$AL81</f>
        <v>0</v>
      </c>
      <c r="AV79">
        <f>$E79*'Nutrient Content_TFP'!$AM81</f>
        <v>0</v>
      </c>
      <c r="AW79">
        <f>$E79*'Nutrient Content_TFP'!AN81</f>
        <v>2.3028644550847363E-3</v>
      </c>
      <c r="AX79">
        <f>$E79*'Nutrient Content_TFP'!AH81</f>
        <v>4.8915636355423781E-3</v>
      </c>
      <c r="AY79">
        <f>$E79*'Nutrient Content_TFP'!$AR81</f>
        <v>0</v>
      </c>
      <c r="AZ79">
        <f>$E79*'Nutrient Content_TFP'!$AS81</f>
        <v>0</v>
      </c>
      <c r="BA79">
        <f>$E79*'Nutrient Content_TFP'!$AT81</f>
        <v>1.1912492020292311E-3</v>
      </c>
      <c r="BB79">
        <f>$E79*'Nutrient Content_TFP'!$AU81</f>
        <v>4.8032028028788906E-2</v>
      </c>
      <c r="BC79">
        <f>$E79*'Nutrient Content_TFP'!$AV81</f>
        <v>0</v>
      </c>
      <c r="BD79">
        <f>$E79*'Nutrient Content_TFP'!$AW81</f>
        <v>1.1912492020292311E-3</v>
      </c>
      <c r="BE79">
        <f>$E79*'Nutrient Content_TFP'!$AX81</f>
        <v>0</v>
      </c>
      <c r="BF79">
        <f>$E79*'Nutrient Content_TFP'!$AY81</f>
        <v>4.8032028028788906E-2</v>
      </c>
    </row>
    <row r="80" spans="1:58" ht="14.5" x14ac:dyDescent="0.35">
      <c r="A80" s="4">
        <v>77</v>
      </c>
      <c r="B80" t="s">
        <v>177</v>
      </c>
      <c r="C80" s="2">
        <f>'Your Model Diet'!E88</f>
        <v>13.60397148132324</v>
      </c>
      <c r="D80">
        <f>'Nutrient Content_TFP'!$G82</f>
        <v>156.36026035</v>
      </c>
      <c r="E80">
        <f t="shared" si="3"/>
        <v>8.700402167962519E-2</v>
      </c>
      <c r="F80">
        <f t="shared" si="4"/>
        <v>8.700402167962519</v>
      </c>
      <c r="G80">
        <f>Cost_TFP!C82</f>
        <v>1.1402845062279998</v>
      </c>
      <c r="H80" s="1">
        <f t="shared" si="5"/>
        <v>9.9209337900801595E-2</v>
      </c>
      <c r="I80">
        <f>$E80*'Nutrient Content_TFP'!$Z82</f>
        <v>7.2197712974026951</v>
      </c>
      <c r="J80">
        <f>$E80*'Nutrient Content_TFP'!$AA82</f>
        <v>1.353438567783448</v>
      </c>
      <c r="K80">
        <f>$E80*'Nutrient Content_TFP'!$AB82</f>
        <v>5.0160608301399963</v>
      </c>
      <c r="L80">
        <f>$E80*'Nutrient Content_TFP'!$AC82</f>
        <v>1.4795646209614324</v>
      </c>
      <c r="M80">
        <f>$E80*'Nutrient Content_TFP'!$AD82</f>
        <v>0.16728299946637881</v>
      </c>
      <c r="N80">
        <f>$E80*'Nutrient Content_TFP'!$AE82</f>
        <v>1.0165052138689177</v>
      </c>
      <c r="O80">
        <f>$E80*'Nutrient Content_TFP'!$C82</f>
        <v>1.8366492177733407</v>
      </c>
      <c r="P80">
        <f>$E80*'Nutrient Content_TFP'!$D82</f>
        <v>4.2634860609503269</v>
      </c>
      <c r="Q80">
        <f>$E80*'Nutrient Content_TFP'!$E82</f>
        <v>4.8334373834527753</v>
      </c>
      <c r="R80">
        <f>$E80*'Nutrient Content_TFP'!$F82</f>
        <v>6.628460902413074E-3</v>
      </c>
      <c r="S80">
        <f>$E80*'Nutrient Content_TFP'!$H82</f>
        <v>2.0539351811950168E-2</v>
      </c>
      <c r="T80">
        <f>$E80*'Nutrient Content_TFP'!$I82</f>
        <v>0.13149426336688552</v>
      </c>
      <c r="U80">
        <f>$E80*'Nutrient Content_TFP'!$J82</f>
        <v>1.7679057639924078</v>
      </c>
      <c r="V80">
        <f>$E80*'Nutrient Content_TFP'!$K82</f>
        <v>9.4902464686674654E-2</v>
      </c>
      <c r="W80">
        <f>$E80*'Nutrient Content_TFP'!$L82</f>
        <v>2.5095245328721978</v>
      </c>
      <c r="X80">
        <f>$E80*'Nutrient Content_TFP'!$M82</f>
        <v>0.49747072068233905</v>
      </c>
      <c r="Y80">
        <f>$E80*'Nutrient Content_TFP'!$N82</f>
        <v>16.65360079672946</v>
      </c>
      <c r="Z80">
        <f>$E80*'Nutrient Content_TFP'!$O82</f>
        <v>24.630172972396764</v>
      </c>
      <c r="AA80">
        <f>$E80*'Nutrient Content_TFP'!$P82</f>
        <v>8.4065429264935966E-3</v>
      </c>
      <c r="AB80">
        <f>$E80*'Nutrient Content_TFP'!$Q82</f>
        <v>19.450571318878985</v>
      </c>
      <c r="AC80">
        <f>$E80*'Nutrient Content_TFP'!$R82</f>
        <v>5.4996330698010333E-3</v>
      </c>
      <c r="AD80">
        <f>$E80*'Nutrient Content_TFP'!$S82</f>
        <v>0.16871607221052765</v>
      </c>
      <c r="AE80">
        <f>$E80*'Nutrient Content_TFP'!$T82</f>
        <v>1.8277508991178731E-2</v>
      </c>
      <c r="AF80">
        <f>$E80*'Nutrient Content_TFP'!$U82</f>
        <v>1.8172740227340497E-2</v>
      </c>
      <c r="AG80">
        <f>$E80*'Nutrient Content_TFP'!$W82</f>
        <v>0.10890760187615801</v>
      </c>
      <c r="AH80">
        <f>$E80*'Nutrient Content_TFP'!$X82</f>
        <v>0.46939159572301853</v>
      </c>
      <c r="AI80">
        <f>$E80*'Nutrient Content_TFP'!$V82</f>
        <v>0.81699158647347192</v>
      </c>
      <c r="AJ80">
        <f>$E80*'Nutrient Content_TFP'!$Y82</f>
        <v>4.8115673291249446E-2</v>
      </c>
      <c r="AK80">
        <f>$E80*'Nutrient Content_TFP'!$AF82</f>
        <v>1.8551145104852462E-2</v>
      </c>
      <c r="AL80">
        <f>$E80*'Nutrient Content_TFP'!$AI82</f>
        <v>0</v>
      </c>
      <c r="AM80">
        <f>$E80*'Nutrient Content_TFP'!$AO82</f>
        <v>0</v>
      </c>
      <c r="AN80">
        <f>$E80*'Nutrient Content_TFP'!$AP82</f>
        <v>1.1380524514114267E-4</v>
      </c>
      <c r="AO80">
        <f>$E80*'Nutrient Content_TFP'!$AQ82</f>
        <v>0.26928846370427229</v>
      </c>
      <c r="AP80">
        <f>$E80*'Nutrient Content_TFP'!$AZ82</f>
        <v>0.3329428024512166</v>
      </c>
      <c r="AQ80">
        <f>$E80*'Nutrient Content_TFP'!$BA82</f>
        <v>0.13632311362207758</v>
      </c>
      <c r="AR80">
        <f>$E80*'Nutrient Content_TFP'!$AG82</f>
        <v>0</v>
      </c>
      <c r="AS80">
        <f>$E80*'Nutrient Content_TFP'!$AJ82</f>
        <v>0</v>
      </c>
      <c r="AT80">
        <f>$E80*'Nutrient Content_TFP'!$AK82</f>
        <v>0</v>
      </c>
      <c r="AU80">
        <f>$E80*'Nutrient Content_TFP'!$AL82</f>
        <v>0</v>
      </c>
      <c r="AV80">
        <f>$E80*'Nutrient Content_TFP'!$AM82</f>
        <v>0</v>
      </c>
      <c r="AW80">
        <f>$E80*'Nutrient Content_TFP'!AN82</f>
        <v>0</v>
      </c>
      <c r="AX80">
        <f>$E80*'Nutrient Content_TFP'!AH82</f>
        <v>1.8551145148354473E-2</v>
      </c>
      <c r="AY80">
        <f>$E80*'Nutrient Content_TFP'!$AR82</f>
        <v>0</v>
      </c>
      <c r="AZ80">
        <f>$E80*'Nutrient Content_TFP'!$AS82</f>
        <v>0</v>
      </c>
      <c r="BA80">
        <f>$E80*'Nutrient Content_TFP'!$AT82</f>
        <v>4.6328038060280859E-3</v>
      </c>
      <c r="BB80">
        <f>$E80*'Nutrient Content_TFP'!$AU82</f>
        <v>0</v>
      </c>
      <c r="BC80">
        <f>$E80*'Nutrient Content_TFP'!$AV82</f>
        <v>0</v>
      </c>
      <c r="BD80">
        <f>$E80*'Nutrient Content_TFP'!$AW82</f>
        <v>4.6328038060280859E-3</v>
      </c>
      <c r="BE80">
        <f>$E80*'Nutrient Content_TFP'!$AX82</f>
        <v>0.26465565982864098</v>
      </c>
      <c r="BF80">
        <f>$E80*'Nutrient Content_TFP'!$AY82</f>
        <v>0</v>
      </c>
    </row>
    <row r="81" spans="1:58" ht="14.5" x14ac:dyDescent="0.35">
      <c r="A81" s="4">
        <v>78</v>
      </c>
      <c r="B81" t="s">
        <v>179</v>
      </c>
      <c r="C81" s="2">
        <f>'Your Model Diet'!E89</f>
        <v>22.346132278442379</v>
      </c>
      <c r="D81">
        <f>'Nutrient Content_TFP'!$G83</f>
        <v>179.16468298000001</v>
      </c>
      <c r="E81">
        <f t="shared" si="3"/>
        <v>0.12472397967481604</v>
      </c>
      <c r="F81">
        <f t="shared" si="4"/>
        <v>12.472397967481603</v>
      </c>
      <c r="G81">
        <f>Cost_TFP!C83</f>
        <v>2.0835729814616002</v>
      </c>
      <c r="H81" s="1">
        <f t="shared" si="5"/>
        <v>0.25987151419081245</v>
      </c>
      <c r="I81">
        <f>$E81*'Nutrient Content_TFP'!$Z83</f>
        <v>10.803106234382122</v>
      </c>
      <c r="J81">
        <f>$E81*'Nutrient Content_TFP'!$AA83</f>
        <v>1.3346197971180125</v>
      </c>
      <c r="K81">
        <f>$E81*'Nutrient Content_TFP'!$AB83</f>
        <v>9.6154560033578189</v>
      </c>
      <c r="L81">
        <f>$E81*'Nutrient Content_TFP'!$AC83</f>
        <v>2.1219964257626245</v>
      </c>
      <c r="M81">
        <f>$E81*'Nutrient Content_TFP'!$AD83</f>
        <v>0.30826918432450379</v>
      </c>
      <c r="N81">
        <f>$E81*'Nutrient Content_TFP'!$AE83</f>
        <v>1.6412242561867021</v>
      </c>
      <c r="O81">
        <f>$E81*'Nutrient Content_TFP'!$C83</f>
        <v>5.2430795596858468</v>
      </c>
      <c r="P81">
        <f>$E81*'Nutrient Content_TFP'!$D83</f>
        <v>12.496547124205426</v>
      </c>
      <c r="Q81">
        <f>$E81*'Nutrient Content_TFP'!$E83</f>
        <v>11.11040639507876</v>
      </c>
      <c r="R81">
        <f>$E81*'Nutrient Content_TFP'!$F83</f>
        <v>1.5981188440919687E-2</v>
      </c>
      <c r="S81">
        <f>$E81*'Nutrient Content_TFP'!$H83</f>
        <v>1.6458215656139502E-2</v>
      </c>
      <c r="T81">
        <f>$E81*'Nutrient Content_TFP'!$I83</f>
        <v>0.21596989634352171</v>
      </c>
      <c r="U81">
        <f>$E81*'Nutrient Content_TFP'!$J83</f>
        <v>1.8919418742189809</v>
      </c>
      <c r="V81">
        <f>$E81*'Nutrient Content_TFP'!$K83</f>
        <v>8.2271082070797336E-2</v>
      </c>
      <c r="W81">
        <f>$E81*'Nutrient Content_TFP'!$L83</f>
        <v>3.8220694182901864</v>
      </c>
      <c r="X81">
        <f>$E81*'Nutrient Content_TFP'!$M83</f>
        <v>0.7120029383801928</v>
      </c>
      <c r="Y81">
        <f>$E81*'Nutrient Content_TFP'!$N83</f>
        <v>37.673744677911678</v>
      </c>
      <c r="Z81">
        <f>$E81*'Nutrient Content_TFP'!$O83</f>
        <v>42.100255266423282</v>
      </c>
      <c r="AA81">
        <f>$E81*'Nutrient Content_TFP'!$P83</f>
        <v>1.3522412009562732E-2</v>
      </c>
      <c r="AB81">
        <f>$E81*'Nutrient Content_TFP'!$Q83</f>
        <v>19.552750688572122</v>
      </c>
      <c r="AC81">
        <f>$E81*'Nutrient Content_TFP'!$R83</f>
        <v>9.7750288909288201E-3</v>
      </c>
      <c r="AD81">
        <f>$E81*'Nutrient Content_TFP'!$S83</f>
        <v>0.40251109049551587</v>
      </c>
      <c r="AE81">
        <f>$E81*'Nutrient Content_TFP'!$T83</f>
        <v>4.9222136032649501E-2</v>
      </c>
      <c r="AF81">
        <f>$E81*'Nutrient Content_TFP'!$U83</f>
        <v>5.7617987423980901E-2</v>
      </c>
      <c r="AG81">
        <f>$E81*'Nutrient Content_TFP'!$W83</f>
        <v>0.17325286772448054</v>
      </c>
      <c r="AH81">
        <f>$E81*'Nutrient Content_TFP'!$X83</f>
        <v>0.79305975722546174</v>
      </c>
      <c r="AI81">
        <f>$E81*'Nutrient Content_TFP'!$V83</f>
        <v>4.5149345370725671</v>
      </c>
      <c r="AJ81">
        <f>$E81*'Nutrient Content_TFP'!$Y83</f>
        <v>9.1113705683144544E-2</v>
      </c>
      <c r="AK81">
        <f>$E81*'Nutrient Content_TFP'!$AF83</f>
        <v>1.8992167508078975E-2</v>
      </c>
      <c r="AL81">
        <f>$E81*'Nutrient Content_TFP'!$AI83</f>
        <v>1.2818502022120032E-4</v>
      </c>
      <c r="AM81">
        <f>$E81*'Nutrient Content_TFP'!$AO83</f>
        <v>0</v>
      </c>
      <c r="AN81">
        <f>$E81*'Nutrient Content_TFP'!$AP83</f>
        <v>2.8190672649530864E-4</v>
      </c>
      <c r="AO81">
        <f>$E81*'Nutrient Content_TFP'!$AQ83</f>
        <v>0.39723443129036839</v>
      </c>
      <c r="AP81">
        <f>$E81*'Nutrient Content_TFP'!$AZ83</f>
        <v>0.54204223671716978</v>
      </c>
      <c r="AQ81">
        <f>$E81*'Nutrient Content_TFP'!$BA83</f>
        <v>8.5682385250928875E-2</v>
      </c>
      <c r="AR81">
        <f>$E81*'Nutrient Content_TFP'!$AG83</f>
        <v>0</v>
      </c>
      <c r="AS81">
        <f>$E81*'Nutrient Content_TFP'!$AJ83</f>
        <v>1.9253054539696879E-5</v>
      </c>
      <c r="AT81">
        <f>$E81*'Nutrient Content_TFP'!$AK83</f>
        <v>7.6252374729812597E-5</v>
      </c>
      <c r="AU81">
        <f>$E81*'Nutrient Content_TFP'!$AL83</f>
        <v>0</v>
      </c>
      <c r="AV81">
        <f>$E81*'Nutrient Content_TFP'!$AM83</f>
        <v>0</v>
      </c>
      <c r="AW81">
        <f>$E81*'Nutrient Content_TFP'!AN83</f>
        <v>3.2679590951690824E-5</v>
      </c>
      <c r="AX81">
        <f>$E81*'Nutrient Content_TFP'!AH83</f>
        <v>1.899216752055137E-2</v>
      </c>
      <c r="AY81">
        <f>$E81*'Nutrient Content_TFP'!$AR83</f>
        <v>0</v>
      </c>
      <c r="AZ81">
        <f>$E81*'Nutrient Content_TFP'!$AS83</f>
        <v>0</v>
      </c>
      <c r="BA81">
        <f>$E81*'Nutrient Content_TFP'!$AT83</f>
        <v>3.94809591879709E-3</v>
      </c>
      <c r="BB81">
        <f>$E81*'Nutrient Content_TFP'!$AU83</f>
        <v>0</v>
      </c>
      <c r="BC81">
        <f>$E81*'Nutrient Content_TFP'!$AV83</f>
        <v>0</v>
      </c>
      <c r="BD81">
        <f>$E81*'Nutrient Content_TFP'!$AW83</f>
        <v>3.94809591879709E-3</v>
      </c>
      <c r="BE81">
        <f>$E81*'Nutrient Content_TFP'!$AX83</f>
        <v>0.39328633542146091</v>
      </c>
      <c r="BF81">
        <f>$E81*'Nutrient Content_TFP'!$AY83</f>
        <v>0</v>
      </c>
    </row>
    <row r="82" spans="1:58" ht="14.5" x14ac:dyDescent="0.35">
      <c r="A82" s="4">
        <v>79</v>
      </c>
      <c r="B82" t="s">
        <v>180</v>
      </c>
      <c r="C82" s="2">
        <f>'Your Model Diet'!E90</f>
        <v>94.706436157226563</v>
      </c>
      <c r="D82">
        <f>'Nutrient Content_TFP'!$G84</f>
        <v>400.37388692000002</v>
      </c>
      <c r="E82">
        <f t="shared" si="3"/>
        <v>0.23654498770083413</v>
      </c>
      <c r="F82">
        <f t="shared" si="4"/>
        <v>23.654498770083414</v>
      </c>
      <c r="G82">
        <f>Cost_TFP!C84</f>
        <v>0.89676722459720004</v>
      </c>
      <c r="H82" s="1">
        <f t="shared" si="5"/>
        <v>0.21212579211285584</v>
      </c>
      <c r="I82">
        <f>$E82*'Nutrient Content_TFP'!$Z84</f>
        <v>4.7924489514178799</v>
      </c>
      <c r="J82">
        <f>$E82*'Nutrient Content_TFP'!$AA84</f>
        <v>53.397836330356462</v>
      </c>
      <c r="K82">
        <f>$E82*'Nutrient Content_TFP'!$AB84</f>
        <v>38.149323984623855</v>
      </c>
      <c r="L82">
        <f>$E82*'Nutrient Content_TFP'!$AC84</f>
        <v>7.356425607896063</v>
      </c>
      <c r="M82">
        <f>$E82*'Nutrient Content_TFP'!$AD84</f>
        <v>0.71647363292426547</v>
      </c>
      <c r="N82">
        <f>$E82*'Nutrient Content_TFP'!$AE84</f>
        <v>13.318430992699625</v>
      </c>
      <c r="O82">
        <f>$E82*'Nutrient Content_TFP'!$C84</f>
        <v>11.939800789282707</v>
      </c>
      <c r="P82">
        <f>$E82*'Nutrient Content_TFP'!$D84</f>
        <v>4.8562466934322632</v>
      </c>
      <c r="Q82">
        <f>$E82*'Nutrient Content_TFP'!$E84</f>
        <v>5.3269949983514469</v>
      </c>
      <c r="R82">
        <f>$E82*'Nutrient Content_TFP'!$F84</f>
        <v>3.8276392212240488E-2</v>
      </c>
      <c r="S82">
        <f>$E82*'Nutrient Content_TFP'!$H84</f>
        <v>0.44707722645071268</v>
      </c>
      <c r="T82">
        <f>$E82*'Nutrient Content_TFP'!$I84</f>
        <v>8.6052405517455206</v>
      </c>
      <c r="U82">
        <f>$E82*'Nutrient Content_TFP'!$J84</f>
        <v>19.059974728337771</v>
      </c>
      <c r="V82">
        <f>$E82*'Nutrient Content_TFP'!$K84</f>
        <v>0.68045155565095072</v>
      </c>
      <c r="W82">
        <f>$E82*'Nutrient Content_TFP'!$L84</f>
        <v>5.6493089473939557</v>
      </c>
      <c r="X82">
        <f>$E82*'Nutrient Content_TFP'!$M84</f>
        <v>0.50073993377321302</v>
      </c>
      <c r="Y82">
        <f>$E82*'Nutrient Content_TFP'!$N84</f>
        <v>25.730999470988426</v>
      </c>
      <c r="Z82">
        <f>$E82*'Nutrient Content_TFP'!$O84</f>
        <v>33.857058204442033</v>
      </c>
      <c r="AA82">
        <f>$E82*'Nutrient Content_TFP'!$P84</f>
        <v>4.7990000128123565E-2</v>
      </c>
      <c r="AB82">
        <f>$E82*'Nutrient Content_TFP'!$Q84</f>
        <v>76.696269250350582</v>
      </c>
      <c r="AC82">
        <f>$E82*'Nutrient Content_TFP'!$R84</f>
        <v>5.161142183236711E-2</v>
      </c>
      <c r="AD82">
        <f>$E82*'Nutrient Content_TFP'!$S84</f>
        <v>2.1400734602506969E-2</v>
      </c>
      <c r="AE82">
        <f>$E82*'Nutrient Content_TFP'!$T84</f>
        <v>1.7887204709946591E-2</v>
      </c>
      <c r="AF82">
        <f>$E82*'Nutrient Content_TFP'!$U84</f>
        <v>0.13124614766093592</v>
      </c>
      <c r="AG82">
        <f>$E82*'Nutrient Content_TFP'!$W84</f>
        <v>0.33657688016722198</v>
      </c>
      <c r="AH82">
        <f>$E82*'Nutrient Content_TFP'!$X84</f>
        <v>2.7911666234438828</v>
      </c>
      <c r="AI82">
        <f>$E82*'Nutrient Content_TFP'!$V84</f>
        <v>12.337190530453267</v>
      </c>
      <c r="AJ82">
        <f>$E82*'Nutrient Content_TFP'!$Y84</f>
        <v>0.13562084938588964</v>
      </c>
      <c r="AK82">
        <f>$E82*'Nutrient Content_TFP'!$AF84</f>
        <v>0.43767315695330711</v>
      </c>
      <c r="AL82">
        <f>$E82*'Nutrient Content_TFP'!$AI84</f>
        <v>2.1057984889284254E-3</v>
      </c>
      <c r="AM82">
        <f>$E82*'Nutrient Content_TFP'!$AO84</f>
        <v>6.6688246779326998E-3</v>
      </c>
      <c r="AN82">
        <f>$E82*'Nutrient Content_TFP'!$AP84</f>
        <v>1.0931165665023114E-2</v>
      </c>
      <c r="AO82">
        <f>$E82*'Nutrient Content_TFP'!$AQ84</f>
        <v>3.99608892703575E-2</v>
      </c>
      <c r="AP82">
        <f>$E82*'Nutrient Content_TFP'!$AZ84</f>
        <v>0.56827235028816148</v>
      </c>
      <c r="AQ82">
        <f>$E82*'Nutrient Content_TFP'!$BA84</f>
        <v>25.069208882427656</v>
      </c>
      <c r="AR82">
        <f>$E82*'Nutrient Content_TFP'!$AG84</f>
        <v>9.7006404723483184E-3</v>
      </c>
      <c r="AS82">
        <f>$E82*'Nutrient Content_TFP'!$AJ84</f>
        <v>0</v>
      </c>
      <c r="AT82">
        <f>$E82*'Nutrient Content_TFP'!$AK84</f>
        <v>1.9522733407434714E-3</v>
      </c>
      <c r="AU82">
        <f>$E82*'Nutrient Content_TFP'!$AL84</f>
        <v>7.4786843909955126E-5</v>
      </c>
      <c r="AV82">
        <f>$E82*'Nutrient Content_TFP'!$AM84</f>
        <v>0</v>
      </c>
      <c r="AW82">
        <f>$E82*'Nutrient Content_TFP'!AN84</f>
        <v>7.8738304274998796E-5</v>
      </c>
      <c r="AX82">
        <f>$E82*'Nutrient Content_TFP'!AH84</f>
        <v>0.42797251655192226</v>
      </c>
      <c r="AY82">
        <f>$E82*'Nutrient Content_TFP'!$AR84</f>
        <v>0</v>
      </c>
      <c r="AZ82">
        <f>$E82*'Nutrient Content_TFP'!$AS84</f>
        <v>0</v>
      </c>
      <c r="BA82">
        <f>$E82*'Nutrient Content_TFP'!$AT84</f>
        <v>1.833743485946436E-2</v>
      </c>
      <c r="BB82">
        <f>$E82*'Nutrient Content_TFP'!$AU84</f>
        <v>5.318248054827485E-4</v>
      </c>
      <c r="BC82">
        <f>$E82*'Nutrient Content_TFP'!$AV84</f>
        <v>2.1091629629064895E-2</v>
      </c>
      <c r="BD82">
        <f>$E82*'Nutrient Content_TFP'!$AW84</f>
        <v>1.833743485946436E-2</v>
      </c>
      <c r="BE82">
        <f>$E82*'Nutrient Content_TFP'!$AX84</f>
        <v>0</v>
      </c>
      <c r="BF82">
        <f>$E82*'Nutrient Content_TFP'!$AY84</f>
        <v>2.1623454434547641E-2</v>
      </c>
    </row>
    <row r="83" spans="1:58" ht="14.5" x14ac:dyDescent="0.35">
      <c r="A83" s="4">
        <v>80</v>
      </c>
      <c r="B83" t="s">
        <v>182</v>
      </c>
      <c r="C83" s="2">
        <f>'Your Model Diet'!E91</f>
        <v>16.731340408325199</v>
      </c>
      <c r="D83">
        <f>'Nutrient Content_TFP'!$G85</f>
        <v>418.54510512000002</v>
      </c>
      <c r="E83">
        <f t="shared" si="3"/>
        <v>3.9974999596586368E-2</v>
      </c>
      <c r="F83">
        <f t="shared" si="4"/>
        <v>3.9974999596586369</v>
      </c>
      <c r="G83">
        <f>Cost_TFP!C85</f>
        <v>1.5305736950958</v>
      </c>
      <c r="H83" s="1">
        <f t="shared" si="5"/>
        <v>6.1184682844000311E-2</v>
      </c>
      <c r="I83">
        <f>$E83*'Nutrient Content_TFP'!$Z85</f>
        <v>2.2900116148410583</v>
      </c>
      <c r="J83">
        <f>$E83*'Nutrient Content_TFP'!$AA85</f>
        <v>9.8769071519137288</v>
      </c>
      <c r="K83">
        <f>$E83*'Nutrient Content_TFP'!$AB85</f>
        <v>4.8286099082928677</v>
      </c>
      <c r="L83">
        <f>$E83*'Nutrient Content_TFP'!$AC85</f>
        <v>1.8474201592854607</v>
      </c>
      <c r="M83">
        <f>$E83*'Nutrient Content_TFP'!$AD85</f>
        <v>6.5673699844594119E-2</v>
      </c>
      <c r="N83">
        <f>$E83*'Nutrient Content_TFP'!$AE85</f>
        <v>1.1097786274529544</v>
      </c>
      <c r="O83">
        <f>$E83*'Nutrient Content_TFP'!$C85</f>
        <v>8.6537383336757667</v>
      </c>
      <c r="P83">
        <f>$E83*'Nutrient Content_TFP'!$D85</f>
        <v>1.5735698387008368</v>
      </c>
      <c r="Q83">
        <f>$E83*'Nutrient Content_TFP'!$E85</f>
        <v>9.9944804726452202E-2</v>
      </c>
      <c r="R83">
        <f>$E83*'Nutrient Content_TFP'!$F85</f>
        <v>1.8099342929425298E-2</v>
      </c>
      <c r="S83">
        <f>$E83*'Nutrient Content_TFP'!$H85</f>
        <v>0.18349707903328455</v>
      </c>
      <c r="T83">
        <f>$E83*'Nutrient Content_TFP'!$I85</f>
        <v>3.0940674742888343</v>
      </c>
      <c r="U83">
        <f>$E83*'Nutrient Content_TFP'!$J85</f>
        <v>6.112587817666415</v>
      </c>
      <c r="V83">
        <f>$E83*'Nutrient Content_TFP'!$K85</f>
        <v>0.15710861962532258</v>
      </c>
      <c r="W83">
        <f>$E83*'Nutrient Content_TFP'!$L85</f>
        <v>3.4789800246475324</v>
      </c>
      <c r="X83">
        <f>$E83*'Nutrient Content_TFP'!$M85</f>
        <v>0.40603844936102784</v>
      </c>
      <c r="Y83">
        <f>$E83*'Nutrient Content_TFP'!$N85</f>
        <v>10.109151573627749</v>
      </c>
      <c r="Z83">
        <f>$E83*'Nutrient Content_TFP'!$O85</f>
        <v>11.325320077469105</v>
      </c>
      <c r="AA83">
        <f>$E83*'Nutrient Content_TFP'!$P85</f>
        <v>3.5345804167885082E-2</v>
      </c>
      <c r="AB83">
        <f>$E83*'Nutrient Content_TFP'!$Q85</f>
        <v>14.103155402170167</v>
      </c>
      <c r="AC83">
        <f>$E83*'Nutrient Content_TFP'!$R85</f>
        <v>2.7979148701339277E-2</v>
      </c>
      <c r="AD83">
        <f>$E83*'Nutrient Content_TFP'!$S85</f>
        <v>5.9394675720354832E-2</v>
      </c>
      <c r="AE83">
        <f>$E83*'Nutrient Content_TFP'!$T85</f>
        <v>3.9898905429951781E-2</v>
      </c>
      <c r="AF83">
        <f>$E83*'Nutrient Content_TFP'!$U85</f>
        <v>1.643010417455717</v>
      </c>
      <c r="AG83">
        <f>$E83*'Nutrient Content_TFP'!$W85</f>
        <v>0.31435229872831721</v>
      </c>
      <c r="AH83">
        <f>$E83*'Nutrient Content_TFP'!$X85</f>
        <v>0.49825963714098903</v>
      </c>
      <c r="AI83">
        <f>$E83*'Nutrient Content_TFP'!$V85</f>
        <v>16.298764253470857</v>
      </c>
      <c r="AJ83">
        <f>$E83*'Nutrient Content_TFP'!$Y85</f>
        <v>0.16114480840095829</v>
      </c>
      <c r="AK83">
        <f>$E83*'Nutrient Content_TFP'!$AF85</f>
        <v>4.8016352506698362E-2</v>
      </c>
      <c r="AL83">
        <f>$E83*'Nutrient Content_TFP'!$AI85</f>
        <v>5.5163892048555412E-4</v>
      </c>
      <c r="AM83">
        <f>$E83*'Nutrient Content_TFP'!$AO85</f>
        <v>1.2313241366939099E-3</v>
      </c>
      <c r="AN83">
        <f>$E83*'Nutrient Content_TFP'!$AP85</f>
        <v>4.4722097876730323E-3</v>
      </c>
      <c r="AO83">
        <f>$E83*'Nutrient Content_TFP'!$AQ85</f>
        <v>5.1490219382993828E-2</v>
      </c>
      <c r="AP83">
        <f>$E83*'Nutrient Content_TFP'!$AZ85</f>
        <v>0.25246289203912331</v>
      </c>
      <c r="AQ83">
        <f>$E83*'Nutrient Content_TFP'!$BA85</f>
        <v>4.0322688315725115</v>
      </c>
      <c r="AR83">
        <f>$E83*'Nutrient Content_TFP'!$AG85</f>
        <v>2.9619738702765519E-2</v>
      </c>
      <c r="AS83">
        <f>$E83*'Nutrient Content_TFP'!$AJ85</f>
        <v>0</v>
      </c>
      <c r="AT83">
        <f>$E83*'Nutrient Content_TFP'!$AK85</f>
        <v>0</v>
      </c>
      <c r="AU83">
        <f>$E83*'Nutrient Content_TFP'!$AL85</f>
        <v>5.5163892048555412E-4</v>
      </c>
      <c r="AV83">
        <f>$E83*'Nutrient Content_TFP'!$AM85</f>
        <v>0</v>
      </c>
      <c r="AW83">
        <f>$E83*'Nutrient Content_TFP'!AN85</f>
        <v>0</v>
      </c>
      <c r="AX83">
        <f>$E83*'Nutrient Content_TFP'!AH85</f>
        <v>1.8396613819922848E-2</v>
      </c>
      <c r="AY83">
        <f>$E83*'Nutrient Content_TFP'!$AR85</f>
        <v>0</v>
      </c>
      <c r="AZ83">
        <f>$E83*'Nutrient Content_TFP'!$AS85</f>
        <v>0</v>
      </c>
      <c r="BA83">
        <f>$E83*'Nutrient Content_TFP'!$AT85</f>
        <v>4.8889344556625939E-5</v>
      </c>
      <c r="BB83">
        <f>$E83*'Nutrient Content_TFP'!$AU85</f>
        <v>4.0262775461282235E-2</v>
      </c>
      <c r="BC83">
        <f>$E83*'Nutrient Content_TFP'!$AV85</f>
        <v>1.1178554601139959E-2</v>
      </c>
      <c r="BD83">
        <f>$E83*'Nutrient Content_TFP'!$AW85</f>
        <v>4.8889344556625939E-5</v>
      </c>
      <c r="BE83">
        <f>$E83*'Nutrient Content_TFP'!$AX85</f>
        <v>0</v>
      </c>
      <c r="BF83">
        <f>$E83*'Nutrient Content_TFP'!$AY85</f>
        <v>5.1441330062422193E-2</v>
      </c>
    </row>
    <row r="84" spans="1:58" ht="14.5" x14ac:dyDescent="0.35">
      <c r="A84" s="4">
        <v>81</v>
      </c>
      <c r="B84" t="s">
        <v>184</v>
      </c>
      <c r="C84" s="2">
        <f>'Your Model Diet'!E92</f>
        <v>29.034511566162109</v>
      </c>
      <c r="D84">
        <f>'Nutrient Content_TFP'!$G86</f>
        <v>442.72072774999998</v>
      </c>
      <c r="E84">
        <f t="shared" si="3"/>
        <v>6.5582001804436879E-2</v>
      </c>
      <c r="F84">
        <f t="shared" si="4"/>
        <v>6.5582001804436878</v>
      </c>
      <c r="G84">
        <f>Cost_TFP!C86</f>
        <v>1.2115529565314</v>
      </c>
      <c r="H84" s="1">
        <f t="shared" si="5"/>
        <v>7.9456068181413111E-2</v>
      </c>
      <c r="I84">
        <f>$E84*'Nutrient Content_TFP'!$Z86</f>
        <v>1.0591864099924597</v>
      </c>
      <c r="J84">
        <f>$E84*'Nutrient Content_TFP'!$AA86</f>
        <v>19.768596023459857</v>
      </c>
      <c r="K84">
        <f>$E84*'Nutrient Content_TFP'!$AB86</f>
        <v>8.7025558672233583</v>
      </c>
      <c r="L84">
        <f>$E84*'Nutrient Content_TFP'!$AC86</f>
        <v>0.7678096236309162</v>
      </c>
      <c r="M84">
        <f>$E84*'Nutrient Content_TFP'!$AD86</f>
        <v>2.5145655223046803E-2</v>
      </c>
      <c r="N84">
        <f>$E84*'Nutrient Content_TFP'!$AE86</f>
        <v>4.5459570258981614</v>
      </c>
      <c r="O84">
        <f>$E84*'Nutrient Content_TFP'!$C86</f>
        <v>4.2568064327861217</v>
      </c>
      <c r="P84">
        <f>$E84*'Nutrient Content_TFP'!$D86</f>
        <v>1.2621915477546015</v>
      </c>
      <c r="Q84">
        <f>$E84*'Nutrient Content_TFP'!$E86</f>
        <v>0.38917902007259936</v>
      </c>
      <c r="R84">
        <f>$E84*'Nutrient Content_TFP'!$F86</f>
        <v>1.4952968471787894E-2</v>
      </c>
      <c r="S84">
        <f>$E84*'Nutrient Content_TFP'!$H86</f>
        <v>0.1089847590003334</v>
      </c>
      <c r="T84">
        <f>$E84*'Nutrient Content_TFP'!$I86</f>
        <v>0.12662453003515134</v>
      </c>
      <c r="U84">
        <f>$E84*'Nutrient Content_TFP'!$J86</f>
        <v>0.93647215794319028</v>
      </c>
      <c r="V84">
        <f>$E84*'Nutrient Content_TFP'!$K86</f>
        <v>6.7045345044996624E-2</v>
      </c>
      <c r="W84">
        <f>$E84*'Nutrient Content_TFP'!$L86</f>
        <v>2.4342722612772851</v>
      </c>
      <c r="X84">
        <f>$E84*'Nutrient Content_TFP'!$M86</f>
        <v>6.7464269624958981E-2</v>
      </c>
      <c r="Y84">
        <f>$E84*'Nutrient Content_TFP'!$N86</f>
        <v>6.3294745842319662</v>
      </c>
      <c r="Z84">
        <f>$E84*'Nutrient Content_TFP'!$O86</f>
        <v>13.634886023822</v>
      </c>
      <c r="AA84">
        <f>$E84*'Nutrient Content_TFP'!$P86</f>
        <v>7.3900521942134373E-3</v>
      </c>
      <c r="AB84">
        <f>$E84*'Nutrient Content_TFP'!$Q86</f>
        <v>9.1360137630911087</v>
      </c>
      <c r="AC84">
        <f>$E84*'Nutrient Content_TFP'!$R86</f>
        <v>4.1555654608696948E-3</v>
      </c>
      <c r="AD84">
        <f>$E84*'Nutrient Content_TFP'!$S86</f>
        <v>1.2258186389201498E-2</v>
      </c>
      <c r="AE84">
        <f>$E84*'Nutrient Content_TFP'!$T86</f>
        <v>4.3846544502980974E-3</v>
      </c>
      <c r="AF84">
        <f>$E84*'Nutrient Content_TFP'!$U86</f>
        <v>0.88773601468887198</v>
      </c>
      <c r="AG84">
        <f>$E84*'Nutrient Content_TFP'!$W86</f>
        <v>4.7449669196528099E-2</v>
      </c>
      <c r="AH84">
        <f>$E84*'Nutrient Content_TFP'!$X86</f>
        <v>0.27788183671777683</v>
      </c>
      <c r="AI84">
        <f>$E84*'Nutrient Content_TFP'!$V86</f>
        <v>1.1868582955617388</v>
      </c>
      <c r="AJ84">
        <f>$E84*'Nutrient Content_TFP'!$Y86</f>
        <v>6.1073042152373823E-2</v>
      </c>
      <c r="AK84">
        <f>$E84*'Nutrient Content_TFP'!$AF86</f>
        <v>4.3724381170045746E-3</v>
      </c>
      <c r="AL84">
        <f>$E84*'Nutrient Content_TFP'!$AI86</f>
        <v>0</v>
      </c>
      <c r="AM84">
        <f>$E84*'Nutrient Content_TFP'!$AO86</f>
        <v>7.8815413572943735E-4</v>
      </c>
      <c r="AN84">
        <f>$E84*'Nutrient Content_TFP'!$AP86</f>
        <v>9.179931684487155E-3</v>
      </c>
      <c r="AO84">
        <f>$E84*'Nutrient Content_TFP'!$AQ86</f>
        <v>2.6543144683428423E-2</v>
      </c>
      <c r="AP84">
        <f>$E84*'Nutrient Content_TFP'!$AZ86</f>
        <v>0.11784907184471415</v>
      </c>
      <c r="AQ84">
        <f>$E84*'Nutrient Content_TFP'!$BA86</f>
        <v>13.828568393565456</v>
      </c>
      <c r="AR84">
        <f>$E84*'Nutrient Content_TFP'!$AG86</f>
        <v>0</v>
      </c>
      <c r="AS84">
        <f>$E84*'Nutrient Content_TFP'!$AJ86</f>
        <v>0</v>
      </c>
      <c r="AT84">
        <f>$E84*'Nutrient Content_TFP'!$AK86</f>
        <v>0</v>
      </c>
      <c r="AU84">
        <f>$E84*'Nutrient Content_TFP'!$AL86</f>
        <v>0</v>
      </c>
      <c r="AV84">
        <f>$E84*'Nutrient Content_TFP'!$AM86</f>
        <v>0</v>
      </c>
      <c r="AW84">
        <f>$E84*'Nutrient Content_TFP'!AN86</f>
        <v>0</v>
      </c>
      <c r="AX84">
        <f>$E84*'Nutrient Content_TFP'!AH86</f>
        <v>4.3724381038881743E-3</v>
      </c>
      <c r="AY84">
        <f>$E84*'Nutrient Content_TFP'!$AR86</f>
        <v>0</v>
      </c>
      <c r="AZ84">
        <f>$E84*'Nutrient Content_TFP'!$AS86</f>
        <v>0</v>
      </c>
      <c r="BA84">
        <f>$E84*'Nutrient Content_TFP'!$AT86</f>
        <v>2.2332376746457672E-5</v>
      </c>
      <c r="BB84">
        <f>$E84*'Nutrient Content_TFP'!$AU86</f>
        <v>0</v>
      </c>
      <c r="BC84">
        <f>$E84*'Nutrient Content_TFP'!$AV86</f>
        <v>2.6520812280449162E-2</v>
      </c>
      <c r="BD84">
        <f>$E84*'Nutrient Content_TFP'!$AW86</f>
        <v>2.2332376746457672E-5</v>
      </c>
      <c r="BE84">
        <f>$E84*'Nutrient Content_TFP'!$AX86</f>
        <v>0</v>
      </c>
      <c r="BF84">
        <f>$E84*'Nutrient Content_TFP'!$AY86</f>
        <v>2.6520812280449162E-2</v>
      </c>
    </row>
    <row r="85" spans="1:58" ht="14.5" x14ac:dyDescent="0.35">
      <c r="A85" s="4">
        <v>82</v>
      </c>
      <c r="B85" t="s">
        <v>186</v>
      </c>
      <c r="C85" s="2">
        <f>'Your Model Diet'!E93</f>
        <v>33.119731903076172</v>
      </c>
      <c r="D85">
        <f>'Nutrient Content_TFP'!$G87</f>
        <v>512.45136730000002</v>
      </c>
      <c r="E85">
        <f t="shared" si="3"/>
        <v>6.4630000067278912E-2</v>
      </c>
      <c r="F85">
        <f t="shared" si="4"/>
        <v>6.4630000067278912</v>
      </c>
      <c r="G85">
        <f>Cost_TFP!C87</f>
        <v>1.1267989087028001</v>
      </c>
      <c r="H85" s="1">
        <f t="shared" si="5"/>
        <v>7.282501354527178E-2</v>
      </c>
      <c r="I85">
        <f>$E85*'Nutrient Content_TFP'!$Z87</f>
        <v>1.7742360546222045</v>
      </c>
      <c r="J85">
        <f>$E85*'Nutrient Content_TFP'!$AA87</f>
        <v>15.818305823197431</v>
      </c>
      <c r="K85">
        <f>$E85*'Nutrient Content_TFP'!$AB87</f>
        <v>15.829239318440512</v>
      </c>
      <c r="L85">
        <f>$E85*'Nutrient Content_TFP'!$AC87</f>
        <v>7.0068772897051597</v>
      </c>
      <c r="M85">
        <f>$E85*'Nutrient Content_TFP'!$AD87</f>
        <v>0.21338483236417058</v>
      </c>
      <c r="N85">
        <f>$E85*'Nutrient Content_TFP'!$AE87</f>
        <v>2.1795807579296125</v>
      </c>
      <c r="O85">
        <f>$E85*'Nutrient Content_TFP'!$C87</f>
        <v>6.8398575119144951</v>
      </c>
      <c r="P85">
        <f>$E85*'Nutrient Content_TFP'!$D87</f>
        <v>1.1720603015613982</v>
      </c>
      <c r="Q85">
        <f>$E85*'Nutrient Content_TFP'!$E87</f>
        <v>9.7723663957478946E-2</v>
      </c>
      <c r="R85">
        <f>$E85*'Nutrient Content_TFP'!$F87</f>
        <v>6.942036675332562E-3</v>
      </c>
      <c r="S85">
        <f>$E85*'Nutrient Content_TFP'!$H87</f>
        <v>0.28963464240261055</v>
      </c>
      <c r="T85">
        <f>$E85*'Nutrient Content_TFP'!$I87</f>
        <v>0.81305137621302503</v>
      </c>
      <c r="U85">
        <f>$E85*'Nutrient Content_TFP'!$J87</f>
        <v>2.470679679361742</v>
      </c>
      <c r="V85">
        <f>$E85*'Nutrient Content_TFP'!$K87</f>
        <v>0.10787807807333055</v>
      </c>
      <c r="W85">
        <f>$E85*'Nutrient Content_TFP'!$L87</f>
        <v>4.0445734856868238</v>
      </c>
      <c r="X85">
        <f>$E85*'Nutrient Content_TFP'!$M87</f>
        <v>0.13576690804417343</v>
      </c>
      <c r="Y85">
        <f>$E85*'Nutrient Content_TFP'!$N87</f>
        <v>13.339015090805926</v>
      </c>
      <c r="Z85">
        <f>$E85*'Nutrient Content_TFP'!$O87</f>
        <v>16.255946910836411</v>
      </c>
      <c r="AA85">
        <f>$E85*'Nutrient Content_TFP'!$P87</f>
        <v>8.733041799425972E-3</v>
      </c>
      <c r="AB85">
        <f>$E85*'Nutrient Content_TFP'!$Q87</f>
        <v>41.09626348146513</v>
      </c>
      <c r="AC85">
        <f>$E85*'Nutrient Content_TFP'!$R87</f>
        <v>9.7967135767052394E-3</v>
      </c>
      <c r="AD85">
        <f>$E85*'Nutrient Content_TFP'!$S87</f>
        <v>6.8772106718640782E-3</v>
      </c>
      <c r="AE85">
        <f>$E85*'Nutrient Content_TFP'!$T87</f>
        <v>1.3030266067296323E-2</v>
      </c>
      <c r="AF85">
        <f>$E85*'Nutrient Content_TFP'!$U87</f>
        <v>8.1210999185417507E-2</v>
      </c>
      <c r="AG85">
        <f>$E85*'Nutrient Content_TFP'!$W87</f>
        <v>0.3382781308450627</v>
      </c>
      <c r="AH85">
        <f>$E85*'Nutrient Content_TFP'!$X87</f>
        <v>0.54754154630127294</v>
      </c>
      <c r="AI85">
        <f>$E85*'Nutrient Content_TFP'!$V87</f>
        <v>0.8869559401504985</v>
      </c>
      <c r="AJ85">
        <f>$E85*'Nutrient Content_TFP'!$Y87</f>
        <v>7.1466251205154346E-2</v>
      </c>
      <c r="AK85">
        <f>$E85*'Nutrient Content_TFP'!$AF87</f>
        <v>0.26251933116511589</v>
      </c>
      <c r="AL85">
        <f>$E85*'Nutrient Content_TFP'!$AI87</f>
        <v>7.1069414841972251E-3</v>
      </c>
      <c r="AM85">
        <f>$E85*'Nutrient Content_TFP'!$AO87</f>
        <v>0</v>
      </c>
      <c r="AN85">
        <f>$E85*'Nutrient Content_TFP'!$AP87</f>
        <v>2.5863349571963378E-3</v>
      </c>
      <c r="AO85">
        <f>$E85*'Nutrient Content_TFP'!$AQ87</f>
        <v>2.3962089564944194E-6</v>
      </c>
      <c r="AP85">
        <f>$E85*'Nutrient Content_TFP'!$AZ87</f>
        <v>1.5358093138470756</v>
      </c>
      <c r="AQ85">
        <f>$E85*'Nutrient Content_TFP'!$BA87</f>
        <v>7.4175364109554498E-2</v>
      </c>
      <c r="AR85">
        <f>$E85*'Nutrient Content_TFP'!$AG87</f>
        <v>5.0186615458068552E-2</v>
      </c>
      <c r="AS85">
        <f>$E85*'Nutrient Content_TFP'!$AJ87</f>
        <v>0</v>
      </c>
      <c r="AT85">
        <f>$E85*'Nutrient Content_TFP'!$AK87</f>
        <v>1.9084198800016381E-3</v>
      </c>
      <c r="AU85">
        <f>$E85*'Nutrient Content_TFP'!$AL87</f>
        <v>1.5947205630000816E-4</v>
      </c>
      <c r="AV85">
        <f>$E85*'Nutrient Content_TFP'!$AM87</f>
        <v>4.7922286246446424E-3</v>
      </c>
      <c r="AW85">
        <f>$E85*'Nutrient Content_TFP'!AN87</f>
        <v>2.468209232509371E-4</v>
      </c>
      <c r="AX85">
        <f>$E85*'Nutrient Content_TFP'!AH87</f>
        <v>0.21233271568119536</v>
      </c>
      <c r="AY85">
        <f>$E85*'Nutrient Content_TFP'!$AR87</f>
        <v>0</v>
      </c>
      <c r="AZ85">
        <f>$E85*'Nutrient Content_TFP'!$AS87</f>
        <v>0</v>
      </c>
      <c r="BA85">
        <f>$E85*'Nutrient Content_TFP'!$AT87</f>
        <v>0</v>
      </c>
      <c r="BB85">
        <f>$E85*'Nutrient Content_TFP'!$AU87</f>
        <v>0</v>
      </c>
      <c r="BC85">
        <f>$E85*'Nutrient Content_TFP'!$AV87</f>
        <v>2.3962089564944194E-6</v>
      </c>
      <c r="BD85">
        <f>$E85*'Nutrient Content_TFP'!$AW87</f>
        <v>0</v>
      </c>
      <c r="BE85">
        <f>$E85*'Nutrient Content_TFP'!$AX87</f>
        <v>0</v>
      </c>
      <c r="BF85">
        <f>$E85*'Nutrient Content_TFP'!$AY87</f>
        <v>2.3962089564944194E-6</v>
      </c>
    </row>
    <row r="86" spans="1:58" ht="14.5" x14ac:dyDescent="0.35">
      <c r="A86" s="4">
        <v>83</v>
      </c>
      <c r="B86" t="s">
        <v>188</v>
      </c>
      <c r="C86" s="2">
        <f>'Your Model Diet'!E94</f>
        <v>1.084700226783752</v>
      </c>
      <c r="D86">
        <f>'Nutrient Content_TFP'!$G88</f>
        <v>417.93666839999997</v>
      </c>
      <c r="E86">
        <f t="shared" si="3"/>
        <v>2.5953698461930698E-3</v>
      </c>
      <c r="F86">
        <f t="shared" si="4"/>
        <v>0.25953698461930697</v>
      </c>
      <c r="G86">
        <f>Cost_TFP!C88</f>
        <v>1.1456546609079998</v>
      </c>
      <c r="H86" s="1">
        <f t="shared" si="5"/>
        <v>2.9733975610711691E-3</v>
      </c>
      <c r="I86">
        <f>$E86*'Nutrient Content_TFP'!$Z88</f>
        <v>8.8837994699798487E-2</v>
      </c>
      <c r="J86">
        <f>$E86*'Nutrient Content_TFP'!$AA88</f>
        <v>0.7638639736302032</v>
      </c>
      <c r="K86">
        <f>$E86*'Nutrient Content_TFP'!$AB88</f>
        <v>0.25956014715322151</v>
      </c>
      <c r="L86">
        <f>$E86*'Nutrient Content_TFP'!$AC88</f>
        <v>0.10963773100981244</v>
      </c>
      <c r="M86">
        <f>$E86*'Nutrient Content_TFP'!$AD88</f>
        <v>1.3191617370445899E-2</v>
      </c>
      <c r="N86">
        <f>$E86*'Nutrient Content_TFP'!$AE88</f>
        <v>4.4193820165610784E-2</v>
      </c>
      <c r="O86">
        <f>$E86*'Nutrient Content_TFP'!$C88</f>
        <v>0.13470568057355589</v>
      </c>
      <c r="P86">
        <f>$E86*'Nutrient Content_TFP'!$D88</f>
        <v>6.3039940526018065E-2</v>
      </c>
      <c r="Q86">
        <f>$E86*'Nutrient Content_TFP'!$E88</f>
        <v>0</v>
      </c>
      <c r="R86">
        <f>$E86*'Nutrient Content_TFP'!$F88</f>
        <v>8.9854452857361883E-4</v>
      </c>
      <c r="S86">
        <f>$E86*'Nutrient Content_TFP'!$H88</f>
        <v>2.7252291346618857E-2</v>
      </c>
      <c r="T86">
        <f>$E86*'Nutrient Content_TFP'!$I88</f>
        <v>2.2236272985754705E-2</v>
      </c>
      <c r="U86">
        <f>$E86*'Nutrient Content_TFP'!$J88</f>
        <v>0.11158058358693369</v>
      </c>
      <c r="V86">
        <f>$E86*'Nutrient Content_TFP'!$K88</f>
        <v>7.3287373880431654E-3</v>
      </c>
      <c r="W86">
        <f>$E86*'Nutrient Content_TFP'!$L88</f>
        <v>0.24045712648854295</v>
      </c>
      <c r="X86">
        <f>$E86*'Nutrient Content_TFP'!$M88</f>
        <v>9.7799112395286925E-3</v>
      </c>
      <c r="Y86">
        <f>$E86*'Nutrient Content_TFP'!$N88</f>
        <v>0.78112781236476692</v>
      </c>
      <c r="Z86">
        <f>$E86*'Nutrient Content_TFP'!$O88</f>
        <v>0.82611143279324795</v>
      </c>
      <c r="AA86">
        <f>$E86*'Nutrient Content_TFP'!$P88</f>
        <v>2.9323599833703742E-4</v>
      </c>
      <c r="AB86">
        <f>$E86*'Nutrient Content_TFP'!$Q88</f>
        <v>1.368012558283962</v>
      </c>
      <c r="AC86">
        <f>$E86*'Nutrient Content_TFP'!$R88</f>
        <v>5.8755959678960144E-4</v>
      </c>
      <c r="AD86">
        <f>$E86*'Nutrient Content_TFP'!$S88</f>
        <v>0</v>
      </c>
      <c r="AE86">
        <f>$E86*'Nutrient Content_TFP'!$T88</f>
        <v>5.3932075462426003E-4</v>
      </c>
      <c r="AF86">
        <f>$E86*'Nutrient Content_TFP'!$U88</f>
        <v>0</v>
      </c>
      <c r="AG86">
        <f>$E86*'Nutrient Content_TFP'!$W88</f>
        <v>3.1313531950072993E-3</v>
      </c>
      <c r="AH86">
        <f>$E86*'Nutrient Content_TFP'!$X88</f>
        <v>3.5715111781907664E-2</v>
      </c>
      <c r="AI86">
        <f>$E86*'Nutrient Content_TFP'!$V88</f>
        <v>8.9499347581090447E-5</v>
      </c>
      <c r="AJ86">
        <f>$E86*'Nutrient Content_TFP'!$Y88</f>
        <v>5.8544050697526212E-3</v>
      </c>
      <c r="AK86">
        <f>$E86*'Nutrient Content_TFP'!$AF88</f>
        <v>1.2385954271959935E-2</v>
      </c>
      <c r="AL86">
        <f>$E86*'Nutrient Content_TFP'!$AI88</f>
        <v>0</v>
      </c>
      <c r="AM86">
        <f>$E86*'Nutrient Content_TFP'!$AO88</f>
        <v>0</v>
      </c>
      <c r="AN86">
        <f>$E86*'Nutrient Content_TFP'!$AP88</f>
        <v>0</v>
      </c>
      <c r="AO86">
        <f>$E86*'Nutrient Content_TFP'!$AQ88</f>
        <v>2.749394742946339E-5</v>
      </c>
      <c r="AP86">
        <f>$E86*'Nutrient Content_TFP'!$AZ88</f>
        <v>1.5190176611158778E-2</v>
      </c>
      <c r="AQ86">
        <f>$E86*'Nutrient Content_TFP'!$BA88</f>
        <v>4.2740645038876368E-2</v>
      </c>
      <c r="AR86">
        <f>$E86*'Nutrient Content_TFP'!$AG88</f>
        <v>7.8121942879056912E-3</v>
      </c>
      <c r="AS86">
        <f>$E86*'Nutrient Content_TFP'!$AJ88</f>
        <v>0</v>
      </c>
      <c r="AT86">
        <f>$E86*'Nutrient Content_TFP'!$AK88</f>
        <v>0</v>
      </c>
      <c r="AU86">
        <f>$E86*'Nutrient Content_TFP'!$AL88</f>
        <v>0</v>
      </c>
      <c r="AV86">
        <f>$E86*'Nutrient Content_TFP'!$AM88</f>
        <v>0</v>
      </c>
      <c r="AW86">
        <f>$E86*'Nutrient Content_TFP'!AN88</f>
        <v>0</v>
      </c>
      <c r="AX86">
        <f>$E86*'Nutrient Content_TFP'!AH88</f>
        <v>4.5737599843137799E-3</v>
      </c>
      <c r="AY86">
        <f>$E86*'Nutrient Content_TFP'!$AR88</f>
        <v>0</v>
      </c>
      <c r="AZ86">
        <f>$E86*'Nutrient Content_TFP'!$AS88</f>
        <v>0</v>
      </c>
      <c r="BA86">
        <f>$E86*'Nutrient Content_TFP'!$AT88</f>
        <v>0</v>
      </c>
      <c r="BB86">
        <f>$E86*'Nutrient Content_TFP'!$AU88</f>
        <v>0</v>
      </c>
      <c r="BC86">
        <f>$E86*'Nutrient Content_TFP'!$AV88</f>
        <v>2.7493946650852439E-5</v>
      </c>
      <c r="BD86">
        <f>$E86*'Nutrient Content_TFP'!$AW88</f>
        <v>0</v>
      </c>
      <c r="BE86">
        <f>$E86*'Nutrient Content_TFP'!$AX88</f>
        <v>0</v>
      </c>
      <c r="BF86">
        <f>$E86*'Nutrient Content_TFP'!$AY88</f>
        <v>2.7493946650852439E-5</v>
      </c>
    </row>
    <row r="87" spans="1:58" ht="14.5" x14ac:dyDescent="0.35">
      <c r="A87" s="4">
        <v>84</v>
      </c>
      <c r="B87" t="s">
        <v>190</v>
      </c>
      <c r="C87" s="2">
        <f>'Your Model Diet'!E95</f>
        <v>10.108675956726071</v>
      </c>
      <c r="D87">
        <f>'Nutrient Content_TFP'!$G89</f>
        <v>474.50482731</v>
      </c>
      <c r="E87">
        <f t="shared" si="3"/>
        <v>2.1303631438341394E-2</v>
      </c>
      <c r="F87">
        <f t="shared" si="4"/>
        <v>2.1303631438341393</v>
      </c>
      <c r="G87">
        <f>Cost_TFP!C89</f>
        <v>0.89222008312079992</v>
      </c>
      <c r="H87" s="1">
        <f t="shared" si="5"/>
        <v>1.9007527812691844E-2</v>
      </c>
      <c r="I87">
        <f>$E87*'Nutrient Content_TFP'!$Z89</f>
        <v>0.8205543442699561</v>
      </c>
      <c r="J87">
        <f>$E87*'Nutrient Content_TFP'!$AA89</f>
        <v>5.3526598932727918</v>
      </c>
      <c r="K87">
        <f>$E87*'Nutrient Content_TFP'!$AB89</f>
        <v>3.9409918157461186</v>
      </c>
      <c r="L87">
        <f>$E87*'Nutrient Content_TFP'!$AC89</f>
        <v>1.389792535104613</v>
      </c>
      <c r="M87">
        <f>$E87*'Nutrient Content_TFP'!$AD89</f>
        <v>0.13260601955574131</v>
      </c>
      <c r="N87">
        <f>$E87*'Nutrient Content_TFP'!$AE89</f>
        <v>0.83274990003179994</v>
      </c>
      <c r="O87">
        <f>$E87*'Nutrient Content_TFP'!$C89</f>
        <v>2.0570457050450277</v>
      </c>
      <c r="P87">
        <f>$E87*'Nutrient Content_TFP'!$D89</f>
        <v>0.31514395604622863</v>
      </c>
      <c r="Q87">
        <f>$E87*'Nutrient Content_TFP'!$E89</f>
        <v>3.6087676173786852E-2</v>
      </c>
      <c r="R87">
        <f>$E87*'Nutrient Content_TFP'!$F89</f>
        <v>3.7334613094422613E-3</v>
      </c>
      <c r="S87">
        <f>$E87*'Nutrient Content_TFP'!$H89</f>
        <v>6.587339779360174E-2</v>
      </c>
      <c r="T87">
        <f>$E87*'Nutrient Content_TFP'!$I89</f>
        <v>1.8980349524638618</v>
      </c>
      <c r="U87">
        <f>$E87*'Nutrient Content_TFP'!$J89</f>
        <v>3.7205845893236598</v>
      </c>
      <c r="V87">
        <f>$E87*'Nutrient Content_TFP'!$K89</f>
        <v>8.7301076063950309E-2</v>
      </c>
      <c r="W87">
        <f>$E87*'Nutrient Content_TFP'!$L89</f>
        <v>0.7616749279298044</v>
      </c>
      <c r="X87">
        <f>$E87*'Nutrient Content_TFP'!$M89</f>
        <v>0.11728566353192674</v>
      </c>
      <c r="Y87">
        <f>$E87*'Nutrient Content_TFP'!$N89</f>
        <v>4.658295449000514</v>
      </c>
      <c r="Z87">
        <f>$E87*'Nutrient Content_TFP'!$O89</f>
        <v>3.7758670276094315</v>
      </c>
      <c r="AA87">
        <f>$E87*'Nutrient Content_TFP'!$P89</f>
        <v>7.9641250095617722E-3</v>
      </c>
      <c r="AB87">
        <f>$E87*'Nutrient Content_TFP'!$Q89</f>
        <v>18.111834314059379</v>
      </c>
      <c r="AC87">
        <f>$E87*'Nutrient Content_TFP'!$R89</f>
        <v>1.0718113815340539E-2</v>
      </c>
      <c r="AD87">
        <f>$E87*'Nutrient Content_TFP'!$S89</f>
        <v>2.4546963821026149E-3</v>
      </c>
      <c r="AE87">
        <f>$E87*'Nutrient Content_TFP'!$T89</f>
        <v>2.7019902183174948E-3</v>
      </c>
      <c r="AF87">
        <f>$E87*'Nutrient Content_TFP'!$U89</f>
        <v>1.153452423154737E-4</v>
      </c>
      <c r="AG87">
        <f>$E87*'Nutrient Content_TFP'!$W89</f>
        <v>4.5047666311595319E-2</v>
      </c>
      <c r="AH87">
        <f>$E87*'Nutrient Content_TFP'!$X89</f>
        <v>0.50268056475128564</v>
      </c>
      <c r="AI87">
        <f>$E87*'Nutrient Content_TFP'!$V89</f>
        <v>0.13156110743899585</v>
      </c>
      <c r="AJ87">
        <f>$E87*'Nutrient Content_TFP'!$Y89</f>
        <v>2.1785422660605448E-2</v>
      </c>
      <c r="AK87">
        <f>$E87*'Nutrient Content_TFP'!$AF89</f>
        <v>9.1392434118700044E-2</v>
      </c>
      <c r="AL87">
        <f>$E87*'Nutrient Content_TFP'!$AI89</f>
        <v>0</v>
      </c>
      <c r="AM87">
        <f>$E87*'Nutrient Content_TFP'!$AO89</f>
        <v>1.4242811223859263E-5</v>
      </c>
      <c r="AN87">
        <f>$E87*'Nutrient Content_TFP'!$AP89</f>
        <v>1.1477879707665123E-3</v>
      </c>
      <c r="AO87">
        <f>$E87*'Nutrient Content_TFP'!$AQ89</f>
        <v>5.4722275615682247E-3</v>
      </c>
      <c r="AP87">
        <f>$E87*'Nutrient Content_TFP'!$AZ89</f>
        <v>0.27958486644061731</v>
      </c>
      <c r="AQ87">
        <f>$E87*'Nutrient Content_TFP'!$BA89</f>
        <v>0.35296932400431652</v>
      </c>
      <c r="AR87">
        <f>$E87*'Nutrient Content_TFP'!$AG89</f>
        <v>3.7104618429001706E-3</v>
      </c>
      <c r="AS87">
        <f>$E87*'Nutrient Content_TFP'!$AJ89</f>
        <v>0</v>
      </c>
      <c r="AT87">
        <f>$E87*'Nutrient Content_TFP'!$AK89</f>
        <v>0</v>
      </c>
      <c r="AU87">
        <f>$E87*'Nutrient Content_TFP'!$AL89</f>
        <v>0</v>
      </c>
      <c r="AV87">
        <f>$E87*'Nutrient Content_TFP'!$AM89</f>
        <v>0</v>
      </c>
      <c r="AW87">
        <f>$E87*'Nutrient Content_TFP'!AN89</f>
        <v>0</v>
      </c>
      <c r="AX87">
        <f>$E87*'Nutrient Content_TFP'!AH89</f>
        <v>8.7681972273669515E-2</v>
      </c>
      <c r="AY87">
        <f>$E87*'Nutrient Content_TFP'!$AR89</f>
        <v>0</v>
      </c>
      <c r="AZ87">
        <f>$E87*'Nutrient Content_TFP'!$AS89</f>
        <v>0</v>
      </c>
      <c r="BA87">
        <f>$E87*'Nutrient Content_TFP'!$AT89</f>
        <v>0</v>
      </c>
      <c r="BB87">
        <f>$E87*'Nutrient Content_TFP'!$AU89</f>
        <v>0</v>
      </c>
      <c r="BC87">
        <f>$E87*'Nutrient Content_TFP'!$AV89</f>
        <v>5.4722275700896782E-3</v>
      </c>
      <c r="BD87">
        <f>$E87*'Nutrient Content_TFP'!$AW89</f>
        <v>0</v>
      </c>
      <c r="BE87">
        <f>$E87*'Nutrient Content_TFP'!$AX89</f>
        <v>0</v>
      </c>
      <c r="BF87">
        <f>$E87*'Nutrient Content_TFP'!$AY89</f>
        <v>5.4722275700896782E-3</v>
      </c>
    </row>
    <row r="88" spans="1:58" ht="14.5" x14ac:dyDescent="0.35">
      <c r="A88" s="4">
        <v>85</v>
      </c>
      <c r="B88" t="s">
        <v>192</v>
      </c>
      <c r="C88" s="2">
        <f>'Your Model Diet'!E96</f>
        <v>29.446002960205082</v>
      </c>
      <c r="D88">
        <f>'Nutrient Content_TFP'!$G90</f>
        <v>185.18334393000001</v>
      </c>
      <c r="E88">
        <f t="shared" si="3"/>
        <v>0.15900999698620724</v>
      </c>
      <c r="F88">
        <f t="shared" si="4"/>
        <v>15.900999698620724</v>
      </c>
      <c r="G88">
        <f>Cost_TFP!C90</f>
        <v>0.45713767598460003</v>
      </c>
      <c r="H88" s="1">
        <f t="shared" si="5"/>
        <v>7.2689460480593035E-2</v>
      </c>
      <c r="I88">
        <f>$E88*'Nutrient Content_TFP'!$Z90</f>
        <v>2.023727548329461</v>
      </c>
      <c r="J88">
        <f>$E88*'Nutrient Content_TFP'!$AA90</f>
        <v>15.261947455027856</v>
      </c>
      <c r="K88">
        <f>$E88*'Nutrient Content_TFP'!$AB90</f>
        <v>12.410815055264267</v>
      </c>
      <c r="L88">
        <f>$E88*'Nutrient Content_TFP'!$AC90</f>
        <v>0.5107255677424033</v>
      </c>
      <c r="M88">
        <f>$E88*'Nutrient Content_TFP'!$AD90</f>
        <v>0.17706198327072931</v>
      </c>
      <c r="N88">
        <f>$E88*'Nutrient Content_TFP'!$AE90</f>
        <v>7.2101421364439977</v>
      </c>
      <c r="O88">
        <f>$E88*'Nutrient Content_TFP'!$C90</f>
        <v>16.350663700194829</v>
      </c>
      <c r="P88">
        <f>$E88*'Nutrient Content_TFP'!$D90</f>
        <v>3.1664328891672784</v>
      </c>
      <c r="Q88">
        <f>$E88*'Nutrient Content_TFP'!$E90</f>
        <v>4.8815335650695122</v>
      </c>
      <c r="R88">
        <f>$E88*'Nutrient Content_TFP'!$F90</f>
        <v>7.6730243992804868E-3</v>
      </c>
      <c r="S88">
        <f>$E88*'Nutrient Content_TFP'!$H90</f>
        <v>0.10360740180749821</v>
      </c>
      <c r="T88">
        <f>$E88*'Nutrient Content_TFP'!$I90</f>
        <v>0.22629320230814537</v>
      </c>
      <c r="U88">
        <f>$E88*'Nutrient Content_TFP'!$J90</f>
        <v>1.2458822835181753</v>
      </c>
      <c r="V88">
        <f>$E88*'Nutrient Content_TFP'!$K90</f>
        <v>4.7544293952842188E-2</v>
      </c>
      <c r="W88">
        <f>$E88*'Nutrient Content_TFP'!$L90</f>
        <v>2.3567168230821656</v>
      </c>
      <c r="X88">
        <f>$E88*'Nutrient Content_TFP'!$M90</f>
        <v>3.0509151459566418E-2</v>
      </c>
      <c r="Y88">
        <f>$E88*'Nutrient Content_TFP'!$N90</f>
        <v>14.169108330920773</v>
      </c>
      <c r="Z88">
        <f>$E88*'Nutrient Content_TFP'!$O90</f>
        <v>27.386145130784552</v>
      </c>
      <c r="AA88">
        <f>$E88*'Nutrient Content_TFP'!$P90</f>
        <v>2.9080705075593443E-2</v>
      </c>
      <c r="AB88">
        <f>$E88*'Nutrient Content_TFP'!$Q90</f>
        <v>12.714982499799486</v>
      </c>
      <c r="AC88">
        <f>$E88*'Nutrient Content_TFP'!$R90</f>
        <v>6.0291846952919698E-3</v>
      </c>
      <c r="AD88">
        <f>$E88*'Nutrient Content_TFP'!$S90</f>
        <v>4.5228427038885924E-2</v>
      </c>
      <c r="AE88">
        <f>$E88*'Nutrient Content_TFP'!$T90</f>
        <v>6.6178565432935899E-3</v>
      </c>
      <c r="AF88">
        <f>$E88*'Nutrient Content_TFP'!$U90</f>
        <v>0.12576336877350053</v>
      </c>
      <c r="AG88">
        <f>$E88*'Nutrient Content_TFP'!$W90</f>
        <v>3.8440877141641613E-2</v>
      </c>
      <c r="AH88">
        <f>$E88*'Nutrient Content_TFP'!$X90</f>
        <v>7.6153485793916453E-2</v>
      </c>
      <c r="AI88">
        <f>$E88*'Nutrient Content_TFP'!$V90</f>
        <v>13.502917189501673</v>
      </c>
      <c r="AJ88">
        <f>$E88*'Nutrient Content_TFP'!$Y90</f>
        <v>8.792404368714142E-2</v>
      </c>
      <c r="AK88">
        <f>$E88*'Nutrient Content_TFP'!$AF90</f>
        <v>1.0612105379913677E-2</v>
      </c>
      <c r="AL88">
        <f>$E88*'Nutrient Content_TFP'!$AI90</f>
        <v>0</v>
      </c>
      <c r="AM88">
        <f>$E88*'Nutrient Content_TFP'!$AO90</f>
        <v>1.4495716889245723E-3</v>
      </c>
      <c r="AN88">
        <f>$E88*'Nutrient Content_TFP'!$AP90</f>
        <v>3.0827029457611524E-2</v>
      </c>
      <c r="AO88">
        <f>$E88*'Nutrient Content_TFP'!$AQ90</f>
        <v>2.305468852728343E-3</v>
      </c>
      <c r="AP88">
        <f>$E88*'Nutrient Content_TFP'!$AZ90</f>
        <v>8.4876993821385617E-3</v>
      </c>
      <c r="AQ88">
        <f>$E88*'Nutrient Content_TFP'!$BA90</f>
        <v>10.333438282093697</v>
      </c>
      <c r="AR88">
        <f>$E88*'Nutrient Content_TFP'!$AG90</f>
        <v>0</v>
      </c>
      <c r="AS88">
        <f>$E88*'Nutrient Content_TFP'!$AJ90</f>
        <v>0</v>
      </c>
      <c r="AT88">
        <f>$E88*'Nutrient Content_TFP'!$AK90</f>
        <v>0</v>
      </c>
      <c r="AU88">
        <f>$E88*'Nutrient Content_TFP'!$AL90</f>
        <v>0</v>
      </c>
      <c r="AV88">
        <f>$E88*'Nutrient Content_TFP'!$AM90</f>
        <v>0</v>
      </c>
      <c r="AW88">
        <f>$E88*'Nutrient Content_TFP'!AN90</f>
        <v>0</v>
      </c>
      <c r="AX88">
        <f>$E88*'Nutrient Content_TFP'!AH90</f>
        <v>1.0612105379913677E-2</v>
      </c>
      <c r="AY88">
        <f>$E88*'Nutrient Content_TFP'!$AR90</f>
        <v>0</v>
      </c>
      <c r="AZ88">
        <f>$E88*'Nutrient Content_TFP'!$AS90</f>
        <v>0</v>
      </c>
      <c r="BA88">
        <f>$E88*'Nutrient Content_TFP'!$AT90</f>
        <v>1.1933560345017504E-3</v>
      </c>
      <c r="BB88">
        <f>$E88*'Nutrient Content_TFP'!$AU90</f>
        <v>0</v>
      </c>
      <c r="BC88">
        <f>$E88*'Nutrient Content_TFP'!$AV90</f>
        <v>1.1121127387215938E-3</v>
      </c>
      <c r="BD88">
        <f>$E88*'Nutrient Content_TFP'!$AW90</f>
        <v>1.1933560345017504E-3</v>
      </c>
      <c r="BE88">
        <f>$E88*'Nutrient Content_TFP'!$AX90</f>
        <v>0</v>
      </c>
      <c r="BF88">
        <f>$E88*'Nutrient Content_TFP'!$AY90</f>
        <v>1.1121127387215938E-3</v>
      </c>
    </row>
    <row r="89" spans="1:58" ht="14.5" x14ac:dyDescent="0.35">
      <c r="A89" s="4">
        <v>86</v>
      </c>
      <c r="B89" t="s">
        <v>194</v>
      </c>
      <c r="C89" s="2">
        <f>'Your Model Diet'!E97</f>
        <v>8.9055862426757813</v>
      </c>
      <c r="D89">
        <f>'Nutrient Content_TFP'!$G91</f>
        <v>400.41301952999999</v>
      </c>
      <c r="E89">
        <f t="shared" si="3"/>
        <v>2.2241000687562688E-2</v>
      </c>
      <c r="F89">
        <f t="shared" si="4"/>
        <v>2.2241000687562686</v>
      </c>
      <c r="G89">
        <f>Cost_TFP!C91</f>
        <v>0.83573470510140002</v>
      </c>
      <c r="H89" s="1">
        <f t="shared" si="5"/>
        <v>1.8587576150780237E-2</v>
      </c>
      <c r="I89">
        <f>$E89*'Nutrient Content_TFP'!$Z91</f>
        <v>0.86332303707450486</v>
      </c>
      <c r="J89">
        <f>$E89*'Nutrient Content_TFP'!$AA91</f>
        <v>6.763805931484173</v>
      </c>
      <c r="K89">
        <f>$E89*'Nutrient Content_TFP'!$AB91</f>
        <v>1.3756574894454883</v>
      </c>
      <c r="L89">
        <f>$E89*'Nutrient Content_TFP'!$AC91</f>
        <v>0.50228665959960794</v>
      </c>
      <c r="M89">
        <f>$E89*'Nutrient Content_TFP'!$AD91</f>
        <v>2.7073376724830716E-2</v>
      </c>
      <c r="N89">
        <f>$E89*'Nutrient Content_TFP'!$AE91</f>
        <v>0.24157879826544271</v>
      </c>
      <c r="O89">
        <f>$E89*'Nutrient Content_TFP'!$C91</f>
        <v>0.82430365061389477</v>
      </c>
      <c r="P89">
        <f>$E89*'Nutrient Content_TFP'!$D91</f>
        <v>0.55606174575519263</v>
      </c>
      <c r="Q89">
        <f>$E89*'Nutrient Content_TFP'!$E91</f>
        <v>1.7508274617613659E-2</v>
      </c>
      <c r="R89">
        <f>$E89*'Nutrient Content_TFP'!$F91</f>
        <v>3.6099261481420696E-3</v>
      </c>
      <c r="S89">
        <f>$E89*'Nutrient Content_TFP'!$H91</f>
        <v>8.0776515062504939E-2</v>
      </c>
      <c r="T89">
        <f>$E89*'Nutrient Content_TFP'!$I91</f>
        <v>2.2574775490569667</v>
      </c>
      <c r="U89">
        <f>$E89*'Nutrient Content_TFP'!$J91</f>
        <v>4.8406209630473125</v>
      </c>
      <c r="V89">
        <f>$E89*'Nutrient Content_TFP'!$K91</f>
        <v>9.2952546180465861E-2</v>
      </c>
      <c r="W89">
        <f>$E89*'Nutrient Content_TFP'!$L91</f>
        <v>0.8122453723322659</v>
      </c>
      <c r="X89">
        <f>$E89*'Nutrient Content_TFP'!$M91</f>
        <v>0.11315214543936956</v>
      </c>
      <c r="Y89">
        <f>$E89*'Nutrient Content_TFP'!$N91</f>
        <v>3.0517067495317751</v>
      </c>
      <c r="Z89">
        <f>$E89*'Nutrient Content_TFP'!$O91</f>
        <v>4.7370643632903127</v>
      </c>
      <c r="AA89">
        <f>$E89*'Nutrient Content_TFP'!$P91</f>
        <v>7.207627897232732E-3</v>
      </c>
      <c r="AB89">
        <f>$E89*'Nutrient Content_TFP'!$Q91</f>
        <v>23.316957467775929</v>
      </c>
      <c r="AC89">
        <f>$E89*'Nutrient Content_TFP'!$R91</f>
        <v>8.581696089228848E-3</v>
      </c>
      <c r="AD89">
        <f>$E89*'Nutrient Content_TFP'!$S91</f>
        <v>7.0894853985687518E-4</v>
      </c>
      <c r="AE89">
        <f>$E89*'Nutrient Content_TFP'!$T91</f>
        <v>2.27672834372803E-3</v>
      </c>
      <c r="AF89">
        <f>$E89*'Nutrient Content_TFP'!$U91</f>
        <v>3.0572022334648435E-2</v>
      </c>
      <c r="AG89">
        <f>$E89*'Nutrient Content_TFP'!$W91</f>
        <v>2.2282464207047499E-2</v>
      </c>
      <c r="AH89">
        <f>$E89*'Nutrient Content_TFP'!$X91</f>
        <v>0.10698612552105721</v>
      </c>
      <c r="AI89">
        <f>$E89*'Nutrient Content_TFP'!$V91</f>
        <v>2.921375267051422E-2</v>
      </c>
      <c r="AJ89">
        <f>$E89*'Nutrient Content_TFP'!$Y91</f>
        <v>2.5192159002072379E-2</v>
      </c>
      <c r="AK89">
        <f>$E89*'Nutrient Content_TFP'!$AF91</f>
        <v>0.11609206017850997</v>
      </c>
      <c r="AL89">
        <f>$E89*'Nutrient Content_TFP'!$AI91</f>
        <v>2.3494738351280983E-4</v>
      </c>
      <c r="AM89">
        <f>$E89*'Nutrient Content_TFP'!$AO91</f>
        <v>0</v>
      </c>
      <c r="AN89">
        <f>$E89*'Nutrient Content_TFP'!$AP91</f>
        <v>1.8515379080168083E-4</v>
      </c>
      <c r="AO89">
        <f>$E89*'Nutrient Content_TFP'!$AQ91</f>
        <v>3.0522315568579893E-3</v>
      </c>
      <c r="AP89">
        <f>$E89*'Nutrient Content_TFP'!$AZ91</f>
        <v>0.11468500175005879</v>
      </c>
      <c r="AQ89">
        <f>$E89*'Nutrient Content_TFP'!$BA91</f>
        <v>0.20132681151443452</v>
      </c>
      <c r="AR89">
        <f>$E89*'Nutrient Content_TFP'!$AG91</f>
        <v>4.1044790833786766E-3</v>
      </c>
      <c r="AS89">
        <f>$E89*'Nutrient Content_TFP'!$AJ91</f>
        <v>0</v>
      </c>
      <c r="AT89">
        <f>$E89*'Nutrient Content_TFP'!$AK91</f>
        <v>0</v>
      </c>
      <c r="AU89">
        <f>$E89*'Nutrient Content_TFP'!$AL91</f>
        <v>0</v>
      </c>
      <c r="AV89">
        <f>$E89*'Nutrient Content_TFP'!$AM91</f>
        <v>2.3494738351280983E-4</v>
      </c>
      <c r="AW89">
        <f>$E89*'Nutrient Content_TFP'!AN91</f>
        <v>0</v>
      </c>
      <c r="AX89">
        <f>$E89*'Nutrient Content_TFP'!AH91</f>
        <v>0.1119875810929072</v>
      </c>
      <c r="AY89">
        <f>$E89*'Nutrient Content_TFP'!$AR91</f>
        <v>0</v>
      </c>
      <c r="AZ89">
        <f>$E89*'Nutrient Content_TFP'!$AS91</f>
        <v>0</v>
      </c>
      <c r="BA89">
        <f>$E89*'Nutrient Content_TFP'!$AT91</f>
        <v>0</v>
      </c>
      <c r="BB89">
        <f>$E89*'Nutrient Content_TFP'!$AU91</f>
        <v>0</v>
      </c>
      <c r="BC89">
        <f>$E89*'Nutrient Content_TFP'!$AV91</f>
        <v>3.0522315635302896E-3</v>
      </c>
      <c r="BD89">
        <f>$E89*'Nutrient Content_TFP'!$AW91</f>
        <v>0</v>
      </c>
      <c r="BE89">
        <f>$E89*'Nutrient Content_TFP'!$AX91</f>
        <v>0</v>
      </c>
      <c r="BF89">
        <f>$E89*'Nutrient Content_TFP'!$AY91</f>
        <v>3.0522315635302896E-3</v>
      </c>
    </row>
    <row r="90" spans="1:58" ht="14.5" x14ac:dyDescent="0.35">
      <c r="A90" s="4">
        <v>87</v>
      </c>
      <c r="B90" t="s">
        <v>196</v>
      </c>
      <c r="C90" s="2">
        <f>'Your Model Diet'!E98</f>
        <v>0.75520294904708862</v>
      </c>
      <c r="D90">
        <f>'Nutrient Content_TFP'!$G92</f>
        <v>471.54441355</v>
      </c>
      <c r="E90">
        <f t="shared" si="3"/>
        <v>1.601552106961842E-3</v>
      </c>
      <c r="F90">
        <f t="shared" si="4"/>
        <v>0.16015521069618419</v>
      </c>
      <c r="G90">
        <f>Cost_TFP!C92</f>
        <v>1.0911652166930002</v>
      </c>
      <c r="H90" s="1">
        <f t="shared" si="5"/>
        <v>1.7475579518381492E-3</v>
      </c>
      <c r="I90">
        <f>$E90*'Nutrient Content_TFP'!$Z92</f>
        <v>6.827434538451975E-2</v>
      </c>
      <c r="J90">
        <f>$E90*'Nutrient Content_TFP'!$AA92</f>
        <v>0.40214974009596993</v>
      </c>
      <c r="K90">
        <f>$E90*'Nutrient Content_TFP'!$AB92</f>
        <v>0.30099480023553243</v>
      </c>
      <c r="L90">
        <f>$E90*'Nutrient Content_TFP'!$AC92</f>
        <v>0.13689232615527885</v>
      </c>
      <c r="M90">
        <f>$E90*'Nutrient Content_TFP'!$AD92</f>
        <v>6.6521150128928631E-3</v>
      </c>
      <c r="N90">
        <f>$E90*'Nutrient Content_TFP'!$AE92</f>
        <v>4.9036814705653631E-2</v>
      </c>
      <c r="O90">
        <f>$E90*'Nutrient Content_TFP'!$C92</f>
        <v>4.4389114375014221E-2</v>
      </c>
      <c r="P90">
        <f>$E90*'Nutrient Content_TFP'!$D92</f>
        <v>2.5846022903748937E-2</v>
      </c>
      <c r="Q90">
        <f>$E90*'Nutrient Content_TFP'!$E92</f>
        <v>3.1609846175768628E-3</v>
      </c>
      <c r="R90">
        <f>$E90*'Nutrient Content_TFP'!$F92</f>
        <v>5.1686022113775249E-4</v>
      </c>
      <c r="S90">
        <f>$E90*'Nutrient Content_TFP'!$H92</f>
        <v>1.9002144622346066E-2</v>
      </c>
      <c r="T90">
        <f>$E90*'Nutrient Content_TFP'!$I92</f>
        <v>0</v>
      </c>
      <c r="U90">
        <f>$E90*'Nutrient Content_TFP'!$J92</f>
        <v>2.8448302090076257E-2</v>
      </c>
      <c r="V90">
        <f>$E90*'Nutrient Content_TFP'!$K92</f>
        <v>3.8536674199584398E-3</v>
      </c>
      <c r="W90">
        <f>$E90*'Nutrient Content_TFP'!$L92</f>
        <v>0.1949787962519002</v>
      </c>
      <c r="X90">
        <f>$E90*'Nutrient Content_TFP'!$M92</f>
        <v>2.8640656707678478E-3</v>
      </c>
      <c r="Y90">
        <f>$E90*'Nutrient Content_TFP'!$N92</f>
        <v>0.45138754839628942</v>
      </c>
      <c r="Z90">
        <f>$E90*'Nutrient Content_TFP'!$O92</f>
        <v>0.39210396331313163</v>
      </c>
      <c r="AA90">
        <f>$E90*'Nutrient Content_TFP'!$P92</f>
        <v>2.012996905115064E-4</v>
      </c>
      <c r="AB90">
        <f>$E90*'Nutrient Content_TFP'!$Q92</f>
        <v>0.94068256974601494</v>
      </c>
      <c r="AC90">
        <f>$E90*'Nutrient Content_TFP'!$R92</f>
        <v>3.1712422252186493E-4</v>
      </c>
      <c r="AD90">
        <f>$E90*'Nutrient Content_TFP'!$S92</f>
        <v>1.5230198616634867E-4</v>
      </c>
      <c r="AE90">
        <f>$E90*'Nutrient Content_TFP'!$T92</f>
        <v>2.7990686170254717E-4</v>
      </c>
      <c r="AF90">
        <f>$E90*'Nutrient Content_TFP'!$U92</f>
        <v>2.2553989898556258E-4</v>
      </c>
      <c r="AG90">
        <f>$E90*'Nutrient Content_TFP'!$W92</f>
        <v>3.4479501694847912E-3</v>
      </c>
      <c r="AH90">
        <f>$E90*'Nutrient Content_TFP'!$X92</f>
        <v>5.0072108875310415E-3</v>
      </c>
      <c r="AI90">
        <f>$E90*'Nutrient Content_TFP'!$V92</f>
        <v>1.5088707524394835E-2</v>
      </c>
      <c r="AJ90">
        <f>$E90*'Nutrient Content_TFP'!$Y92</f>
        <v>4.6399502207607355E-3</v>
      </c>
      <c r="AK90">
        <f>$E90*'Nutrient Content_TFP'!$AF92</f>
        <v>4.6376000200784254E-3</v>
      </c>
      <c r="AL90">
        <f>$E90*'Nutrient Content_TFP'!$AI92</f>
        <v>0</v>
      </c>
      <c r="AM90">
        <f>$E90*'Nutrient Content_TFP'!$AO92</f>
        <v>0</v>
      </c>
      <c r="AN90">
        <f>$E90*'Nutrient Content_TFP'!$AP92</f>
        <v>2.5862601418430713E-5</v>
      </c>
      <c r="AO90">
        <f>$E90*'Nutrient Content_TFP'!$AQ92</f>
        <v>0</v>
      </c>
      <c r="AP90">
        <f>$E90*'Nutrient Content_TFP'!$AZ92</f>
        <v>2.3339081148274543E-2</v>
      </c>
      <c r="AQ90">
        <f>$E90*'Nutrient Content_TFP'!$BA92</f>
        <v>0</v>
      </c>
      <c r="AR90">
        <f>$E90*'Nutrient Content_TFP'!$AG92</f>
        <v>4.6376000200784254E-3</v>
      </c>
      <c r="AS90">
        <f>$E90*'Nutrient Content_TFP'!$AJ92</f>
        <v>0</v>
      </c>
      <c r="AT90">
        <f>$E90*'Nutrient Content_TFP'!$AK92</f>
        <v>0</v>
      </c>
      <c r="AU90">
        <f>$E90*'Nutrient Content_TFP'!$AL92</f>
        <v>0</v>
      </c>
      <c r="AV90">
        <f>$E90*'Nutrient Content_TFP'!$AM92</f>
        <v>0</v>
      </c>
      <c r="AW90">
        <f>$E90*'Nutrient Content_TFP'!AN92</f>
        <v>0</v>
      </c>
      <c r="AX90">
        <f>$E90*'Nutrient Content_TFP'!AH92</f>
        <v>0</v>
      </c>
      <c r="AY90">
        <f>$E90*'Nutrient Content_TFP'!$AR92</f>
        <v>0</v>
      </c>
      <c r="AZ90">
        <f>$E90*'Nutrient Content_TFP'!$AS92</f>
        <v>0</v>
      </c>
      <c r="BA90">
        <f>$E90*'Nutrient Content_TFP'!$AT92</f>
        <v>0</v>
      </c>
      <c r="BB90">
        <f>$E90*'Nutrient Content_TFP'!$AU92</f>
        <v>0</v>
      </c>
      <c r="BC90">
        <f>$E90*'Nutrient Content_TFP'!$AV92</f>
        <v>0</v>
      </c>
      <c r="BD90">
        <f>$E90*'Nutrient Content_TFP'!$AW92</f>
        <v>0</v>
      </c>
      <c r="BE90">
        <f>$E90*'Nutrient Content_TFP'!$AX92</f>
        <v>0</v>
      </c>
      <c r="BF90">
        <f>$E90*'Nutrient Content_TFP'!$AY92</f>
        <v>0</v>
      </c>
    </row>
    <row r="91" spans="1:58" ht="14.5" x14ac:dyDescent="0.35">
      <c r="A91" s="4">
        <v>88</v>
      </c>
      <c r="B91" t="s">
        <v>198</v>
      </c>
      <c r="C91" s="2">
        <f>'Your Model Diet'!E99</f>
        <v>4.4766244888305664</v>
      </c>
      <c r="D91">
        <f>'Nutrient Content_TFP'!$G93</f>
        <v>533.02997320999998</v>
      </c>
      <c r="E91">
        <f t="shared" si="3"/>
        <v>8.3984479556966536E-3</v>
      </c>
      <c r="F91">
        <f t="shared" si="4"/>
        <v>0.8398447955696654</v>
      </c>
      <c r="G91">
        <f>Cost_TFP!C93</f>
        <v>0.78088681164019991</v>
      </c>
      <c r="H91" s="1">
        <f t="shared" si="5"/>
        <v>6.5582372468501147E-3</v>
      </c>
      <c r="I91">
        <f>$E91*'Nutrient Content_TFP'!$Z93</f>
        <v>0.2788103182959813</v>
      </c>
      <c r="J91">
        <f>$E91*'Nutrient Content_TFP'!$AA93</f>
        <v>1.885275315805178</v>
      </c>
      <c r="K91">
        <f>$E91*'Nutrient Content_TFP'!$AB93</f>
        <v>2.3424465902522789</v>
      </c>
      <c r="L91">
        <f>$E91*'Nutrient Content_TFP'!$AC93</f>
        <v>0.36285679249145653</v>
      </c>
      <c r="M91">
        <f>$E91*'Nutrient Content_TFP'!$AD93</f>
        <v>1.2858914517569518E-2</v>
      </c>
      <c r="N91">
        <f>$E91*'Nutrient Content_TFP'!$AE93</f>
        <v>1.0574748688239446</v>
      </c>
      <c r="O91">
        <f>$E91*'Nutrient Content_TFP'!$C93</f>
        <v>0.18503573352342256</v>
      </c>
      <c r="P91">
        <f>$E91*'Nutrient Content_TFP'!$D93</f>
        <v>0.12938580901516272</v>
      </c>
      <c r="Q91">
        <f>$E91*'Nutrient Content_TFP'!$E93</f>
        <v>2.3030029686017906E-2</v>
      </c>
      <c r="R91">
        <f>$E91*'Nutrient Content_TFP'!$F93</f>
        <v>1.6732642031595376E-3</v>
      </c>
      <c r="S91">
        <f>$E91*'Nutrient Content_TFP'!$H93</f>
        <v>8.0688995252749793E-2</v>
      </c>
      <c r="T91">
        <f>$E91*'Nutrient Content_TFP'!$I93</f>
        <v>0</v>
      </c>
      <c r="U91">
        <f>$E91*'Nutrient Content_TFP'!$J93</f>
        <v>0.12338775380370835</v>
      </c>
      <c r="V91">
        <f>$E91*'Nutrient Content_TFP'!$K93</f>
        <v>1.6967176986745099E-2</v>
      </c>
      <c r="W91">
        <f>$E91*'Nutrient Content_TFP'!$L93</f>
        <v>0.84003147391925914</v>
      </c>
      <c r="X91">
        <f>$E91*'Nutrient Content_TFP'!$M93</f>
        <v>1.2593265582844425E-2</v>
      </c>
      <c r="Y91">
        <f>$E91*'Nutrient Content_TFP'!$N93</f>
        <v>2.044909057450337</v>
      </c>
      <c r="Z91">
        <f>$E91*'Nutrient Content_TFP'!$O93</f>
        <v>3.2524002300067019</v>
      </c>
      <c r="AA91">
        <f>$E91*'Nutrient Content_TFP'!$P93</f>
        <v>5.4344286587876451E-4</v>
      </c>
      <c r="AB91">
        <f>$E91*'Nutrient Content_TFP'!$Q93</f>
        <v>5.9596952623717501</v>
      </c>
      <c r="AC91">
        <f>$E91*'Nutrient Content_TFP'!$R93</f>
        <v>4.0659945940148799E-4</v>
      </c>
      <c r="AD91">
        <f>$E91*'Nutrient Content_TFP'!$S93</f>
        <v>1.5048900063340705E-5</v>
      </c>
      <c r="AE91">
        <f>$E91*'Nutrient Content_TFP'!$T93</f>
        <v>2.354057400795116E-3</v>
      </c>
      <c r="AF91">
        <f>$E91*'Nutrient Content_TFP'!$U93</f>
        <v>1.9532231021842796E-4</v>
      </c>
      <c r="AG91">
        <f>$E91*'Nutrient Content_TFP'!$W93</f>
        <v>2.3993936321195331E-2</v>
      </c>
      <c r="AH91">
        <f>$E91*'Nutrient Content_TFP'!$X93</f>
        <v>3.9686375135322721E-2</v>
      </c>
      <c r="AI91">
        <f>$E91*'Nutrient Content_TFP'!$V93</f>
        <v>0.17423853177220372</v>
      </c>
      <c r="AJ91">
        <f>$E91*'Nutrient Content_TFP'!$Y93</f>
        <v>1.804897891707586E-2</v>
      </c>
      <c r="AK91">
        <f>$E91*'Nutrient Content_TFP'!$AF93</f>
        <v>2.0737727175757247E-2</v>
      </c>
      <c r="AL91">
        <f>$E91*'Nutrient Content_TFP'!$AI93</f>
        <v>0</v>
      </c>
      <c r="AM91">
        <f>$E91*'Nutrient Content_TFP'!$AO93</f>
        <v>0</v>
      </c>
      <c r="AN91">
        <f>$E91*'Nutrient Content_TFP'!$AP93</f>
        <v>0</v>
      </c>
      <c r="AO91">
        <f>$E91*'Nutrient Content_TFP'!$AQ93</f>
        <v>1.2840006629772221E-5</v>
      </c>
      <c r="AP91">
        <f>$E91*'Nutrient Content_TFP'!$AZ93</f>
        <v>2.3357152584873028E-2</v>
      </c>
      <c r="AQ91">
        <f>$E91*'Nutrient Content_TFP'!$BA93</f>
        <v>9.8008118501519637E-2</v>
      </c>
      <c r="AR91">
        <f>$E91*'Nutrient Content_TFP'!$AG93</f>
        <v>2.0737727175757247E-2</v>
      </c>
      <c r="AS91">
        <f>$E91*'Nutrient Content_TFP'!$AJ93</f>
        <v>0</v>
      </c>
      <c r="AT91">
        <f>$E91*'Nutrient Content_TFP'!$AK93</f>
        <v>0</v>
      </c>
      <c r="AU91">
        <f>$E91*'Nutrient Content_TFP'!$AL93</f>
        <v>0</v>
      </c>
      <c r="AV91">
        <f>$E91*'Nutrient Content_TFP'!$AM93</f>
        <v>0</v>
      </c>
      <c r="AW91">
        <f>$E91*'Nutrient Content_TFP'!AN93</f>
        <v>0</v>
      </c>
      <c r="AX91">
        <f>$E91*'Nutrient Content_TFP'!AH93</f>
        <v>0</v>
      </c>
      <c r="AY91">
        <f>$E91*'Nutrient Content_TFP'!$AR93</f>
        <v>0</v>
      </c>
      <c r="AZ91">
        <f>$E91*'Nutrient Content_TFP'!$AS93</f>
        <v>0</v>
      </c>
      <c r="BA91">
        <f>$E91*'Nutrient Content_TFP'!$AT93</f>
        <v>0</v>
      </c>
      <c r="BB91">
        <f>$E91*'Nutrient Content_TFP'!$AU93</f>
        <v>0</v>
      </c>
      <c r="BC91">
        <f>$E91*'Nutrient Content_TFP'!$AV93</f>
        <v>1.2840009149306606E-5</v>
      </c>
      <c r="BD91">
        <f>$E91*'Nutrient Content_TFP'!$AW93</f>
        <v>0</v>
      </c>
      <c r="BE91">
        <f>$E91*'Nutrient Content_TFP'!$AX93</f>
        <v>0</v>
      </c>
      <c r="BF91">
        <f>$E91*'Nutrient Content_TFP'!$AY93</f>
        <v>1.2840009149306606E-5</v>
      </c>
    </row>
    <row r="92" spans="1:58" ht="14.5" x14ac:dyDescent="0.35">
      <c r="A92" s="4">
        <v>89</v>
      </c>
      <c r="B92" t="s">
        <v>200</v>
      </c>
      <c r="C92" s="2">
        <f>'Your Model Diet'!E100</f>
        <v>15.070712089538571</v>
      </c>
      <c r="D92">
        <f>'Nutrient Content_TFP'!$G94</f>
        <v>327.14056902999999</v>
      </c>
      <c r="E92">
        <f t="shared" si="3"/>
        <v>4.60680010865804E-2</v>
      </c>
      <c r="F92">
        <f t="shared" si="4"/>
        <v>4.6068001086580397</v>
      </c>
      <c r="G92">
        <f>Cost_TFP!C94</f>
        <v>0.44789516800500001</v>
      </c>
      <c r="H92" s="1">
        <f t="shared" si="5"/>
        <v>2.0633635086328452E-2</v>
      </c>
      <c r="I92">
        <f>$E92*'Nutrient Content_TFP'!$Z94</f>
        <v>4.7721135987961974E-2</v>
      </c>
      <c r="J92">
        <f>$E92*'Nutrient Content_TFP'!$AA94</f>
        <v>15.072316944368623</v>
      </c>
      <c r="K92">
        <f>$E92*'Nutrient Content_TFP'!$AB94</f>
        <v>0.51474561673793551</v>
      </c>
      <c r="L92">
        <f>$E92*'Nutrient Content_TFP'!$AC94</f>
        <v>4.5616971170242208E-2</v>
      </c>
      <c r="M92">
        <f>$E92*'Nutrient Content_TFP'!$AD94</f>
        <v>3.8796435691510023E-3</v>
      </c>
      <c r="N92">
        <f>$E92*'Nutrient Content_TFP'!$AE94</f>
        <v>0.36374119556910511</v>
      </c>
      <c r="O92">
        <f>$E92*'Nutrient Content_TFP'!$C94</f>
        <v>0.49316248951422226</v>
      </c>
      <c r="P92">
        <f>$E92*'Nutrient Content_TFP'!$D94</f>
        <v>8.390383506560524E-2</v>
      </c>
      <c r="Q92">
        <f>$E92*'Nutrient Content_TFP'!$E94</f>
        <v>1.6978790942316527E-2</v>
      </c>
      <c r="R92">
        <f>$E92*'Nutrient Content_TFP'!$F94</f>
        <v>1.9723727753708634E-3</v>
      </c>
      <c r="S92">
        <f>$E92*'Nutrient Content_TFP'!$H94</f>
        <v>1.3223649232658083E-2</v>
      </c>
      <c r="T92">
        <f>$E92*'Nutrient Content_TFP'!$I94</f>
        <v>0</v>
      </c>
      <c r="U92">
        <f>$E92*'Nutrient Content_TFP'!$J94</f>
        <v>7.5524820446086063E-2</v>
      </c>
      <c r="V92">
        <f>$E92*'Nutrient Content_TFP'!$K94</f>
        <v>1.0903000346687425E-2</v>
      </c>
      <c r="W92">
        <f>$E92*'Nutrient Content_TFP'!$L94</f>
        <v>0.21377494661997115</v>
      </c>
      <c r="X92">
        <f>$E92*'Nutrient Content_TFP'!$M94</f>
        <v>2.0831991137940623E-3</v>
      </c>
      <c r="Y92">
        <f>$E92*'Nutrient Content_TFP'!$N94</f>
        <v>0.57607910196616641</v>
      </c>
      <c r="Z92">
        <f>$E92*'Nutrient Content_TFP'!$O94</f>
        <v>1.6514450575390389</v>
      </c>
      <c r="AA92">
        <f>$E92*'Nutrient Content_TFP'!$P94</f>
        <v>2.4098776056972471E-3</v>
      </c>
      <c r="AB92">
        <f>$E92*'Nutrient Content_TFP'!$Q94</f>
        <v>2.0713835018910745</v>
      </c>
      <c r="AC92">
        <f>$E92*'Nutrient Content_TFP'!$R94</f>
        <v>4.2220613548634209E-4</v>
      </c>
      <c r="AD92">
        <f>$E92*'Nutrient Content_TFP'!$S94</f>
        <v>4.47013390134257E-4</v>
      </c>
      <c r="AE92">
        <f>$E92*'Nutrient Content_TFP'!$T94</f>
        <v>4.2404741820817137E-4</v>
      </c>
      <c r="AF92">
        <f>$E92*'Nutrient Content_TFP'!$U94</f>
        <v>3.5390812606329078E-2</v>
      </c>
      <c r="AG92">
        <f>$E92*'Nutrient Content_TFP'!$W94</f>
        <v>9.0132258342099595E-3</v>
      </c>
      <c r="AH92">
        <f>$E92*'Nutrient Content_TFP'!$X94</f>
        <v>2.0506467455654678E-2</v>
      </c>
      <c r="AI92">
        <f>$E92*'Nutrient Content_TFP'!$V94</f>
        <v>6.731708596819358E-2</v>
      </c>
      <c r="AJ92">
        <f>$E92*'Nutrient Content_TFP'!$Y94</f>
        <v>7.3627158691030974E-3</v>
      </c>
      <c r="AK92">
        <f>$E92*'Nutrient Content_TFP'!$AF94</f>
        <v>0</v>
      </c>
      <c r="AL92">
        <f>$E92*'Nutrient Content_TFP'!$AI94</f>
        <v>1.5798357593427102E-5</v>
      </c>
      <c r="AM92">
        <f>$E92*'Nutrient Content_TFP'!$AO94</f>
        <v>1.1000718993615861E-3</v>
      </c>
      <c r="AN92">
        <f>$E92*'Nutrient Content_TFP'!$AP94</f>
        <v>5.5907530920099935E-4</v>
      </c>
      <c r="AO92">
        <f>$E92*'Nutrient Content_TFP'!$AQ94</f>
        <v>9.1977834140950169E-4</v>
      </c>
      <c r="AP92">
        <f>$E92*'Nutrient Content_TFP'!$AZ94</f>
        <v>9.0270798595699277E-3</v>
      </c>
      <c r="AQ92">
        <f>$E92*'Nutrient Content_TFP'!$BA94</f>
        <v>13.259146263370011</v>
      </c>
      <c r="AR92">
        <f>$E92*'Nutrient Content_TFP'!$AG94</f>
        <v>0</v>
      </c>
      <c r="AS92">
        <f>$E92*'Nutrient Content_TFP'!$AJ94</f>
        <v>0</v>
      </c>
      <c r="AT92">
        <f>$E92*'Nutrient Content_TFP'!$AK94</f>
        <v>0</v>
      </c>
      <c r="AU92">
        <f>$E92*'Nutrient Content_TFP'!$AL94</f>
        <v>1.5798357593427102E-5</v>
      </c>
      <c r="AV92">
        <f>$E92*'Nutrient Content_TFP'!$AM94</f>
        <v>0</v>
      </c>
      <c r="AW92">
        <f>$E92*'Nutrient Content_TFP'!AN94</f>
        <v>0</v>
      </c>
      <c r="AX92">
        <f>$E92*'Nutrient Content_TFP'!AH94</f>
        <v>0</v>
      </c>
      <c r="AY92">
        <f>$E92*'Nutrient Content_TFP'!$AR94</f>
        <v>0</v>
      </c>
      <c r="AZ92">
        <f>$E92*'Nutrient Content_TFP'!$AS94</f>
        <v>0</v>
      </c>
      <c r="BA92">
        <f>$E92*'Nutrient Content_TFP'!$AT94</f>
        <v>0</v>
      </c>
      <c r="BB92">
        <f>$E92*'Nutrient Content_TFP'!$AU94</f>
        <v>0</v>
      </c>
      <c r="BC92">
        <f>$E92*'Nutrient Content_TFP'!$AV94</f>
        <v>9.1977832298230139E-4</v>
      </c>
      <c r="BD92">
        <f>$E92*'Nutrient Content_TFP'!$AW94</f>
        <v>0</v>
      </c>
      <c r="BE92">
        <f>$E92*'Nutrient Content_TFP'!$AX94</f>
        <v>0</v>
      </c>
      <c r="BF92">
        <f>$E92*'Nutrient Content_TFP'!$AY94</f>
        <v>9.1977832298230139E-4</v>
      </c>
    </row>
    <row r="93" spans="1:58" ht="14.5" x14ac:dyDescent="0.35">
      <c r="A93" s="4">
        <v>90</v>
      </c>
      <c r="B93" t="s">
        <v>202</v>
      </c>
      <c r="C93" s="2">
        <f>'Your Model Diet'!E101</f>
        <v>1.150610208511353</v>
      </c>
      <c r="D93">
        <f>'Nutrient Content_TFP'!$G95</f>
        <v>27.788386170999999</v>
      </c>
      <c r="E93">
        <f t="shared" si="3"/>
        <v>4.1406154406769098E-2</v>
      </c>
      <c r="F93">
        <f t="shared" si="4"/>
        <v>4.1406154406769096</v>
      </c>
      <c r="G93">
        <f>Cost_TFP!C95</f>
        <v>0.51711716707220001</v>
      </c>
      <c r="H93" s="1">
        <f t="shared" si="5"/>
        <v>2.1411833266182526E-2</v>
      </c>
      <c r="I93">
        <f>$E93*'Nutrient Content_TFP'!$Z95</f>
        <v>0.48234406958823361</v>
      </c>
      <c r="J93">
        <f>$E93*'Nutrient Content_TFP'!$AA95</f>
        <v>0.81782016002771396</v>
      </c>
      <c r="K93">
        <f>$E93*'Nutrient Content_TFP'!$AB95</f>
        <v>0.10871068766080012</v>
      </c>
      <c r="L93">
        <f>$E93*'Nutrient Content_TFP'!$AC95</f>
        <v>9.3816866360748891E-3</v>
      </c>
      <c r="M93">
        <f>$E93*'Nutrient Content_TFP'!$AD95</f>
        <v>2.5158869417984151E-2</v>
      </c>
      <c r="N93">
        <f>$E93*'Nutrient Content_TFP'!$AE95</f>
        <v>2.5832182530087497E-2</v>
      </c>
      <c r="O93">
        <f>$E93*'Nutrient Content_TFP'!$C95</f>
        <v>2.4667989344038692</v>
      </c>
      <c r="P93">
        <f>$E93*'Nutrient Content_TFP'!$D95</f>
        <v>0.68772562803269743</v>
      </c>
      <c r="Q93">
        <f>$E93*'Nutrient Content_TFP'!$E95</f>
        <v>5.8245235242572772E-3</v>
      </c>
      <c r="R93">
        <f>$E93*'Nutrient Content_TFP'!$F95</f>
        <v>2.4856310755555378E-3</v>
      </c>
      <c r="S93">
        <f>$E93*'Nutrient Content_TFP'!$H95</f>
        <v>0.11933241701769493</v>
      </c>
      <c r="T93">
        <f>$E93*'Nutrient Content_TFP'!$I95</f>
        <v>0</v>
      </c>
      <c r="U93">
        <f>$E93*'Nutrient Content_TFP'!$J95</f>
        <v>2.5115595514764406</v>
      </c>
      <c r="V93">
        <f>$E93*'Nutrient Content_TFP'!$K95</f>
        <v>3.8682706246973966E-2</v>
      </c>
      <c r="W93">
        <f>$E93*'Nutrient Content_TFP'!$L95</f>
        <v>0.92664157596037888</v>
      </c>
      <c r="X93">
        <f>$E93*'Nutrient Content_TFP'!$M95</f>
        <v>1.8802746603827795E-2</v>
      </c>
      <c r="Y93">
        <f>$E93*'Nutrient Content_TFP'!$N95</f>
        <v>1.885442039802995</v>
      </c>
      <c r="Z93">
        <f>$E93*'Nutrient Content_TFP'!$O95</f>
        <v>6.9886231220455848</v>
      </c>
      <c r="AA93">
        <f>$E93*'Nutrient Content_TFP'!$P95</f>
        <v>3.7032214085231567E-3</v>
      </c>
      <c r="AB93">
        <f>$E93*'Nutrient Content_TFP'!$Q95</f>
        <v>3.5810955672138589</v>
      </c>
      <c r="AC93">
        <f>$E93*'Nutrient Content_TFP'!$R95</f>
        <v>1.9250577545792394E-3</v>
      </c>
      <c r="AD93">
        <f>$E93*'Nutrient Content_TFP'!$S95</f>
        <v>0</v>
      </c>
      <c r="AE93">
        <f>$E93*'Nutrient Content_TFP'!$T95</f>
        <v>4.9747425454197362E-3</v>
      </c>
      <c r="AF93">
        <f>$E93*'Nutrient Content_TFP'!$U95</f>
        <v>1.3782769418090006</v>
      </c>
      <c r="AG93">
        <f>$E93*'Nutrient Content_TFP'!$W95</f>
        <v>5.8393953934386331E-2</v>
      </c>
      <c r="AH93">
        <f>$E93*'Nutrient Content_TFP'!$X95</f>
        <v>7.41056590526183</v>
      </c>
      <c r="AI93">
        <f>$E93*'Nutrient Content_TFP'!$V95</f>
        <v>6.4653911956961911</v>
      </c>
      <c r="AJ93">
        <f>$E93*'Nutrient Content_TFP'!$Y95</f>
        <v>1.2356740137808306E-2</v>
      </c>
      <c r="AK93">
        <f>$E93*'Nutrient Content_TFP'!$AF95</f>
        <v>0</v>
      </c>
      <c r="AL93">
        <f>$E93*'Nutrient Content_TFP'!$AI95</f>
        <v>2.7396734106644772E-2</v>
      </c>
      <c r="AM93">
        <f>$E93*'Nutrient Content_TFP'!$AO95</f>
        <v>0</v>
      </c>
      <c r="AN93">
        <f>$E93*'Nutrient Content_TFP'!$AP95</f>
        <v>0</v>
      </c>
      <c r="AO93">
        <f>$E93*'Nutrient Content_TFP'!$AQ95</f>
        <v>0</v>
      </c>
      <c r="AP93">
        <f>$E93*'Nutrient Content_TFP'!$AZ95</f>
        <v>1.1767006747903044E-4</v>
      </c>
      <c r="AQ93">
        <f>$E93*'Nutrient Content_TFP'!$BA95</f>
        <v>0</v>
      </c>
      <c r="AR93">
        <f>$E93*'Nutrient Content_TFP'!$AG95</f>
        <v>0</v>
      </c>
      <c r="AS93">
        <f>$E93*'Nutrient Content_TFP'!$AJ95</f>
        <v>2.7396734106644772E-2</v>
      </c>
      <c r="AT93">
        <f>$E93*'Nutrient Content_TFP'!$AK95</f>
        <v>0</v>
      </c>
      <c r="AU93">
        <f>$E93*'Nutrient Content_TFP'!$AL95</f>
        <v>0</v>
      </c>
      <c r="AV93">
        <f>$E93*'Nutrient Content_TFP'!$AM95</f>
        <v>0</v>
      </c>
      <c r="AW93">
        <f>$E93*'Nutrient Content_TFP'!AN95</f>
        <v>0</v>
      </c>
      <c r="AX93">
        <f>$E93*'Nutrient Content_TFP'!AH95</f>
        <v>0</v>
      </c>
      <c r="AY93">
        <f>$E93*'Nutrient Content_TFP'!$AR95</f>
        <v>0</v>
      </c>
      <c r="AZ93">
        <f>$E93*'Nutrient Content_TFP'!$AS95</f>
        <v>0</v>
      </c>
      <c r="BA93">
        <f>$E93*'Nutrient Content_TFP'!$AT95</f>
        <v>0</v>
      </c>
      <c r="BB93">
        <f>$E93*'Nutrient Content_TFP'!$AU95</f>
        <v>0</v>
      </c>
      <c r="BC93">
        <f>$E93*'Nutrient Content_TFP'!$AV95</f>
        <v>0</v>
      </c>
      <c r="BD93">
        <f>$E93*'Nutrient Content_TFP'!$AW95</f>
        <v>0</v>
      </c>
      <c r="BE93">
        <f>$E93*'Nutrient Content_TFP'!$AX95</f>
        <v>0</v>
      </c>
      <c r="BF93">
        <f>$E93*'Nutrient Content_TFP'!$AY95</f>
        <v>0</v>
      </c>
    </row>
    <row r="94" spans="1:58" ht="14.5" x14ac:dyDescent="0.35">
      <c r="A94" s="4">
        <v>91</v>
      </c>
      <c r="B94" t="s">
        <v>204</v>
      </c>
      <c r="C94" s="2">
        <f>'Your Model Diet'!E102</f>
        <v>6.3110466003417969</v>
      </c>
      <c r="D94">
        <f>'Nutrient Content_TFP'!$G96</f>
        <v>32.768511011000001</v>
      </c>
      <c r="E94">
        <f t="shared" si="3"/>
        <v>0.19259485419472533</v>
      </c>
      <c r="F94">
        <f t="shared" si="4"/>
        <v>19.259485419472533</v>
      </c>
      <c r="G94">
        <f>Cost_TFP!C96</f>
        <v>0.91612619959999997</v>
      </c>
      <c r="H94" s="1">
        <f t="shared" si="5"/>
        <v>0.17644119183592982</v>
      </c>
      <c r="I94">
        <f>$E94*'Nutrient Content_TFP'!$Z96</f>
        <v>1.8075099422906122</v>
      </c>
      <c r="J94">
        <f>$E94*'Nutrient Content_TFP'!$AA96</f>
        <v>4.3617507785877487</v>
      </c>
      <c r="K94">
        <f>$E94*'Nutrient Content_TFP'!$AB96</f>
        <v>1.3524658619784675</v>
      </c>
      <c r="L94">
        <f>$E94*'Nutrient Content_TFP'!$AC96</f>
        <v>0.31018329401922362</v>
      </c>
      <c r="M94">
        <f>$E94*'Nutrient Content_TFP'!$AD96</f>
        <v>0.20220902156600803</v>
      </c>
      <c r="N94">
        <f>$E94*'Nutrient Content_TFP'!$AE96</f>
        <v>0.24910527773918945</v>
      </c>
      <c r="O94">
        <f>$E94*'Nutrient Content_TFP'!$C96</f>
        <v>11.953141746093326</v>
      </c>
      <c r="P94">
        <f>$E94*'Nutrient Content_TFP'!$D96</f>
        <v>5.0840222013776124</v>
      </c>
      <c r="Q94">
        <f>$E94*'Nutrient Content_TFP'!$E96</f>
        <v>2.126619258530741E-2</v>
      </c>
      <c r="R94">
        <f>$E94*'Nutrient Content_TFP'!$F96</f>
        <v>2.4540346995998524E-2</v>
      </c>
      <c r="S94">
        <f>$E94*'Nutrient Content_TFP'!$H96</f>
        <v>0.56059273613369032</v>
      </c>
      <c r="T94">
        <f>$E94*'Nutrient Content_TFP'!$I96</f>
        <v>0</v>
      </c>
      <c r="U94">
        <f>$E94*'Nutrient Content_TFP'!$J96</f>
        <v>21.191263615061406</v>
      </c>
      <c r="V94">
        <f>$E94*'Nutrient Content_TFP'!$K96</f>
        <v>0.2190177168389438</v>
      </c>
      <c r="W94">
        <f>$E94*'Nutrient Content_TFP'!$L96</f>
        <v>5.936681910490555</v>
      </c>
      <c r="X94">
        <f>$E94*'Nutrient Content_TFP'!$M96</f>
        <v>0.10352018888463457</v>
      </c>
      <c r="Y94">
        <f>$E94*'Nutrient Content_TFP'!$N96</f>
        <v>10.651677544701412</v>
      </c>
      <c r="Z94">
        <f>$E94*'Nutrient Content_TFP'!$O96</f>
        <v>62.336831905012588</v>
      </c>
      <c r="AA94">
        <f>$E94*'Nutrient Content_TFP'!$P96</f>
        <v>2.3642825142508192E-2</v>
      </c>
      <c r="AB94">
        <f>$E94*'Nutrient Content_TFP'!$Q96</f>
        <v>7.8431496189079786</v>
      </c>
      <c r="AC94">
        <f>$E94*'Nutrient Content_TFP'!$R96</f>
        <v>1.3288227913545583E-2</v>
      </c>
      <c r="AD94">
        <f>$E94*'Nutrient Content_TFP'!$S96</f>
        <v>0</v>
      </c>
      <c r="AE94">
        <f>$E94*'Nutrient Content_TFP'!$T96</f>
        <v>3.295606544228781E-2</v>
      </c>
      <c r="AF94">
        <f>$E94*'Nutrient Content_TFP'!$U96</f>
        <v>8.9511434225793938</v>
      </c>
      <c r="AG94">
        <f>$E94*'Nutrient Content_TFP'!$W96</f>
        <v>0.25984244349909486</v>
      </c>
      <c r="AH94">
        <f>$E94*'Nutrient Content_TFP'!$X96</f>
        <v>45.106974422751101</v>
      </c>
      <c r="AI94">
        <f>$E94*'Nutrient Content_TFP'!$V96</f>
        <v>41.204389549121693</v>
      </c>
      <c r="AJ94">
        <f>$E94*'Nutrient Content_TFP'!$Y96</f>
        <v>8.7769753589741234E-2</v>
      </c>
      <c r="AK94">
        <f>$E94*'Nutrient Content_TFP'!$AF96</f>
        <v>0</v>
      </c>
      <c r="AL94">
        <f>$E94*'Nutrient Content_TFP'!$AI96</f>
        <v>0.18000713873678442</v>
      </c>
      <c r="AM94">
        <f>$E94*'Nutrient Content_TFP'!$AO96</f>
        <v>0</v>
      </c>
      <c r="AN94">
        <f>$E94*'Nutrient Content_TFP'!$AP96</f>
        <v>0</v>
      </c>
      <c r="AO94">
        <f>$E94*'Nutrient Content_TFP'!$AQ96</f>
        <v>0</v>
      </c>
      <c r="AP94">
        <f>$E94*'Nutrient Content_TFP'!$AZ96</f>
        <v>5.8022632309430916E-2</v>
      </c>
      <c r="AQ94">
        <f>$E94*'Nutrient Content_TFP'!$BA96</f>
        <v>0</v>
      </c>
      <c r="AR94">
        <f>$E94*'Nutrient Content_TFP'!$AG96</f>
        <v>0</v>
      </c>
      <c r="AS94">
        <f>$E94*'Nutrient Content_TFP'!$AJ96</f>
        <v>0.17516944493021316</v>
      </c>
      <c r="AT94">
        <f>$E94*'Nutrient Content_TFP'!$AK96</f>
        <v>0</v>
      </c>
      <c r="AU94">
        <f>$E94*'Nutrient Content_TFP'!$AL96</f>
        <v>0</v>
      </c>
      <c r="AV94">
        <f>$E94*'Nutrient Content_TFP'!$AM96</f>
        <v>0</v>
      </c>
      <c r="AW94">
        <f>$E94*'Nutrient Content_TFP'!AN96</f>
        <v>4.8376938065712374E-3</v>
      </c>
      <c r="AX94">
        <f>$E94*'Nutrient Content_TFP'!AH96</f>
        <v>0</v>
      </c>
      <c r="AY94">
        <f>$E94*'Nutrient Content_TFP'!$AR96</f>
        <v>0</v>
      </c>
      <c r="AZ94">
        <f>$E94*'Nutrient Content_TFP'!$AS96</f>
        <v>0</v>
      </c>
      <c r="BA94">
        <f>$E94*'Nutrient Content_TFP'!$AT96</f>
        <v>0</v>
      </c>
      <c r="BB94">
        <f>$E94*'Nutrient Content_TFP'!$AU96</f>
        <v>0</v>
      </c>
      <c r="BC94">
        <f>$E94*'Nutrient Content_TFP'!$AV96</f>
        <v>0</v>
      </c>
      <c r="BD94">
        <f>$E94*'Nutrient Content_TFP'!$AW96</f>
        <v>0</v>
      </c>
      <c r="BE94">
        <f>$E94*'Nutrient Content_TFP'!$AX96</f>
        <v>0</v>
      </c>
      <c r="BF94">
        <f>$E94*'Nutrient Content_TFP'!$AY96</f>
        <v>0</v>
      </c>
    </row>
    <row r="95" spans="1:58" ht="14.5" x14ac:dyDescent="0.35">
      <c r="A95" s="4">
        <v>92</v>
      </c>
      <c r="B95" t="s">
        <v>205</v>
      </c>
      <c r="C95" s="2">
        <f>'Your Model Diet'!E103</f>
        <v>4.9456415176391602</v>
      </c>
      <c r="D95">
        <f>'Nutrient Content_TFP'!$G97</f>
        <v>24.345206678</v>
      </c>
      <c r="E95">
        <f t="shared" si="3"/>
        <v>0.20314641740578779</v>
      </c>
      <c r="F95">
        <f t="shared" si="4"/>
        <v>20.314641740578779</v>
      </c>
      <c r="G95">
        <f>Cost_TFP!C97</f>
        <v>0.35158105225200004</v>
      </c>
      <c r="H95" s="1">
        <f t="shared" si="5"/>
        <v>7.1422431192750879E-2</v>
      </c>
      <c r="I95">
        <f>$E95*'Nutrient Content_TFP'!$Z97</f>
        <v>0.83184148271903646</v>
      </c>
      <c r="J95">
        <f>$E95*'Nutrient Content_TFP'!$AA97</f>
        <v>3.7436024750935419</v>
      </c>
      <c r="K95">
        <f>$E95*'Nutrient Content_TFP'!$AB97</f>
        <v>0.88424201933418678</v>
      </c>
      <c r="L95">
        <f>$E95*'Nutrient Content_TFP'!$AC97</f>
        <v>0.23156569333951807</v>
      </c>
      <c r="M95">
        <f>$E95*'Nutrient Content_TFP'!$AD97</f>
        <v>8.6952139617308508E-2</v>
      </c>
      <c r="N95">
        <f>$E95*'Nutrient Content_TFP'!$AE97</f>
        <v>0.18113495019658107</v>
      </c>
      <c r="O95">
        <f>$E95*'Nutrient Content_TFP'!$C97</f>
        <v>5.5042563329383238</v>
      </c>
      <c r="P95">
        <f>$E95*'Nutrient Content_TFP'!$D97</f>
        <v>1.9026729183617979</v>
      </c>
      <c r="Q95">
        <f>$E95*'Nutrient Content_TFP'!$E97</f>
        <v>2.8639865477637375E-2</v>
      </c>
      <c r="R95">
        <f>$E95*'Nutrient Content_TFP'!$F97</f>
        <v>8.0556783646284023E-3</v>
      </c>
      <c r="S95">
        <f>$E95*'Nutrient Content_TFP'!$H97</f>
        <v>0.30503048644469571</v>
      </c>
      <c r="T95">
        <f>$E95*'Nutrient Content_TFP'!$I97</f>
        <v>0</v>
      </c>
      <c r="U95">
        <f>$E95*'Nutrient Content_TFP'!$J97</f>
        <v>5.0858693193847193</v>
      </c>
      <c r="V95">
        <f>$E95*'Nutrient Content_TFP'!$K97</f>
        <v>8.3667613206754046E-2</v>
      </c>
      <c r="W95">
        <f>$E95*'Nutrient Content_TFP'!$L97</f>
        <v>2.2310568311244539</v>
      </c>
      <c r="X95">
        <f>$E95*'Nutrient Content_TFP'!$M97</f>
        <v>3.8514495228623748E-2</v>
      </c>
      <c r="Y95">
        <f>$E95*'Nutrient Content_TFP'!$N97</f>
        <v>5.0639484312219931</v>
      </c>
      <c r="Z95">
        <f>$E95*'Nutrient Content_TFP'!$O97</f>
        <v>32.663620488582595</v>
      </c>
      <c r="AA95">
        <f>$E95*'Nutrient Content_TFP'!$P97</f>
        <v>7.3160215478414673E-3</v>
      </c>
      <c r="AB95">
        <f>$E95*'Nutrient Content_TFP'!$Q97</f>
        <v>9.453465814478669</v>
      </c>
      <c r="AC95">
        <f>$E95*'Nutrient Content_TFP'!$R97</f>
        <v>8.139454707973403E-3</v>
      </c>
      <c r="AD95">
        <f>$E95*'Nutrient Content_TFP'!$S97</f>
        <v>0</v>
      </c>
      <c r="AE95">
        <f>$E95*'Nutrient Content_TFP'!$T97</f>
        <v>1.5275409343519838E-2</v>
      </c>
      <c r="AF95">
        <f>$E95*'Nutrient Content_TFP'!$U97</f>
        <v>2.045766154768105</v>
      </c>
      <c r="AG95">
        <f>$E95*'Nutrient Content_TFP'!$W97</f>
        <v>3.2275005905998723E-2</v>
      </c>
      <c r="AH95">
        <f>$E95*'Nutrient Content_TFP'!$X97</f>
        <v>5.8460207026626643</v>
      </c>
      <c r="AI95">
        <f>$E95*'Nutrient Content_TFP'!$V97</f>
        <v>5.6489614593774009</v>
      </c>
      <c r="AJ95">
        <f>$E95*'Nutrient Content_TFP'!$Y97</f>
        <v>3.6930172083438004E-2</v>
      </c>
      <c r="AK95">
        <f>$E95*'Nutrient Content_TFP'!$AF97</f>
        <v>0</v>
      </c>
      <c r="AL95">
        <f>$E95*'Nutrient Content_TFP'!$AI97</f>
        <v>0.16257022709403418</v>
      </c>
      <c r="AM95">
        <f>$E95*'Nutrient Content_TFP'!$AO97</f>
        <v>0</v>
      </c>
      <c r="AN95">
        <f>$E95*'Nutrient Content_TFP'!$AP97</f>
        <v>0</v>
      </c>
      <c r="AO95">
        <f>$E95*'Nutrient Content_TFP'!$AQ97</f>
        <v>0</v>
      </c>
      <c r="AP95">
        <f>$E95*'Nutrient Content_TFP'!$AZ97</f>
        <v>5.4115896045597023E-2</v>
      </c>
      <c r="AQ95">
        <f>$E95*'Nutrient Content_TFP'!$BA97</f>
        <v>0</v>
      </c>
      <c r="AR95">
        <f>$E95*'Nutrient Content_TFP'!$AG97</f>
        <v>0</v>
      </c>
      <c r="AS95">
        <f>$E95*'Nutrient Content_TFP'!$AJ97</f>
        <v>4.0184029194951726E-3</v>
      </c>
      <c r="AT95">
        <f>$E95*'Nutrient Content_TFP'!$AK97</f>
        <v>1.6005747570050027E-3</v>
      </c>
      <c r="AU95">
        <f>$E95*'Nutrient Content_TFP'!$AL97</f>
        <v>0</v>
      </c>
      <c r="AV95">
        <f>$E95*'Nutrient Content_TFP'!$AM97</f>
        <v>3.0114125681561139E-3</v>
      </c>
      <c r="AW95">
        <f>$E95*'Nutrient Content_TFP'!AN97</f>
        <v>0.1539398368493779</v>
      </c>
      <c r="AX95">
        <f>$E95*'Nutrient Content_TFP'!AH97</f>
        <v>0</v>
      </c>
      <c r="AY95">
        <f>$E95*'Nutrient Content_TFP'!$AR97</f>
        <v>0</v>
      </c>
      <c r="AZ95">
        <f>$E95*'Nutrient Content_TFP'!$AS97</f>
        <v>0</v>
      </c>
      <c r="BA95">
        <f>$E95*'Nutrient Content_TFP'!$AT97</f>
        <v>0</v>
      </c>
      <c r="BB95">
        <f>$E95*'Nutrient Content_TFP'!$AU97</f>
        <v>0</v>
      </c>
      <c r="BC95">
        <f>$E95*'Nutrient Content_TFP'!$AV97</f>
        <v>0</v>
      </c>
      <c r="BD95">
        <f>$E95*'Nutrient Content_TFP'!$AW97</f>
        <v>0</v>
      </c>
      <c r="BE95">
        <f>$E95*'Nutrient Content_TFP'!$AX97</f>
        <v>0</v>
      </c>
      <c r="BF95">
        <f>$E95*'Nutrient Content_TFP'!$AY97</f>
        <v>0</v>
      </c>
    </row>
    <row r="96" spans="1:58" ht="14.5" x14ac:dyDescent="0.35">
      <c r="A96" s="4">
        <v>93</v>
      </c>
      <c r="B96" t="s">
        <v>207</v>
      </c>
      <c r="C96" s="2">
        <f>'Your Model Diet'!E104</f>
        <v>14.034902572631839</v>
      </c>
      <c r="D96">
        <f>'Nutrient Content_TFP'!$G98</f>
        <v>78.046435736999996</v>
      </c>
      <c r="E96">
        <f t="shared" si="3"/>
        <v>0.17982759161387582</v>
      </c>
      <c r="F96">
        <f t="shared" si="4"/>
        <v>17.98275916138758</v>
      </c>
      <c r="G96">
        <f>Cost_TFP!C98</f>
        <v>0.67335154832120003</v>
      </c>
      <c r="H96" s="1">
        <f t="shared" si="5"/>
        <v>0.12108718724407573</v>
      </c>
      <c r="I96">
        <f>$E96*'Nutrient Content_TFP'!$Z98</f>
        <v>1.2291463740840174</v>
      </c>
      <c r="J96">
        <f>$E96*'Nutrient Content_TFP'!$AA98</f>
        <v>5.0321212734521232</v>
      </c>
      <c r="K96">
        <f>$E96*'Nutrient Content_TFP'!$AB98</f>
        <v>9.1747933966413573</v>
      </c>
      <c r="L96">
        <f>$E96*'Nutrient Content_TFP'!$AC98</f>
        <v>1.2639776838749139</v>
      </c>
      <c r="M96">
        <f>$E96*'Nutrient Content_TFP'!$AD98</f>
        <v>0.16478475516312596</v>
      </c>
      <c r="N96">
        <f>$E96*'Nutrient Content_TFP'!$AE98</f>
        <v>1.5109847054004879</v>
      </c>
      <c r="O96">
        <f>$E96*'Nutrient Content_TFP'!$C98</f>
        <v>4.3909218835500541</v>
      </c>
      <c r="P96">
        <f>$E96*'Nutrient Content_TFP'!$D98</f>
        <v>2.7985699911220703</v>
      </c>
      <c r="Q96">
        <f>$E96*'Nutrient Content_TFP'!$E98</f>
        <v>9.0524268526689905E-2</v>
      </c>
      <c r="R96">
        <f>$E96*'Nutrient Content_TFP'!$F98</f>
        <v>1.8459248744490332E-2</v>
      </c>
      <c r="S96">
        <f>$E96*'Nutrient Content_TFP'!$H98</f>
        <v>0.66801313888665459</v>
      </c>
      <c r="T96">
        <f>$E96*'Nutrient Content_TFP'!$I98</f>
        <v>0</v>
      </c>
      <c r="U96">
        <f>$E96*'Nutrient Content_TFP'!$J98</f>
        <v>8.7584676554958669</v>
      </c>
      <c r="V96">
        <f>$E96*'Nutrient Content_TFP'!$K98</f>
        <v>0.1012577224883326</v>
      </c>
      <c r="W96">
        <f>$E96*'Nutrient Content_TFP'!$L98</f>
        <v>3.5339263615288306</v>
      </c>
      <c r="X96">
        <f>$E96*'Nutrient Content_TFP'!$M98</f>
        <v>0.17272105581900987</v>
      </c>
      <c r="Y96">
        <f>$E96*'Nutrient Content_TFP'!$N98</f>
        <v>7.1386677829377607</v>
      </c>
      <c r="Z96">
        <f>$E96*'Nutrient Content_TFP'!$O98</f>
        <v>52.322878702737505</v>
      </c>
      <c r="AA96">
        <f>$E96*'Nutrient Content_TFP'!$P98</f>
        <v>1.639698461112098E-2</v>
      </c>
      <c r="AB96">
        <f>$E96*'Nutrient Content_TFP'!$Q98</f>
        <v>10.397005492427896</v>
      </c>
      <c r="AC96">
        <f>$E96*'Nutrient Content_TFP'!$R98</f>
        <v>1.0554084229059837E-2</v>
      </c>
      <c r="AD96">
        <f>$E96*'Nutrient Content_TFP'!$S98</f>
        <v>1.5475901392909006E-4</v>
      </c>
      <c r="AE96">
        <f>$E96*'Nutrient Content_TFP'!$T98</f>
        <v>3.3645671035367815E-2</v>
      </c>
      <c r="AF96">
        <f>$E96*'Nutrient Content_TFP'!$U98</f>
        <v>4.8639141460233359</v>
      </c>
      <c r="AG96">
        <f>$E96*'Nutrient Content_TFP'!$W98</f>
        <v>0.18076905451321781</v>
      </c>
      <c r="AH96">
        <f>$E96*'Nutrient Content_TFP'!$X98</f>
        <v>5.1147945294135964</v>
      </c>
      <c r="AI96">
        <f>$E96*'Nutrient Content_TFP'!$V98</f>
        <v>10.277241459217398</v>
      </c>
      <c r="AJ96">
        <f>$E96*'Nutrient Content_TFP'!$Y98</f>
        <v>6.6359246282744241E-2</v>
      </c>
      <c r="AK96">
        <f>$E96*'Nutrient Content_TFP'!$AF98</f>
        <v>0</v>
      </c>
      <c r="AL96">
        <f>$E96*'Nutrient Content_TFP'!$AI98</f>
        <v>0.13165757543002035</v>
      </c>
      <c r="AM96">
        <f>$E96*'Nutrient Content_TFP'!$AO98</f>
        <v>0</v>
      </c>
      <c r="AN96">
        <f>$E96*'Nutrient Content_TFP'!$AP98</f>
        <v>0</v>
      </c>
      <c r="AO96">
        <f>$E96*'Nutrient Content_TFP'!$AQ98</f>
        <v>0</v>
      </c>
      <c r="AP96">
        <f>$E96*'Nutrient Content_TFP'!$AZ98</f>
        <v>0.85469267185794817</v>
      </c>
      <c r="AQ96">
        <f>$E96*'Nutrient Content_TFP'!$BA98</f>
        <v>0</v>
      </c>
      <c r="AR96">
        <f>$E96*'Nutrient Content_TFP'!$AG98</f>
        <v>0</v>
      </c>
      <c r="AS96">
        <f>$E96*'Nutrient Content_TFP'!$AJ98</f>
        <v>5.3584065289935907E-3</v>
      </c>
      <c r="AT96">
        <f>$E96*'Nutrient Content_TFP'!$AK98</f>
        <v>6.1568935813814691E-3</v>
      </c>
      <c r="AU96">
        <f>$E96*'Nutrient Content_TFP'!$AL98</f>
        <v>0</v>
      </c>
      <c r="AV96">
        <f>$E96*'Nutrient Content_TFP'!$AM98</f>
        <v>8.8035386917700094E-4</v>
      </c>
      <c r="AW96">
        <f>$E96*'Nutrient Content_TFP'!AN98</f>
        <v>0.11926192146845103</v>
      </c>
      <c r="AX96">
        <f>$E96*'Nutrient Content_TFP'!AH98</f>
        <v>0</v>
      </c>
      <c r="AY96">
        <f>$E96*'Nutrient Content_TFP'!$AR98</f>
        <v>0</v>
      </c>
      <c r="AZ96">
        <f>$E96*'Nutrient Content_TFP'!$AS98</f>
        <v>0</v>
      </c>
      <c r="BA96">
        <f>$E96*'Nutrient Content_TFP'!$AT98</f>
        <v>0</v>
      </c>
      <c r="BB96">
        <f>$E96*'Nutrient Content_TFP'!$AU98</f>
        <v>0</v>
      </c>
      <c r="BC96">
        <f>$E96*'Nutrient Content_TFP'!$AV98</f>
        <v>0</v>
      </c>
      <c r="BD96">
        <f>$E96*'Nutrient Content_TFP'!$AW98</f>
        <v>0</v>
      </c>
      <c r="BE96">
        <f>$E96*'Nutrient Content_TFP'!$AX98</f>
        <v>0</v>
      </c>
      <c r="BF96">
        <f>$E96*'Nutrient Content_TFP'!$AY98</f>
        <v>0</v>
      </c>
    </row>
    <row r="97" spans="1:58" ht="14.5" x14ac:dyDescent="0.35">
      <c r="A97" s="4">
        <v>94</v>
      </c>
      <c r="B97" t="s">
        <v>208</v>
      </c>
      <c r="C97" s="2">
        <f>'Your Model Diet'!E105</f>
        <v>3.8546617031097412</v>
      </c>
      <c r="D97">
        <f>'Nutrient Content_TFP'!$G99</f>
        <v>25.012114148999999</v>
      </c>
      <c r="E97">
        <f t="shared" si="3"/>
        <v>0.154111790796535</v>
      </c>
      <c r="F97">
        <f t="shared" si="4"/>
        <v>15.4111790796535</v>
      </c>
      <c r="G97">
        <f>Cost_TFP!C99</f>
        <v>0.58666249328140008</v>
      </c>
      <c r="H97" s="1">
        <f t="shared" si="5"/>
        <v>9.0411607432756752E-2</v>
      </c>
      <c r="I97">
        <f>$E97*'Nutrient Content_TFP'!$Z99</f>
        <v>0.5847381868411119</v>
      </c>
      <c r="J97">
        <f>$E97*'Nutrient Content_TFP'!$AA99</f>
        <v>3.2455224541586558</v>
      </c>
      <c r="K97">
        <f>$E97*'Nutrient Content_TFP'!$AB99</f>
        <v>0.45444558119416412</v>
      </c>
      <c r="L97">
        <f>$E97*'Nutrient Content_TFP'!$AC99</f>
        <v>0.12868433871971022</v>
      </c>
      <c r="M97">
        <f>$E97*'Nutrient Content_TFP'!$AD99</f>
        <v>6.891875277514484E-3</v>
      </c>
      <c r="N97">
        <f>$E97*'Nutrient Content_TFP'!$AE99</f>
        <v>0.13914923944651575</v>
      </c>
      <c r="O97">
        <f>$E97*'Nutrient Content_TFP'!$C99</f>
        <v>1.9625286807099931</v>
      </c>
      <c r="P97">
        <f>$E97*'Nutrient Content_TFP'!$D99</f>
        <v>1.1125185879649904</v>
      </c>
      <c r="Q97">
        <f>$E97*'Nutrient Content_TFP'!$E99</f>
        <v>4.1227436526308912E-2</v>
      </c>
      <c r="R97">
        <f>$E97*'Nutrient Content_TFP'!$F99</f>
        <v>9.7737376862414068E-3</v>
      </c>
      <c r="S97">
        <f>$E97*'Nutrient Content_TFP'!$H99</f>
        <v>0.21856345473440955</v>
      </c>
      <c r="T97">
        <f>$E97*'Nutrient Content_TFP'!$I99</f>
        <v>0</v>
      </c>
      <c r="U97">
        <f>$E97*'Nutrient Content_TFP'!$J99</f>
        <v>2.2415533726118042</v>
      </c>
      <c r="V97">
        <f>$E97*'Nutrient Content_TFP'!$K99</f>
        <v>4.808547034944885E-2</v>
      </c>
      <c r="W97">
        <f>$E97*'Nutrient Content_TFP'!$L99</f>
        <v>1.844164734263835</v>
      </c>
      <c r="X97">
        <f>$E97*'Nutrient Content_TFP'!$M99</f>
        <v>9.957676080388965E-2</v>
      </c>
      <c r="Y97">
        <f>$E97*'Nutrient Content_TFP'!$N99</f>
        <v>4.0324854616798982</v>
      </c>
      <c r="Z97">
        <f>$E97*'Nutrient Content_TFP'!$O99</f>
        <v>38.388688106999354</v>
      </c>
      <c r="AA97">
        <f>$E97*'Nutrient Content_TFP'!$P99</f>
        <v>4.0164916051832174E-3</v>
      </c>
      <c r="AB97">
        <f>$E97*'Nutrient Content_TFP'!$Q99</f>
        <v>1.6061884680568783</v>
      </c>
      <c r="AC97">
        <f>$E97*'Nutrient Content_TFP'!$R99</f>
        <v>6.5746415500724954E-3</v>
      </c>
      <c r="AD97">
        <f>$E97*'Nutrient Content_TFP'!$S99</f>
        <v>0</v>
      </c>
      <c r="AE97">
        <f>$E97*'Nutrient Content_TFP'!$T99</f>
        <v>1.5142868109377514E-2</v>
      </c>
      <c r="AF97">
        <f>$E97*'Nutrient Content_TFP'!$U99</f>
        <v>2.3428351052142551</v>
      </c>
      <c r="AG97">
        <f>$E97*'Nutrient Content_TFP'!$W99</f>
        <v>9.1654711005455067E-2</v>
      </c>
      <c r="AH97">
        <f>$E97*'Nutrient Content_TFP'!$X99</f>
        <v>1.1844099258628025</v>
      </c>
      <c r="AI97">
        <f>$E97*'Nutrient Content_TFP'!$V99</f>
        <v>21.881105560743585</v>
      </c>
      <c r="AJ97">
        <f>$E97*'Nutrient Content_TFP'!$Y99</f>
        <v>2.7810146009882269E-2</v>
      </c>
      <c r="AK97">
        <f>$E97*'Nutrient Content_TFP'!$AF99</f>
        <v>0</v>
      </c>
      <c r="AL97">
        <f>$E97*'Nutrient Content_TFP'!$AI99</f>
        <v>9.0653598932276938E-2</v>
      </c>
      <c r="AM97">
        <f>$E97*'Nutrient Content_TFP'!$AO99</f>
        <v>0</v>
      </c>
      <c r="AN97">
        <f>$E97*'Nutrient Content_TFP'!$AP99</f>
        <v>0</v>
      </c>
      <c r="AO97">
        <f>$E97*'Nutrient Content_TFP'!$AQ99</f>
        <v>0</v>
      </c>
      <c r="AP97">
        <f>$E97*'Nutrient Content_TFP'!$AZ99</f>
        <v>3.9943871198615836E-3</v>
      </c>
      <c r="AQ97">
        <f>$E97*'Nutrient Content_TFP'!$BA99</f>
        <v>0</v>
      </c>
      <c r="AR97">
        <f>$E97*'Nutrient Content_TFP'!$AG99</f>
        <v>0</v>
      </c>
      <c r="AS97">
        <f>$E97*'Nutrient Content_TFP'!$AJ99</f>
        <v>0</v>
      </c>
      <c r="AT97">
        <f>$E97*'Nutrient Content_TFP'!$AK99</f>
        <v>9.0547545747601862E-2</v>
      </c>
      <c r="AU97">
        <f>$E97*'Nutrient Content_TFP'!$AL99</f>
        <v>0</v>
      </c>
      <c r="AV97">
        <f>$E97*'Nutrient Content_TFP'!$AM99</f>
        <v>0</v>
      </c>
      <c r="AW97">
        <f>$E97*'Nutrient Content_TFP'!AN99</f>
        <v>1.0605318467506654E-4</v>
      </c>
      <c r="AX97">
        <f>$E97*'Nutrient Content_TFP'!AH99</f>
        <v>0</v>
      </c>
      <c r="AY97">
        <f>$E97*'Nutrient Content_TFP'!$AR99</f>
        <v>0</v>
      </c>
      <c r="AZ97">
        <f>$E97*'Nutrient Content_TFP'!$AS99</f>
        <v>0</v>
      </c>
      <c r="BA97">
        <f>$E97*'Nutrient Content_TFP'!$AT99</f>
        <v>0</v>
      </c>
      <c r="BB97">
        <f>$E97*'Nutrient Content_TFP'!$AU99</f>
        <v>0</v>
      </c>
      <c r="BC97">
        <f>$E97*'Nutrient Content_TFP'!$AV99</f>
        <v>0</v>
      </c>
      <c r="BD97">
        <f>$E97*'Nutrient Content_TFP'!$AW99</f>
        <v>0</v>
      </c>
      <c r="BE97">
        <f>$E97*'Nutrient Content_TFP'!$AX99</f>
        <v>0</v>
      </c>
      <c r="BF97">
        <f>$E97*'Nutrient Content_TFP'!$AY99</f>
        <v>0</v>
      </c>
    </row>
    <row r="98" spans="1:58" ht="14.5" x14ac:dyDescent="0.35">
      <c r="A98" s="4">
        <v>95</v>
      </c>
      <c r="B98" t="s">
        <v>210</v>
      </c>
      <c r="C98" s="2">
        <f>'Your Model Diet'!E106</f>
        <v>4.5306844711303711</v>
      </c>
      <c r="D98">
        <f>'Nutrient Content_TFP'!$G100</f>
        <v>49.532885385999997</v>
      </c>
      <c r="E98">
        <f t="shared" si="3"/>
        <v>9.1468212195264645E-2</v>
      </c>
      <c r="F98">
        <f t="shared" si="4"/>
        <v>9.1468212195264638</v>
      </c>
      <c r="G98">
        <f>Cost_TFP!C100</f>
        <v>0.3632339142346</v>
      </c>
      <c r="H98" s="1">
        <f t="shared" si="5"/>
        <v>3.3224356743726952E-2</v>
      </c>
      <c r="I98">
        <f>$E98*'Nutrient Content_TFP'!$Z100</f>
        <v>0.37152383447123932</v>
      </c>
      <c r="J98">
        <f>$E98*'Nutrient Content_TFP'!$AA100</f>
        <v>3.8213456967817718</v>
      </c>
      <c r="K98">
        <f>$E98*'Nutrient Content_TFP'!$AB100</f>
        <v>0.61783645870605197</v>
      </c>
      <c r="L98">
        <f>$E98*'Nutrient Content_TFP'!$AC100</f>
        <v>0.16072305385945004</v>
      </c>
      <c r="M98">
        <f>$E98*'Nutrient Content_TFP'!$AD100</f>
        <v>1.2251028244313867E-2</v>
      </c>
      <c r="N98">
        <f>$E98*'Nutrient Content_TFP'!$AE100</f>
        <v>0.22071314588393842</v>
      </c>
      <c r="O98">
        <f>$E98*'Nutrient Content_TFP'!$C100</f>
        <v>3.0099489407434392</v>
      </c>
      <c r="P98">
        <f>$E98*'Nutrient Content_TFP'!$D100</f>
        <v>0.84130332252105444</v>
      </c>
      <c r="Q98">
        <f>$E98*'Nutrient Content_TFP'!$E100</f>
        <v>7.5413584340174991E-2</v>
      </c>
      <c r="R98">
        <f>$E98*'Nutrient Content_TFP'!$F100</f>
        <v>5.2446700890561885E-3</v>
      </c>
      <c r="S98">
        <f>$E98*'Nutrient Content_TFP'!$H100</f>
        <v>0.25779134445282709</v>
      </c>
      <c r="T98">
        <f>$E98*'Nutrient Content_TFP'!$I100</f>
        <v>0</v>
      </c>
      <c r="U98">
        <f>$E98*'Nutrient Content_TFP'!$J100</f>
        <v>1.5189525711684606</v>
      </c>
      <c r="V98">
        <f>$E98*'Nutrient Content_TFP'!$K100</f>
        <v>3.2937315935104364E-2</v>
      </c>
      <c r="W98">
        <f>$E98*'Nutrient Content_TFP'!$L100</f>
        <v>1.2148616226402289</v>
      </c>
      <c r="X98">
        <f>$E98*'Nutrient Content_TFP'!$M100</f>
        <v>8.9449354975756803E-2</v>
      </c>
      <c r="Y98">
        <f>$E98*'Nutrient Content_TFP'!$N100</f>
        <v>3.2966555513554394</v>
      </c>
      <c r="Z98">
        <f>$E98*'Nutrient Content_TFP'!$O100</f>
        <v>29.325791948807193</v>
      </c>
      <c r="AA98">
        <f>$E98*'Nutrient Content_TFP'!$P100</f>
        <v>5.5321876908636875E-3</v>
      </c>
      <c r="AB98">
        <f>$E98*'Nutrient Content_TFP'!$Q100</f>
        <v>6.9410178825124795</v>
      </c>
      <c r="AC98">
        <f>$E98*'Nutrient Content_TFP'!$R100</f>
        <v>6.2180059551148765E-3</v>
      </c>
      <c r="AD98">
        <f>$E98*'Nutrient Content_TFP'!$S100</f>
        <v>7.3252418351611108E-5</v>
      </c>
      <c r="AE98">
        <f>$E98*'Nutrient Content_TFP'!$T100</f>
        <v>1.4020612989944704E-2</v>
      </c>
      <c r="AF98">
        <f>$E98*'Nutrient Content_TFP'!$U100</f>
        <v>0.63844022185496752</v>
      </c>
      <c r="AG98">
        <f>$E98*'Nutrient Content_TFP'!$W100</f>
        <v>6.747541092346783E-2</v>
      </c>
      <c r="AH98">
        <f>$E98*'Nutrient Content_TFP'!$X100</f>
        <v>1.1110828793845711</v>
      </c>
      <c r="AI98">
        <f>$E98*'Nutrient Content_TFP'!$V100</f>
        <v>76.738613334450847</v>
      </c>
      <c r="AJ98">
        <f>$E98*'Nutrient Content_TFP'!$Y100</f>
        <v>2.2528428132253833E-2</v>
      </c>
      <c r="AK98">
        <f>$E98*'Nutrient Content_TFP'!$AF100</f>
        <v>0</v>
      </c>
      <c r="AL98">
        <f>$E98*'Nutrient Content_TFP'!$AI100</f>
        <v>6.8610576530639691E-2</v>
      </c>
      <c r="AM98">
        <f>$E98*'Nutrient Content_TFP'!$AO100</f>
        <v>0</v>
      </c>
      <c r="AN98">
        <f>$E98*'Nutrient Content_TFP'!$AP100</f>
        <v>0</v>
      </c>
      <c r="AO98">
        <f>$E98*'Nutrient Content_TFP'!$AQ100</f>
        <v>0</v>
      </c>
      <c r="AP98">
        <f>$E98*'Nutrient Content_TFP'!$AZ100</f>
        <v>1.786389406313392E-2</v>
      </c>
      <c r="AQ98">
        <f>$E98*'Nutrient Content_TFP'!$BA100</f>
        <v>0</v>
      </c>
      <c r="AR98">
        <f>$E98*'Nutrient Content_TFP'!$AG100</f>
        <v>0</v>
      </c>
      <c r="AS98">
        <f>$E98*'Nutrient Content_TFP'!$AJ100</f>
        <v>0</v>
      </c>
      <c r="AT98">
        <f>$E98*'Nutrient Content_TFP'!$AK100</f>
        <v>6.8610576530639691E-2</v>
      </c>
      <c r="AU98">
        <f>$E98*'Nutrient Content_TFP'!$AL100</f>
        <v>0</v>
      </c>
      <c r="AV98">
        <f>$E98*'Nutrient Content_TFP'!$AM100</f>
        <v>0</v>
      </c>
      <c r="AW98">
        <f>$E98*'Nutrient Content_TFP'!AN100</f>
        <v>0</v>
      </c>
      <c r="AX98">
        <f>$E98*'Nutrient Content_TFP'!AH100</f>
        <v>0</v>
      </c>
      <c r="AY98">
        <f>$E98*'Nutrient Content_TFP'!$AR100</f>
        <v>0</v>
      </c>
      <c r="AZ98">
        <f>$E98*'Nutrient Content_TFP'!$AS100</f>
        <v>0</v>
      </c>
      <c r="BA98">
        <f>$E98*'Nutrient Content_TFP'!$AT100</f>
        <v>0</v>
      </c>
      <c r="BB98">
        <f>$E98*'Nutrient Content_TFP'!$AU100</f>
        <v>0</v>
      </c>
      <c r="BC98">
        <f>$E98*'Nutrient Content_TFP'!$AV100</f>
        <v>0</v>
      </c>
      <c r="BD98">
        <f>$E98*'Nutrient Content_TFP'!$AW100</f>
        <v>0</v>
      </c>
      <c r="BE98">
        <f>$E98*'Nutrient Content_TFP'!$AX100</f>
        <v>0</v>
      </c>
      <c r="BF98">
        <f>$E98*'Nutrient Content_TFP'!$AY100</f>
        <v>0</v>
      </c>
    </row>
    <row r="99" spans="1:58" ht="14.5" x14ac:dyDescent="0.35">
      <c r="A99" s="4">
        <v>96</v>
      </c>
      <c r="B99" t="s">
        <v>211</v>
      </c>
      <c r="C99" s="2">
        <f>'Your Model Diet'!E107</f>
        <v>5.0170369148254386</v>
      </c>
      <c r="D99">
        <f>'Nutrient Content_TFP'!$G101</f>
        <v>96.25990856</v>
      </c>
      <c r="E99">
        <f t="shared" si="3"/>
        <v>5.2119693337317655E-2</v>
      </c>
      <c r="F99">
        <f t="shared" si="4"/>
        <v>5.2119693337317656</v>
      </c>
      <c r="G99">
        <f>Cost_TFP!C101</f>
        <v>0.30649631325580001</v>
      </c>
      <c r="H99" s="1">
        <f t="shared" si="5"/>
        <v>1.5974493855910744E-2</v>
      </c>
      <c r="I99">
        <f>$E99*'Nutrient Content_TFP'!$Z101</f>
        <v>0.43560858763722932</v>
      </c>
      <c r="J99">
        <f>$E99*'Nutrient Content_TFP'!$AA101</f>
        <v>4.2753400281808416</v>
      </c>
      <c r="K99">
        <f>$E99*'Nutrient Content_TFP'!$AB101</f>
        <v>0.56923105552408315</v>
      </c>
      <c r="L99">
        <f>$E99*'Nutrient Content_TFP'!$AC101</f>
        <v>0.15133404629752642</v>
      </c>
      <c r="M99">
        <f>$E99*'Nutrient Content_TFP'!$AD101</f>
        <v>1.6995026312433315E-2</v>
      </c>
      <c r="N99">
        <f>$E99*'Nutrient Content_TFP'!$AE101</f>
        <v>0.1808601541272386</v>
      </c>
      <c r="O99">
        <f>$E99*'Nutrient Content_TFP'!$C101</f>
        <v>0.3801014135824447</v>
      </c>
      <c r="P99">
        <f>$E99*'Nutrient Content_TFP'!$D101</f>
        <v>0.81064523006987521</v>
      </c>
      <c r="Q99">
        <f>$E99*'Nutrient Content_TFP'!$E101</f>
        <v>4.994408675673833E-2</v>
      </c>
      <c r="R99">
        <f>$E99*'Nutrient Content_TFP'!$F101</f>
        <v>6.5609344785331472E-3</v>
      </c>
      <c r="S99">
        <f>$E99*'Nutrient Content_TFP'!$H101</f>
        <v>9.8052291292497734E-2</v>
      </c>
      <c r="T99">
        <f>$E99*'Nutrient Content_TFP'!$I101</f>
        <v>0</v>
      </c>
      <c r="U99">
        <f>$E99*'Nutrient Content_TFP'!$J101</f>
        <v>1.1659539012598528</v>
      </c>
      <c r="V99">
        <f>$E99*'Nutrient Content_TFP'!$K101</f>
        <v>2.839255327323453E-2</v>
      </c>
      <c r="W99">
        <f>$E99*'Nutrient Content_TFP'!$L101</f>
        <v>1.2016530751688843</v>
      </c>
      <c r="X99">
        <f>$E99*'Nutrient Content_TFP'!$M101</f>
        <v>6.4060776939559638E-2</v>
      </c>
      <c r="Y99">
        <f>$E99*'Nutrient Content_TFP'!$N101</f>
        <v>2.7277011274435119</v>
      </c>
      <c r="Z99">
        <f>$E99*'Nutrient Content_TFP'!$O101</f>
        <v>18.900903382843829</v>
      </c>
      <c r="AA99">
        <f>$E99*'Nutrient Content_TFP'!$P101</f>
        <v>2.5498158466728824E-3</v>
      </c>
      <c r="AB99">
        <f>$E99*'Nutrient Content_TFP'!$Q101</f>
        <v>5.2791699234010654</v>
      </c>
      <c r="AC99">
        <f>$E99*'Nutrient Content_TFP'!$R101</f>
        <v>3.667339021340216E-3</v>
      </c>
      <c r="AD99">
        <f>$E99*'Nutrient Content_TFP'!$S101</f>
        <v>3.3730166425909184E-5</v>
      </c>
      <c r="AE99">
        <f>$E99*'Nutrient Content_TFP'!$T101</f>
        <v>1.1833094088968403E-2</v>
      </c>
      <c r="AF99">
        <f>$E99*'Nutrient Content_TFP'!$U101</f>
        <v>0.45772564875114463</v>
      </c>
      <c r="AG99">
        <f>$E99*'Nutrient Content_TFP'!$W101</f>
        <v>7.1924436184656049E-3</v>
      </c>
      <c r="AH99">
        <f>$E99*'Nutrient Content_TFP'!$X101</f>
        <v>6.8997349019058157E-2</v>
      </c>
      <c r="AI99">
        <f>$E99*'Nutrient Content_TFP'!$V101</f>
        <v>0.41600646866100538</v>
      </c>
      <c r="AJ99">
        <f>$E99*'Nutrient Content_TFP'!$Y101</f>
        <v>1.599565472994376E-2</v>
      </c>
      <c r="AK99">
        <f>$E99*'Nutrient Content_TFP'!$AF101</f>
        <v>0</v>
      </c>
      <c r="AL99">
        <f>$E99*'Nutrient Content_TFP'!$AI101</f>
        <v>3.8418317805069387E-2</v>
      </c>
      <c r="AM99">
        <f>$E99*'Nutrient Content_TFP'!$AO101</f>
        <v>0</v>
      </c>
      <c r="AN99">
        <f>$E99*'Nutrient Content_TFP'!$AP101</f>
        <v>0</v>
      </c>
      <c r="AO99">
        <f>$E99*'Nutrient Content_TFP'!$AQ101</f>
        <v>0</v>
      </c>
      <c r="AP99">
        <f>$E99*'Nutrient Content_TFP'!$AZ101</f>
        <v>2.104625694826593E-2</v>
      </c>
      <c r="AQ99">
        <f>$E99*'Nutrient Content_TFP'!$BA101</f>
        <v>0</v>
      </c>
      <c r="AR99">
        <f>$E99*'Nutrient Content_TFP'!$AG101</f>
        <v>0</v>
      </c>
      <c r="AS99">
        <f>$E99*'Nutrient Content_TFP'!$AJ101</f>
        <v>0</v>
      </c>
      <c r="AT99">
        <f>$E99*'Nutrient Content_TFP'!$AK101</f>
        <v>0</v>
      </c>
      <c r="AU99">
        <f>$E99*'Nutrient Content_TFP'!$AL101</f>
        <v>0</v>
      </c>
      <c r="AV99">
        <f>$E99*'Nutrient Content_TFP'!$AM101</f>
        <v>3.8418317805069387E-2</v>
      </c>
      <c r="AW99">
        <f>$E99*'Nutrient Content_TFP'!AN101</f>
        <v>0</v>
      </c>
      <c r="AX99">
        <f>$E99*'Nutrient Content_TFP'!AH101</f>
        <v>0</v>
      </c>
      <c r="AY99">
        <f>$E99*'Nutrient Content_TFP'!$AR101</f>
        <v>0</v>
      </c>
      <c r="AZ99">
        <f>$E99*'Nutrient Content_TFP'!$AS101</f>
        <v>0</v>
      </c>
      <c r="BA99">
        <f>$E99*'Nutrient Content_TFP'!$AT101</f>
        <v>0</v>
      </c>
      <c r="BB99">
        <f>$E99*'Nutrient Content_TFP'!$AU101</f>
        <v>0</v>
      </c>
      <c r="BC99">
        <f>$E99*'Nutrient Content_TFP'!$AV101</f>
        <v>0</v>
      </c>
      <c r="BD99">
        <f>$E99*'Nutrient Content_TFP'!$AW101</f>
        <v>0</v>
      </c>
      <c r="BE99">
        <f>$E99*'Nutrient Content_TFP'!$AX101</f>
        <v>0</v>
      </c>
      <c r="BF99">
        <f>$E99*'Nutrient Content_TFP'!$AY101</f>
        <v>0</v>
      </c>
    </row>
    <row r="100" spans="1:58" s="17" customFormat="1" thickBot="1" x14ac:dyDescent="0.4">
      <c r="A100" s="17">
        <v>97</v>
      </c>
      <c r="B100" s="17" t="s">
        <v>213</v>
      </c>
      <c r="C100" s="2">
        <f>'Your Model Diet'!E108</f>
        <v>5.5712418556213379</v>
      </c>
      <c r="D100">
        <f>'Nutrient Content_TFP'!$G102</f>
        <v>88.133998750000003</v>
      </c>
      <c r="E100">
        <f t="shared" si="3"/>
        <v>6.3213310806703157E-2</v>
      </c>
      <c r="F100">
        <f t="shared" si="4"/>
        <v>6.3213310806703156</v>
      </c>
      <c r="G100">
        <f>Cost_TFP!C102</f>
        <v>0.47988254519700002</v>
      </c>
      <c r="H100" s="1">
        <f t="shared" si="5"/>
        <v>3.0334964480249738E-2</v>
      </c>
      <c r="I100">
        <f>$E100*'Nutrient Content_TFP'!$Z102</f>
        <v>0.84722365200389405</v>
      </c>
      <c r="J100">
        <f>$E100*'Nutrient Content_TFP'!$AA102</f>
        <v>4.3953926502394403</v>
      </c>
      <c r="K100">
        <f>$E100*'Nutrient Content_TFP'!$AB102</f>
        <v>0.89367142838855906</v>
      </c>
      <c r="L100">
        <f>$E100*'Nutrient Content_TFP'!$AC102</f>
        <v>0.25047170715392103</v>
      </c>
      <c r="M100">
        <f>$E100*'Nutrient Content_TFP'!$AD102</f>
        <v>2.1517462124339411E-2</v>
      </c>
      <c r="N100">
        <f>$E100*'Nutrient Content_TFP'!$AE102</f>
        <v>0.28898220755883353</v>
      </c>
      <c r="O100">
        <f>$E100*'Nutrient Content_TFP'!$C102</f>
        <v>0.6245030192698261</v>
      </c>
      <c r="P100">
        <f>$E100*'Nutrient Content_TFP'!$D102</f>
        <v>1.5614447909318132</v>
      </c>
      <c r="Q100">
        <f>$E100*'Nutrient Content_TFP'!$E102</f>
        <v>8.781183255838601E-2</v>
      </c>
      <c r="R100">
        <f>$E100*'Nutrient Content_TFP'!$F102</f>
        <v>4.938213081314151E-3</v>
      </c>
      <c r="S100">
        <f>$E100*'Nutrient Content_TFP'!$H102</f>
        <v>0.1903591946974979</v>
      </c>
      <c r="T100">
        <f>$E100*'Nutrient Content_TFP'!$I102</f>
        <v>0</v>
      </c>
      <c r="U100">
        <f>$E100*'Nutrient Content_TFP'!$J102</f>
        <v>2.0942820207614212</v>
      </c>
      <c r="V100">
        <f>$E100*'Nutrient Content_TFP'!$K102</f>
        <v>4.5407936904237153E-2</v>
      </c>
      <c r="W100">
        <f>$E100*'Nutrient Content_TFP'!$L102</f>
        <v>1.5508817930279122</v>
      </c>
      <c r="X100">
        <f>$E100*'Nutrient Content_TFP'!$M102</f>
        <v>8.3451214770248597E-2</v>
      </c>
      <c r="Y100">
        <f>$E100*'Nutrient Content_TFP'!$N102</f>
        <v>4.5858116831752964</v>
      </c>
      <c r="Z100">
        <f>$E100*'Nutrient Content_TFP'!$O102</f>
        <v>12.691555702694046</v>
      </c>
      <c r="AA100">
        <f>$E100*'Nutrient Content_TFP'!$P102</f>
        <v>3.9250955109103496E-3</v>
      </c>
      <c r="AB100">
        <f>$E100*'Nutrient Content_TFP'!$Q102</f>
        <v>6.2209978890069353</v>
      </c>
      <c r="AC100">
        <f>$E100*'Nutrient Content_TFP'!$R102</f>
        <v>5.9325256020246351E-3</v>
      </c>
      <c r="AD100">
        <f>$E100*'Nutrient Content_TFP'!$S102</f>
        <v>1.524741720377948E-5</v>
      </c>
      <c r="AE100">
        <f>$E100*'Nutrient Content_TFP'!$T102</f>
        <v>7.8654380218166273E-3</v>
      </c>
      <c r="AF100">
        <f>$E100*'Nutrient Content_TFP'!$U102</f>
        <v>0.34908668624822892</v>
      </c>
      <c r="AG100">
        <f>$E100*'Nutrient Content_TFP'!$W102</f>
        <v>1.489858554720877E-2</v>
      </c>
      <c r="AH100">
        <f>$E100*'Nutrient Content_TFP'!$X102</f>
        <v>0.60283129638828825</v>
      </c>
      <c r="AI100">
        <f>$E100*'Nutrient Content_TFP'!$V102</f>
        <v>2.07010177086751</v>
      </c>
      <c r="AJ100">
        <f>$E100*'Nutrient Content_TFP'!$Y102</f>
        <v>3.6429703693652407E-2</v>
      </c>
      <c r="AK100">
        <f>$E100*'Nutrient Content_TFP'!$AF102</f>
        <v>0</v>
      </c>
      <c r="AL100">
        <f>$E100*'Nutrient Content_TFP'!$AI102</f>
        <v>3.9237672506990201E-2</v>
      </c>
      <c r="AM100">
        <f>$E100*'Nutrient Content_TFP'!$AO102</f>
        <v>0</v>
      </c>
      <c r="AN100">
        <f>$E100*'Nutrient Content_TFP'!$AP102</f>
        <v>0</v>
      </c>
      <c r="AO100">
        <f>$E100*'Nutrient Content_TFP'!$AQ102</f>
        <v>0</v>
      </c>
      <c r="AP100">
        <f>$E100*'Nutrient Content_TFP'!$AZ102</f>
        <v>8.4652647220936714E-3</v>
      </c>
      <c r="AQ100">
        <f>$E100*'Nutrient Content_TFP'!$BA102</f>
        <v>0</v>
      </c>
      <c r="AR100">
        <f>$E100*'Nutrient Content_TFP'!$AG102</f>
        <v>0</v>
      </c>
      <c r="AS100">
        <f>$E100*'Nutrient Content_TFP'!$AJ102</f>
        <v>0</v>
      </c>
      <c r="AT100">
        <f>$E100*'Nutrient Content_TFP'!$AK102</f>
        <v>0</v>
      </c>
      <c r="AU100">
        <f>$E100*'Nutrient Content_TFP'!$AL102</f>
        <v>0</v>
      </c>
      <c r="AV100">
        <f>$E100*'Nutrient Content_TFP'!$AM102</f>
        <v>3.9237672506990201E-2</v>
      </c>
      <c r="AW100">
        <f>$E100*'Nutrient Content_TFP'!AN102</f>
        <v>0</v>
      </c>
      <c r="AX100">
        <f>$E100*'Nutrient Content_TFP'!AH102</f>
        <v>0</v>
      </c>
      <c r="AY100">
        <f>$E100*'Nutrient Content_TFP'!$AR102</f>
        <v>0</v>
      </c>
      <c r="AZ100">
        <f>$E100*'Nutrient Content_TFP'!$AS102</f>
        <v>0</v>
      </c>
      <c r="BA100">
        <f>$E100*'Nutrient Content_TFP'!$AT102</f>
        <v>0</v>
      </c>
      <c r="BB100">
        <f>$E100*'Nutrient Content_TFP'!$AU102</f>
        <v>0</v>
      </c>
      <c r="BC100">
        <f>$E100*'Nutrient Content_TFP'!$AV102</f>
        <v>0</v>
      </c>
      <c r="BD100">
        <f>$E100*'Nutrient Content_TFP'!$AW102</f>
        <v>0</v>
      </c>
      <c r="BE100">
        <f>$E100*'Nutrient Content_TFP'!$AX102</f>
        <v>0</v>
      </c>
      <c r="BF100">
        <f>$E100*'Nutrient Content_TFP'!$AY102</f>
        <v>0</v>
      </c>
    </row>
    <row r="101" spans="1:58" s="39" customFormat="1" thickBot="1" x14ac:dyDescent="0.4">
      <c r="B101" s="40" t="s">
        <v>558</v>
      </c>
      <c r="C101" s="40">
        <f>SUM(C4:C100)</f>
        <v>1206.1389133632183</v>
      </c>
      <c r="E101" s="39">
        <f>SUM(E4:E100)</f>
        <v>10.179597015800276</v>
      </c>
      <c r="F101" s="39">
        <f>SUM(F4:F100)</f>
        <v>1017.9597015800284</v>
      </c>
      <c r="H101" s="40">
        <f t="shared" ref="H101:AW101" si="6">SUM(H4:H100)</f>
        <v>4.7903676451172528</v>
      </c>
      <c r="I101" s="39">
        <f t="shared" si="6"/>
        <v>183.56862135234468</v>
      </c>
      <c r="J101" s="39">
        <f t="shared" si="6"/>
        <v>578.99950498357771</v>
      </c>
      <c r="K101" s="39">
        <f t="shared" si="6"/>
        <v>465.50791542522342</v>
      </c>
      <c r="L101" s="39">
        <f>SUM(L4:L100)</f>
        <v>100.74962926168989</v>
      </c>
      <c r="M101" s="39">
        <f>SUM(M4:M100)</f>
        <v>9.98601804468354</v>
      </c>
      <c r="N101" s="39">
        <f t="shared" si="6"/>
        <v>142.92148258418354</v>
      </c>
      <c r="O101" s="39">
        <f t="shared" si="6"/>
        <v>532.96972701603374</v>
      </c>
      <c r="P101" s="39">
        <f>SUM(P4:P100)</f>
        <v>202.75905721710453</v>
      </c>
      <c r="Q101" s="39">
        <f t="shared" si="6"/>
        <v>183.63574973088114</v>
      </c>
      <c r="R101" s="39">
        <f t="shared" si="6"/>
        <v>0.69809365067565943</v>
      </c>
      <c r="S101" s="39">
        <f t="shared" si="6"/>
        <v>11.639949057897201</v>
      </c>
      <c r="T101" s="39">
        <f t="shared" si="6"/>
        <v>94.606003377769895</v>
      </c>
      <c r="U101" s="39">
        <f>SUM(U4:U100)</f>
        <v>319.24815415342897</v>
      </c>
      <c r="V101" s="39">
        <f t="shared" si="6"/>
        <v>8.5008056914307648</v>
      </c>
      <c r="W101" s="39">
        <f t="shared" si="6"/>
        <v>173.81470300037313</v>
      </c>
      <c r="X101" s="39">
        <f t="shared" si="6"/>
        <v>14.424296499800468</v>
      </c>
      <c r="Y101" s="39">
        <f t="shared" si="6"/>
        <v>803.89113195325717</v>
      </c>
      <c r="Z101" s="39">
        <f t="shared" si="6"/>
        <v>1653.3459308214483</v>
      </c>
      <c r="AA101" s="39">
        <f t="shared" si="6"/>
        <v>1.1859694317196636</v>
      </c>
      <c r="AB101" s="39">
        <f t="shared" si="6"/>
        <v>1746.4071272392785</v>
      </c>
      <c r="AC101" s="39">
        <f t="shared" si="6"/>
        <v>0.90437644188440569</v>
      </c>
      <c r="AD101" s="39">
        <f t="shared" si="6"/>
        <v>2.9236988368724401</v>
      </c>
      <c r="AE101" s="39">
        <f t="shared" si="6"/>
        <v>1.3230245375856373</v>
      </c>
      <c r="AF101" s="39">
        <f t="shared" si="6"/>
        <v>65.916564711893926</v>
      </c>
      <c r="AG101" s="39">
        <f>SUM(AG4:AG100)</f>
        <v>7.0976604394674876</v>
      </c>
      <c r="AH101" s="39">
        <f>SUM(AH4:AH100)</f>
        <v>109.78255854042591</v>
      </c>
      <c r="AI101" s="39">
        <f t="shared" si="6"/>
        <v>480.32456695189512</v>
      </c>
      <c r="AJ101" s="39">
        <f t="shared" si="6"/>
        <v>6.102249213288645</v>
      </c>
      <c r="AK101" s="39">
        <f t="shared" si="6"/>
        <v>3.3191093855975566</v>
      </c>
      <c r="AL101" s="39">
        <f t="shared" si="6"/>
        <v>1.3534104476209401</v>
      </c>
      <c r="AM101" s="39">
        <f t="shared" si="6"/>
        <v>0.7078390494584117</v>
      </c>
      <c r="AN101" s="39">
        <f t="shared" si="6"/>
        <v>0.802402906873803</v>
      </c>
      <c r="AO101" s="39">
        <f t="shared" si="6"/>
        <v>3.7958785702496844</v>
      </c>
      <c r="AP101" s="39">
        <f t="shared" si="6"/>
        <v>20.080978056878475</v>
      </c>
      <c r="AQ101" s="39">
        <f t="shared" si="6"/>
        <v>157.8031928018375</v>
      </c>
      <c r="AR101" s="39">
        <f t="shared" si="6"/>
        <v>0.50331844947451454</v>
      </c>
      <c r="AS101" s="39">
        <f t="shared" si="6"/>
        <v>0.23829669730655462</v>
      </c>
      <c r="AT101" s="39">
        <f t="shared" si="6"/>
        <v>0.26847642651442943</v>
      </c>
      <c r="AU101" s="39">
        <f t="shared" si="6"/>
        <v>0.10443679017238387</v>
      </c>
      <c r="AV101" s="39">
        <f t="shared" si="6"/>
        <v>0.36995651414205621</v>
      </c>
      <c r="AW101" s="39">
        <f t="shared" si="6"/>
        <v>0.37224401952369357</v>
      </c>
      <c r="AX101" s="39">
        <f t="shared" ref="AX101:BF101" si="7">SUM(AX4:AX100)</f>
        <v>2.8157909365143552</v>
      </c>
      <c r="AY101" s="39">
        <f t="shared" si="7"/>
        <v>0.60667323220673786</v>
      </c>
      <c r="AZ101" s="39">
        <f t="shared" si="7"/>
        <v>0.69936456619466514</v>
      </c>
      <c r="BA101" s="39">
        <f t="shared" si="7"/>
        <v>0.44457161965431713</v>
      </c>
      <c r="BB101" s="39">
        <f t="shared" si="7"/>
        <v>0.10701718967700223</v>
      </c>
      <c r="BC101" s="39">
        <f t="shared" si="7"/>
        <v>0.66199682042478403</v>
      </c>
      <c r="BD101" s="39">
        <f t="shared" si="7"/>
        <v>2.3287726661604577</v>
      </c>
      <c r="BE101" s="39">
        <f t="shared" si="7"/>
        <v>0.69809189435036467</v>
      </c>
      <c r="BF101" s="39">
        <f t="shared" si="7"/>
        <v>0.76901400997874392</v>
      </c>
    </row>
    <row r="102" spans="1:58" ht="14.5" x14ac:dyDescent="0.35">
      <c r="B102" s="1"/>
      <c r="H102" s="9"/>
    </row>
    <row r="103" spans="1:58" ht="14.5" x14ac:dyDescent="0.35">
      <c r="B103" s="1"/>
      <c r="P103" s="2"/>
    </row>
    <row r="104" spans="1:58" ht="14.5" x14ac:dyDescent="0.35">
      <c r="B104" s="1" t="s">
        <v>559</v>
      </c>
      <c r="P104" s="2"/>
    </row>
    <row r="105" spans="1:58" ht="14.5" x14ac:dyDescent="0.35">
      <c r="B105" s="1" t="s">
        <v>560</v>
      </c>
      <c r="I105">
        <f>VLOOKUP(Output!$B$6,'TFP Lower Nutr Constraints'!$A$22:$G$27,7,FALSE)</f>
        <v>10</v>
      </c>
      <c r="J105">
        <f>VLOOKUP(Output!$B$6,'TFP Lower Nutr Constraints'!$A$22:$G$27,6,FALSE)</f>
        <v>45</v>
      </c>
      <c r="K105">
        <f>VLOOKUP(Output!$B$6,'TFP Lower Nutr Constraints'!$A$22:$G$27,2,FALSE)</f>
        <v>20</v>
      </c>
      <c r="L105">
        <f>VLOOKUP(Output!$B$6,'TFP Lower Nutr Constraints'!$A$22:$G$27,4,FALSE)</f>
        <v>5</v>
      </c>
      <c r="M105">
        <f>VLOOKUP(Output!$B$6,'TFP Lower Nutr Constraints'!$A$22:$G$27,5,FALSE)</f>
        <v>0.6</v>
      </c>
      <c r="N105">
        <f>VLOOKUP(Output!$B$6,'TFP Lower Nutr Constraints'!$A$22:$G$27,3,FALSE)</f>
        <v>0</v>
      </c>
    </row>
    <row r="106" spans="1:58" ht="14.5" x14ac:dyDescent="0.35">
      <c r="B106" s="1" t="s">
        <v>561</v>
      </c>
      <c r="I106">
        <f>VLOOKUP(Output!$B$6,'TFP Lower Nutr Constraints'!$A$22:$M$27,13,FALSE)</f>
        <v>35</v>
      </c>
      <c r="J106">
        <f>VLOOKUP(Output!$B$6,'TFP Lower Nutr Constraints'!$A$22:$M$27,12,FALSE)</f>
        <v>65</v>
      </c>
      <c r="K106">
        <f>VLOOKUP(Output!$B$6,'TFP Lower Nutr Constraints'!$A$22:$M$27,8,FALSE)</f>
        <v>35</v>
      </c>
      <c r="L106">
        <f>VLOOKUP(Output!$B$6,'TFP Lower Nutr Constraints'!$A$22:$M$27,10,FALSE)</f>
        <v>10</v>
      </c>
      <c r="M106">
        <f>VLOOKUP(Output!$B$6,'TFP Lower Nutr Constraints'!$A$22:$M$27,11,FALSE)</f>
        <v>1.2</v>
      </c>
      <c r="N106">
        <f>VLOOKUP(Output!$B$6,'TFP Lower Nutr Constraints'!$A$22:$M$27,9,FALSE)</f>
        <v>10</v>
      </c>
      <c r="AX106" s="1"/>
    </row>
    <row r="107" spans="1:58" ht="14.5" x14ac:dyDescent="0.35">
      <c r="B107" s="1" t="s">
        <v>562</v>
      </c>
      <c r="I107" s="1" t="str">
        <f>IF(AND(Output!D47&gt;=Calculation_TFP!I105,Output!D47&lt;=Calculation_TFP!I106),"Yes", "No")</f>
        <v>Yes</v>
      </c>
      <c r="J107" s="1" t="str">
        <f>IF(AND(Output!D46&gt;=Calculation_TFP!J105,Output!D46&lt;=Calculation_TFP!J106),"Yes", "No")</f>
        <v>Yes</v>
      </c>
      <c r="K107" s="1" t="str">
        <f>IF(AND(Output!D42&gt;=Calculation_TFP!K105,Output!D42&lt;=Calculation_TFP!K106),"Yes", "No")</f>
        <v>No</v>
      </c>
      <c r="L107" s="1" t="str">
        <f>IF(AND(Output!D44&gt;=Calculation_TFP!L105,Output!D44&lt;=Calculation_TFP!L106),"Yes", "No")</f>
        <v>Yes</v>
      </c>
      <c r="M107" s="1" t="str">
        <f>IF(AND(Output!D45&gt;=Calculation_TFP!M105,Output!D45&lt;=Calculation_TFP!M106),"Yes", "No")</f>
        <v>Yes</v>
      </c>
      <c r="N107" s="1" t="str">
        <f>IF(AND(Output!D43&gt;=Calculation_TFP!N105,Output!D43&lt;=Calculation_TFP!N106),"Yes", "No")</f>
        <v>No</v>
      </c>
      <c r="AX107" s="1"/>
    </row>
    <row r="108" spans="1:58" ht="14.5" x14ac:dyDescent="0.35">
      <c r="B108" s="1"/>
      <c r="I108" s="77"/>
      <c r="J108" s="78"/>
      <c r="K108" s="78"/>
      <c r="L108" s="78"/>
      <c r="M108" s="78"/>
      <c r="N108" s="78"/>
      <c r="AX108" s="1"/>
    </row>
    <row r="109" spans="1:58" ht="14.5" x14ac:dyDescent="0.35">
      <c r="B109" s="1"/>
      <c r="I109" s="1"/>
      <c r="AX109" s="1"/>
    </row>
    <row r="110" spans="1:58" ht="14.5" x14ac:dyDescent="0.35">
      <c r="B110" s="1"/>
      <c r="AX110" s="1"/>
    </row>
    <row r="111" spans="1:58" ht="14.5" x14ac:dyDescent="0.35">
      <c r="B111" s="1"/>
    </row>
    <row r="112" spans="1:58" ht="14.5" x14ac:dyDescent="0.35">
      <c r="B112" s="1"/>
      <c r="I112" s="1"/>
    </row>
    <row r="113" spans="2:44" ht="14.5" x14ac:dyDescent="0.35">
      <c r="B113" s="1"/>
      <c r="AR113" s="1"/>
    </row>
  </sheetData>
  <sheetProtection sheet="1" objects="1" scenarios="1"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7F733-6DEA-425E-9CFD-F13E7CC557CE}">
  <sheetPr>
    <tabColor theme="0"/>
  </sheetPr>
  <dimension ref="A1:S103"/>
  <sheetViews>
    <sheetView topLeftCell="C1" workbookViewId="0">
      <selection activeCell="J9" sqref="J9"/>
    </sheetView>
  </sheetViews>
  <sheetFormatPr defaultRowHeight="14.5" x14ac:dyDescent="0.35"/>
  <cols>
    <col min="2" max="12" width="16.7265625" customWidth="1"/>
  </cols>
  <sheetData>
    <row r="1" spans="1:19" ht="15" thickBot="1" x14ac:dyDescent="0.4">
      <c r="A1" s="1"/>
      <c r="B1" s="9"/>
      <c r="C1" s="4"/>
      <c r="D1" s="4"/>
      <c r="E1" s="4"/>
      <c r="F1" s="4"/>
      <c r="G1" s="1"/>
    </row>
    <row r="2" spans="1:19" x14ac:dyDescent="0.35">
      <c r="A2" s="9"/>
      <c r="B2" s="179" t="s">
        <v>563</v>
      </c>
      <c r="C2" s="180"/>
      <c r="D2" s="180"/>
      <c r="E2" s="180"/>
      <c r="F2" s="180"/>
      <c r="G2" s="179" t="s">
        <v>564</v>
      </c>
      <c r="H2" s="180"/>
      <c r="I2" s="180"/>
      <c r="J2" s="180"/>
      <c r="K2" s="180"/>
      <c r="L2" s="181"/>
    </row>
    <row r="3" spans="1:19" x14ac:dyDescent="0.35">
      <c r="A3" s="4"/>
      <c r="B3" s="176" t="s">
        <v>565</v>
      </c>
      <c r="C3" s="177"/>
      <c r="D3" s="177"/>
      <c r="E3" s="177"/>
      <c r="F3" s="177"/>
      <c r="G3" s="176" t="s">
        <v>566</v>
      </c>
      <c r="H3" s="177"/>
      <c r="I3" s="177"/>
      <c r="J3" s="177"/>
      <c r="K3" s="177"/>
      <c r="L3" s="178"/>
    </row>
    <row r="4" spans="1:19" ht="29" x14ac:dyDescent="0.35">
      <c r="A4" s="4"/>
      <c r="B4" s="76" t="s">
        <v>502</v>
      </c>
      <c r="C4" s="65" t="s">
        <v>567</v>
      </c>
      <c r="D4" s="65" t="s">
        <v>567</v>
      </c>
      <c r="E4" s="65" t="s">
        <v>567</v>
      </c>
      <c r="F4" s="65" t="s">
        <v>567</v>
      </c>
      <c r="G4" s="103"/>
      <c r="H4" s="104"/>
      <c r="I4" s="104"/>
      <c r="J4" s="104"/>
      <c r="K4" s="50" t="s">
        <v>568</v>
      </c>
      <c r="L4" s="105"/>
      <c r="N4" s="4"/>
      <c r="O4" s="4"/>
      <c r="P4" s="4"/>
      <c r="Q4" s="4"/>
      <c r="R4" s="4"/>
    </row>
    <row r="5" spans="1:19" ht="29" x14ac:dyDescent="0.35">
      <c r="A5" s="55" t="s">
        <v>500</v>
      </c>
      <c r="B5" s="95" t="s">
        <v>65</v>
      </c>
      <c r="C5" s="67" t="s">
        <v>67</v>
      </c>
      <c r="D5" s="68" t="s">
        <v>24</v>
      </c>
      <c r="E5" s="67" t="s">
        <v>72</v>
      </c>
      <c r="F5" s="67" t="s">
        <v>75</v>
      </c>
      <c r="G5" s="76" t="s">
        <v>567</v>
      </c>
      <c r="H5" s="65" t="s">
        <v>569</v>
      </c>
      <c r="I5" s="65" t="s">
        <v>570</v>
      </c>
      <c r="J5" s="65" t="s">
        <v>571</v>
      </c>
      <c r="K5" s="65" t="s">
        <v>572</v>
      </c>
      <c r="L5" s="66" t="s">
        <v>573</v>
      </c>
      <c r="M5" s="4"/>
      <c r="N5" s="50"/>
      <c r="O5" s="50"/>
      <c r="P5" s="50"/>
      <c r="Q5" s="50"/>
      <c r="R5" s="50"/>
      <c r="S5" s="4"/>
    </row>
    <row r="6" spans="1:19" x14ac:dyDescent="0.35">
      <c r="A6" s="4">
        <v>1</v>
      </c>
      <c r="B6" s="58">
        <v>8.7970638275146484</v>
      </c>
      <c r="C6" s="16">
        <v>12.761734962463381</v>
      </c>
      <c r="D6" s="4">
        <v>19.799135208129879</v>
      </c>
      <c r="E6" s="16">
        <v>22.107650756835941</v>
      </c>
      <c r="F6" s="4">
        <v>63.465584754943848</v>
      </c>
      <c r="G6" s="71">
        <f>'Your Model Diet'!$L12</f>
        <v>19.799135208129879</v>
      </c>
      <c r="H6" s="4">
        <f>'Nutrient Content_TFP'!$G6</f>
        <v>157.30952464999999</v>
      </c>
      <c r="I6" s="53">
        <f>$G6/$H6</f>
        <v>0.12586100715885598</v>
      </c>
      <c r="J6" s="53">
        <f>$I6*100</f>
        <v>12.586100715885598</v>
      </c>
      <c r="K6" s="4">
        <f>Calculation_TFP!$G4</f>
        <v>0.32140266920959998</v>
      </c>
      <c r="L6" s="61">
        <f>$I6*$K6</f>
        <v>4.0452063650264887E-2</v>
      </c>
      <c r="N6" s="4"/>
      <c r="O6" s="4"/>
      <c r="P6" s="4"/>
      <c r="Q6" s="4"/>
      <c r="R6" s="4"/>
    </row>
    <row r="7" spans="1:19" x14ac:dyDescent="0.35">
      <c r="A7" s="4">
        <v>2</v>
      </c>
      <c r="B7" s="58">
        <v>2.7937941551208501</v>
      </c>
      <c r="C7" s="16">
        <v>4.5930314064025879</v>
      </c>
      <c r="D7" s="4">
        <v>13.049125671386721</v>
      </c>
      <c r="E7" s="16">
        <v>13.688698768615721</v>
      </c>
      <c r="F7" s="4">
        <v>34.124650001525879</v>
      </c>
      <c r="G7" s="71">
        <f>'Your Model Diet'!$L13</f>
        <v>13.049125671386721</v>
      </c>
      <c r="H7" s="4">
        <f>'Nutrient Content_TFP'!$G7</f>
        <v>34.202256450999997</v>
      </c>
      <c r="I7" s="53">
        <f t="shared" ref="I7:I70" si="0">$G7/$H7</f>
        <v>0.38152820969814094</v>
      </c>
      <c r="J7" s="53">
        <f t="shared" ref="J7:J70" si="1">$I7*100</f>
        <v>38.152820969814094</v>
      </c>
      <c r="K7" s="4">
        <f>Calculation_TFP!$G5</f>
        <v>0.13168759030639998</v>
      </c>
      <c r="L7" s="61">
        <f t="shared" ref="L7:L70" si="2">$I7*$K7</f>
        <v>5.0242530569063047E-2</v>
      </c>
    </row>
    <row r="8" spans="1:19" x14ac:dyDescent="0.35">
      <c r="A8" s="4">
        <v>3</v>
      </c>
      <c r="B8" s="58">
        <v>2.9983749613165859E-2</v>
      </c>
      <c r="C8" s="16">
        <v>0.1127119064331055</v>
      </c>
      <c r="D8" s="4">
        <v>1.407788991928101</v>
      </c>
      <c r="E8" s="16">
        <v>1.570414066314697</v>
      </c>
      <c r="F8" s="4">
        <v>3.1208987142890692</v>
      </c>
      <c r="G8" s="71">
        <f>'Your Model Diet'!$L14</f>
        <v>1.407788991928101</v>
      </c>
      <c r="H8" s="4">
        <f>'Nutrient Content_TFP'!$G8</f>
        <v>1.1593526827</v>
      </c>
      <c r="I8" s="53">
        <f t="shared" si="0"/>
        <v>1.2142888121408588</v>
      </c>
      <c r="J8" s="53">
        <f t="shared" si="1"/>
        <v>121.42888121408588</v>
      </c>
      <c r="K8" s="4">
        <f>Calculation_TFP!$G6</f>
        <v>5.4746853334599999E-2</v>
      </c>
      <c r="L8" s="61">
        <f t="shared" si="2"/>
        <v>6.6478491504121245E-2</v>
      </c>
    </row>
    <row r="9" spans="1:19" x14ac:dyDescent="0.35">
      <c r="A9" s="4">
        <v>4</v>
      </c>
      <c r="B9" s="58">
        <v>0</v>
      </c>
      <c r="C9" s="16">
        <v>0</v>
      </c>
      <c r="D9" s="4">
        <v>0</v>
      </c>
      <c r="E9" s="16">
        <v>0</v>
      </c>
      <c r="F9" s="4">
        <v>0</v>
      </c>
      <c r="G9" s="71">
        <f>'Your Model Diet'!$L15</f>
        <v>0</v>
      </c>
      <c r="H9" s="4">
        <f>'Nutrient Content_TFP'!$G9</f>
        <v>1.6578389487</v>
      </c>
      <c r="I9" s="53">
        <f t="shared" si="0"/>
        <v>0</v>
      </c>
      <c r="J9" s="53">
        <f t="shared" si="1"/>
        <v>0</v>
      </c>
      <c r="K9" s="4">
        <f>Calculation_TFP!$G7</f>
        <v>0.1007799649314</v>
      </c>
      <c r="L9" s="61">
        <f t="shared" si="2"/>
        <v>0</v>
      </c>
    </row>
    <row r="10" spans="1:19" x14ac:dyDescent="0.35">
      <c r="A10" s="4">
        <v>5</v>
      </c>
      <c r="B10" s="58">
        <v>0.22560662031173709</v>
      </c>
      <c r="C10" s="16">
        <v>1.4463472180068491E-3</v>
      </c>
      <c r="D10" s="4">
        <v>0.19421657919883731</v>
      </c>
      <c r="E10" s="16">
        <v>0.19417485594749451</v>
      </c>
      <c r="F10" s="4">
        <v>0.6154444026760757</v>
      </c>
      <c r="G10" s="71">
        <f>'Your Model Diet'!$L16</f>
        <v>0.19421657919883731</v>
      </c>
      <c r="H10" s="4">
        <f>'Nutrient Content_TFP'!$G10</f>
        <v>20.104912886000001</v>
      </c>
      <c r="I10" s="53">
        <f t="shared" si="0"/>
        <v>9.6601552217656945E-3</v>
      </c>
      <c r="J10" s="53">
        <f t="shared" si="1"/>
        <v>0.9660155221765695</v>
      </c>
      <c r="K10" s="4">
        <f>Calculation_TFP!$G8</f>
        <v>0.219735134064</v>
      </c>
      <c r="L10" s="61">
        <f t="shared" si="2"/>
        <v>2.1226755027337345E-3</v>
      </c>
    </row>
    <row r="11" spans="1:19" x14ac:dyDescent="0.35">
      <c r="A11" s="4">
        <v>6</v>
      </c>
      <c r="B11" s="58">
        <v>13.134201049804689</v>
      </c>
      <c r="C11" s="16">
        <v>14.49403190612793</v>
      </c>
      <c r="D11" s="4">
        <v>6.281407356262207</v>
      </c>
      <c r="E11" s="16">
        <v>7.513941764831543</v>
      </c>
      <c r="F11" s="4">
        <v>41.423582077026367</v>
      </c>
      <c r="G11" s="71">
        <f>'Your Model Diet'!$L17</f>
        <v>6.281407356262207</v>
      </c>
      <c r="H11" s="4">
        <f>'Nutrient Content_TFP'!$G11</f>
        <v>35.812749676999999</v>
      </c>
      <c r="I11" s="53">
        <f t="shared" si="0"/>
        <v>0.17539584122735796</v>
      </c>
      <c r="J11" s="53">
        <f t="shared" si="1"/>
        <v>17.539584122735796</v>
      </c>
      <c r="K11" s="4">
        <f>Calculation_TFP!$G9</f>
        <v>0.1098630292734</v>
      </c>
      <c r="L11" s="61">
        <f t="shared" si="2"/>
        <v>1.9269518439193847E-2</v>
      </c>
    </row>
    <row r="12" spans="1:19" x14ac:dyDescent="0.35">
      <c r="A12" s="4">
        <v>7</v>
      </c>
      <c r="B12" s="58">
        <v>8.5809974670410156</v>
      </c>
      <c r="C12" s="16">
        <v>14.735921859741209</v>
      </c>
      <c r="D12" s="4">
        <v>36.960758209228523</v>
      </c>
      <c r="E12" s="16">
        <v>31.592414855957031</v>
      </c>
      <c r="F12" s="4">
        <v>91.870092391967773</v>
      </c>
      <c r="G12" s="71">
        <f>'Your Model Diet'!$L18</f>
        <v>36.960758209228523</v>
      </c>
      <c r="H12" s="4">
        <f>'Nutrient Content_TFP'!$G12</f>
        <v>65.028251931</v>
      </c>
      <c r="I12" s="53">
        <f t="shared" si="0"/>
        <v>0.5683800057926629</v>
      </c>
      <c r="J12" s="53">
        <f t="shared" si="1"/>
        <v>56.838000579266293</v>
      </c>
      <c r="K12" s="4">
        <f>Calculation_TFP!$G10</f>
        <v>0.37237198850520004</v>
      </c>
      <c r="L12" s="61">
        <f t="shared" si="2"/>
        <v>0.211648792983611</v>
      </c>
    </row>
    <row r="13" spans="1:19" x14ac:dyDescent="0.35">
      <c r="A13" s="4">
        <v>8</v>
      </c>
      <c r="B13" s="58">
        <v>19.82706260681152</v>
      </c>
      <c r="C13" s="16">
        <v>29.788801193237301</v>
      </c>
      <c r="D13" s="4">
        <v>40.154331207275391</v>
      </c>
      <c r="E13" s="16">
        <v>66.823692321777344</v>
      </c>
      <c r="F13" s="4">
        <v>156.59388732910156</v>
      </c>
      <c r="G13" s="71">
        <f>'Your Model Diet'!$L19</f>
        <v>40.154331207275391</v>
      </c>
      <c r="H13" s="4">
        <f>'Nutrient Content_TFP'!$G13</f>
        <v>39.564153843</v>
      </c>
      <c r="I13" s="53">
        <f t="shared" si="0"/>
        <v>1.0149169717269162</v>
      </c>
      <c r="J13" s="53">
        <f t="shared" si="1"/>
        <v>101.49169717269162</v>
      </c>
      <c r="K13" s="4">
        <f>Calculation_TFP!$G11</f>
        <v>0.1395130797452</v>
      </c>
      <c r="L13" s="61">
        <f t="shared" si="2"/>
        <v>0.14159419241129415</v>
      </c>
    </row>
    <row r="14" spans="1:19" x14ac:dyDescent="0.35">
      <c r="A14" s="4">
        <v>9</v>
      </c>
      <c r="B14" s="58">
        <v>58.281612396240227</v>
      </c>
      <c r="C14" s="16">
        <v>52.812946319580078</v>
      </c>
      <c r="D14" s="4">
        <v>26.988901138305661</v>
      </c>
      <c r="E14" s="16">
        <v>24.360507965087891</v>
      </c>
      <c r="F14" s="4">
        <v>162.44396781921387</v>
      </c>
      <c r="G14" s="71">
        <f>'Your Model Diet'!$L20</f>
        <v>26.988901138305661</v>
      </c>
      <c r="H14" s="4">
        <f>'Nutrient Content_TFP'!$G14</f>
        <v>301.38697301000002</v>
      </c>
      <c r="I14" s="53">
        <f t="shared" si="0"/>
        <v>8.9548996988035603E-2</v>
      </c>
      <c r="J14" s="53">
        <f t="shared" si="1"/>
        <v>8.9548996988035601</v>
      </c>
      <c r="K14" s="4">
        <f>Calculation_TFP!$G12</f>
        <v>0.73324832925859995</v>
      </c>
      <c r="L14" s="61">
        <f t="shared" si="2"/>
        <v>6.5661652428260511E-2</v>
      </c>
    </row>
    <row r="15" spans="1:19" x14ac:dyDescent="0.35">
      <c r="A15" s="4">
        <v>10</v>
      </c>
      <c r="B15" s="58">
        <v>2.5356242656707759</v>
      </c>
      <c r="C15" s="16">
        <v>4.4821114540100098</v>
      </c>
      <c r="D15" s="4">
        <v>6.8205256462097168</v>
      </c>
      <c r="E15" s="16">
        <v>4.9341421127319336</v>
      </c>
      <c r="F15" s="4">
        <v>18.772403478622437</v>
      </c>
      <c r="G15" s="71">
        <f>'Your Model Diet'!$L21</f>
        <v>6.8205256462097168</v>
      </c>
      <c r="H15" s="4">
        <f>'Nutrient Content_TFP'!$G15</f>
        <v>171.28659228000001</v>
      </c>
      <c r="I15" s="53">
        <f t="shared" si="0"/>
        <v>3.9819378478032248E-2</v>
      </c>
      <c r="J15" s="53">
        <f t="shared" si="1"/>
        <v>3.9819378478032248</v>
      </c>
      <c r="K15" s="4">
        <f>Calculation_TFP!$G13</f>
        <v>1.0630710616482</v>
      </c>
      <c r="L15" s="61">
        <f t="shared" si="2"/>
        <v>4.2330828952813225E-2</v>
      </c>
    </row>
    <row r="16" spans="1:19" x14ac:dyDescent="0.35">
      <c r="A16" s="4">
        <v>11</v>
      </c>
      <c r="B16" s="58">
        <v>4.7320547103881836</v>
      </c>
      <c r="C16" s="16">
        <v>5.3169417381286621</v>
      </c>
      <c r="D16" s="4">
        <v>7.1413569450378418</v>
      </c>
      <c r="E16" s="16">
        <v>10.45827579498291</v>
      </c>
      <c r="F16" s="4">
        <v>27.648629188537598</v>
      </c>
      <c r="G16" s="71">
        <f>'Your Model Diet'!$L22</f>
        <v>7.1413569450378418</v>
      </c>
      <c r="H16" s="4">
        <f>'Nutrient Content_TFP'!$G16</f>
        <v>68.072817666000006</v>
      </c>
      <c r="I16" s="53">
        <f t="shared" si="0"/>
        <v>0.10490761496133427</v>
      </c>
      <c r="J16" s="53">
        <f t="shared" si="1"/>
        <v>10.490761496133427</v>
      </c>
      <c r="K16" s="4">
        <f>Calculation_TFP!$G14</f>
        <v>0.48136559859880002</v>
      </c>
      <c r="L16" s="61">
        <f t="shared" si="2"/>
        <v>5.04989168734351E-2</v>
      </c>
    </row>
    <row r="17" spans="1:12" x14ac:dyDescent="0.35">
      <c r="A17" s="4">
        <v>12</v>
      </c>
      <c r="B17" s="58">
        <v>10.78288650512695</v>
      </c>
      <c r="C17" s="16">
        <v>7.8587551116943359</v>
      </c>
      <c r="D17" s="4">
        <v>11.552620887756349</v>
      </c>
      <c r="E17" s="16">
        <v>10.866098403930661</v>
      </c>
      <c r="F17" s="4">
        <v>41.060360908508301</v>
      </c>
      <c r="G17" s="71">
        <f>'Your Model Diet'!$L23</f>
        <v>11.552620887756349</v>
      </c>
      <c r="H17" s="4">
        <f>'Nutrient Content_TFP'!$G17</f>
        <v>135.11385368000001</v>
      </c>
      <c r="I17" s="53">
        <f t="shared" si="0"/>
        <v>8.5502859796429645E-2</v>
      </c>
      <c r="J17" s="53">
        <f t="shared" si="1"/>
        <v>8.5502859796429647</v>
      </c>
      <c r="K17" s="4">
        <f>Calculation_TFP!$G15</f>
        <v>0.24991978849719998</v>
      </c>
      <c r="L17" s="61">
        <f t="shared" si="2"/>
        <v>2.1368856636229439E-2</v>
      </c>
    </row>
    <row r="18" spans="1:12" x14ac:dyDescent="0.35">
      <c r="A18" s="4">
        <v>13</v>
      </c>
      <c r="B18" s="58">
        <v>23.493440628051761</v>
      </c>
      <c r="C18" s="16">
        <v>23.336515426635739</v>
      </c>
      <c r="D18" s="4">
        <v>20.324872970581051</v>
      </c>
      <c r="E18" s="16">
        <v>27.322116851806641</v>
      </c>
      <c r="F18" s="4">
        <v>94.476945877075195</v>
      </c>
      <c r="G18" s="71">
        <f>'Your Model Diet'!$L24</f>
        <v>20.324872970581051</v>
      </c>
      <c r="H18" s="4">
        <f>'Nutrient Content_TFP'!$G18</f>
        <v>308.28829796999997</v>
      </c>
      <c r="I18" s="53">
        <f t="shared" si="0"/>
        <v>6.5928136437273716E-2</v>
      </c>
      <c r="J18" s="53">
        <f t="shared" si="1"/>
        <v>6.5928136437273714</v>
      </c>
      <c r="K18" s="4">
        <f>Calculation_TFP!$G16</f>
        <v>0.58006740903459997</v>
      </c>
      <c r="L18" s="61">
        <f t="shared" si="2"/>
        <v>3.8242763285648969E-2</v>
      </c>
    </row>
    <row r="19" spans="1:12" x14ac:dyDescent="0.35">
      <c r="A19" s="4">
        <v>14</v>
      </c>
      <c r="B19" s="58">
        <v>17.565532684326168</v>
      </c>
      <c r="C19" s="16">
        <v>17.265228271484379</v>
      </c>
      <c r="D19" s="4">
        <v>23.762161254882809</v>
      </c>
      <c r="E19" s="16">
        <v>28.864439010620121</v>
      </c>
      <c r="F19" s="4">
        <v>87.457361221313477</v>
      </c>
      <c r="G19" s="71">
        <f>'Your Model Diet'!$L25</f>
        <v>23.762161254882809</v>
      </c>
      <c r="H19" s="4">
        <f>'Nutrient Content_TFP'!$G19</f>
        <v>357.17574148</v>
      </c>
      <c r="I19" s="53">
        <f t="shared" si="0"/>
        <v>6.6527925878788627E-2</v>
      </c>
      <c r="J19" s="53">
        <f t="shared" si="1"/>
        <v>6.6527925878788627</v>
      </c>
      <c r="K19" s="4">
        <f>Calculation_TFP!$G17</f>
        <v>1.351588972167</v>
      </c>
      <c r="L19" s="61">
        <f t="shared" si="2"/>
        <v>8.9918410958914285E-2</v>
      </c>
    </row>
    <row r="20" spans="1:12" x14ac:dyDescent="0.35">
      <c r="A20" s="4">
        <v>15</v>
      </c>
      <c r="B20" s="58">
        <v>9.7818288803100586</v>
      </c>
      <c r="C20" s="16">
        <v>12.90228176116943</v>
      </c>
      <c r="D20" s="4">
        <v>13.04429721832275</v>
      </c>
      <c r="E20" s="16">
        <v>22.03233528137207</v>
      </c>
      <c r="F20" s="4">
        <v>57.760743141174316</v>
      </c>
      <c r="G20" s="71">
        <f>'Your Model Diet'!$L26</f>
        <v>13.04429721832275</v>
      </c>
      <c r="H20" s="4">
        <f>'Nutrient Content_TFP'!$G20</f>
        <v>241.41319142</v>
      </c>
      <c r="I20" s="53">
        <f t="shared" si="0"/>
        <v>5.4033075581312616E-2</v>
      </c>
      <c r="J20" s="53">
        <f t="shared" si="1"/>
        <v>5.403307558131262</v>
      </c>
      <c r="K20" s="4">
        <f>Calculation_TFP!$G18</f>
        <v>0.86525299005260004</v>
      </c>
      <c r="L20" s="61">
        <f t="shared" si="2"/>
        <v>4.6752280208468867E-2</v>
      </c>
    </row>
    <row r="21" spans="1:12" x14ac:dyDescent="0.35">
      <c r="A21" s="4">
        <v>16</v>
      </c>
      <c r="B21" s="58">
        <v>15.722201347351071</v>
      </c>
      <c r="C21" s="16">
        <v>19.7335090637207</v>
      </c>
      <c r="D21" s="4">
        <v>11.043459892272949</v>
      </c>
      <c r="E21" s="16">
        <v>14.94985294342041</v>
      </c>
      <c r="F21" s="4">
        <v>61.449023246765137</v>
      </c>
      <c r="G21" s="71">
        <f>'Your Model Diet'!$L27</f>
        <v>11.043459892272949</v>
      </c>
      <c r="H21" s="4">
        <f>'Nutrient Content_TFP'!$G21</f>
        <v>40.233085768999999</v>
      </c>
      <c r="I21" s="53">
        <f t="shared" si="0"/>
        <v>0.27448702184265583</v>
      </c>
      <c r="J21" s="53">
        <f t="shared" si="1"/>
        <v>27.448702184265585</v>
      </c>
      <c r="K21" s="4">
        <f>Calculation_TFP!$G19</f>
        <v>0.13704333699759999</v>
      </c>
      <c r="L21" s="61">
        <f t="shared" si="2"/>
        <v>3.7616617435850673E-2</v>
      </c>
    </row>
    <row r="22" spans="1:12" x14ac:dyDescent="0.35">
      <c r="A22" s="4">
        <v>17</v>
      </c>
      <c r="B22" s="58">
        <v>51.536308288574219</v>
      </c>
      <c r="C22" s="16">
        <v>41.916343688964837</v>
      </c>
      <c r="D22" s="4">
        <v>17.289800643920898</v>
      </c>
      <c r="E22" s="16">
        <v>24.828317642211911</v>
      </c>
      <c r="F22" s="4">
        <v>135.57077026367188</v>
      </c>
      <c r="G22" s="71">
        <f>'Your Model Diet'!$L28</f>
        <v>17.289800643920898</v>
      </c>
      <c r="H22" s="4">
        <f>'Nutrient Content_TFP'!$G22</f>
        <v>59.899881493000002</v>
      </c>
      <c r="I22" s="53">
        <f t="shared" si="0"/>
        <v>0.2886449891548018</v>
      </c>
      <c r="J22" s="53">
        <f t="shared" si="1"/>
        <v>28.86449891548018</v>
      </c>
      <c r="K22" s="4">
        <f>Calculation_TFP!$G20</f>
        <v>0.1574359304646</v>
      </c>
      <c r="L22" s="61">
        <f t="shared" si="2"/>
        <v>4.5443092441530594E-2</v>
      </c>
    </row>
    <row r="23" spans="1:12" x14ac:dyDescent="0.35">
      <c r="A23" s="4">
        <v>18</v>
      </c>
      <c r="B23" s="58">
        <v>0</v>
      </c>
      <c r="C23" s="16">
        <v>0</v>
      </c>
      <c r="D23" s="4">
        <v>0</v>
      </c>
      <c r="E23" s="16">
        <v>0</v>
      </c>
      <c r="F23" s="4">
        <v>0</v>
      </c>
      <c r="G23" s="71">
        <f>'Your Model Diet'!$L29</f>
        <v>0</v>
      </c>
      <c r="H23" s="4">
        <f>'Nutrient Content_TFP'!$G23</f>
        <v>81.918043041999994</v>
      </c>
      <c r="I23" s="53">
        <f t="shared" si="0"/>
        <v>0</v>
      </c>
      <c r="J23" s="53">
        <f t="shared" si="1"/>
        <v>0</v>
      </c>
      <c r="K23" s="4">
        <f>Calculation_TFP!$G21</f>
        <v>0.35047434755939999</v>
      </c>
      <c r="L23" s="61">
        <f t="shared" si="2"/>
        <v>0</v>
      </c>
    </row>
    <row r="24" spans="1:12" x14ac:dyDescent="0.35">
      <c r="A24" s="4">
        <v>19</v>
      </c>
      <c r="B24" s="58">
        <v>0</v>
      </c>
      <c r="C24" s="16">
        <v>0</v>
      </c>
      <c r="D24" s="4">
        <v>0</v>
      </c>
      <c r="E24" s="16">
        <v>0</v>
      </c>
      <c r="F24" s="4">
        <v>0</v>
      </c>
      <c r="G24" s="71">
        <f>'Your Model Diet'!$L30</f>
        <v>0</v>
      </c>
      <c r="H24" s="4">
        <f>'Nutrient Content_TFP'!$G24</f>
        <v>51.949068998000001</v>
      </c>
      <c r="I24" s="53">
        <f t="shared" si="0"/>
        <v>0</v>
      </c>
      <c r="J24" s="53">
        <f t="shared" si="1"/>
        <v>0</v>
      </c>
      <c r="K24" s="4">
        <f>Calculation_TFP!$G22</f>
        <v>0.1212350975748</v>
      </c>
      <c r="L24" s="61">
        <f t="shared" si="2"/>
        <v>0</v>
      </c>
    </row>
    <row r="25" spans="1:12" x14ac:dyDescent="0.35">
      <c r="A25" s="4">
        <v>20</v>
      </c>
      <c r="B25" s="58">
        <v>12.905355453491209</v>
      </c>
      <c r="C25" s="16">
        <v>21.579851150512699</v>
      </c>
      <c r="D25" s="4">
        <v>28.572431564331051</v>
      </c>
      <c r="E25" s="16">
        <v>30.618131637573239</v>
      </c>
      <c r="F25" s="4">
        <v>93.675769805908189</v>
      </c>
      <c r="G25" s="71">
        <f>'Your Model Diet'!$L31</f>
        <v>28.572431564331051</v>
      </c>
      <c r="H25" s="4">
        <f>'Nutrient Content_TFP'!$G25</f>
        <v>174.98075352999999</v>
      </c>
      <c r="I25" s="53">
        <f t="shared" si="0"/>
        <v>0.16328899600625152</v>
      </c>
      <c r="J25" s="53">
        <f t="shared" si="1"/>
        <v>16.328899600625153</v>
      </c>
      <c r="K25" s="4">
        <f>Calculation_TFP!$G23</f>
        <v>0.3777499903182</v>
      </c>
      <c r="L25" s="61">
        <f t="shared" si="2"/>
        <v>6.168241666043011E-2</v>
      </c>
    </row>
    <row r="26" spans="1:12" x14ac:dyDescent="0.35">
      <c r="A26" s="4">
        <v>21</v>
      </c>
      <c r="B26" s="58">
        <v>7.1721968650817871</v>
      </c>
      <c r="C26" s="16">
        <v>7.1721968650817871</v>
      </c>
      <c r="D26" s="4">
        <v>7.1721968650817871</v>
      </c>
      <c r="E26" s="16">
        <v>7.1721968650817871</v>
      </c>
      <c r="F26" s="4">
        <v>28.688787460327148</v>
      </c>
      <c r="G26" s="71">
        <f>'Your Model Diet'!$L32</f>
        <v>7.1721968650817871</v>
      </c>
      <c r="H26" s="4">
        <f>'Nutrient Content_TFP'!$G26</f>
        <v>717.21969293999996</v>
      </c>
      <c r="I26" s="53">
        <f t="shared" si="0"/>
        <v>9.9999999103228578E-3</v>
      </c>
      <c r="J26" s="53">
        <f t="shared" si="1"/>
        <v>0.99999999103228576</v>
      </c>
      <c r="K26" s="4">
        <f>Calculation_TFP!$G24</f>
        <v>0.94969317045539992</v>
      </c>
      <c r="L26" s="61">
        <f t="shared" si="2"/>
        <v>9.4969316193882301E-3</v>
      </c>
    </row>
    <row r="27" spans="1:12" x14ac:dyDescent="0.35">
      <c r="A27" s="4">
        <v>22</v>
      </c>
      <c r="B27" s="58">
        <v>15.68433284759521</v>
      </c>
      <c r="C27" s="16">
        <v>33.890460968017578</v>
      </c>
      <c r="D27" s="4">
        <v>47.795597076416023</v>
      </c>
      <c r="E27" s="16">
        <v>54.928173065185547</v>
      </c>
      <c r="F27" s="4">
        <v>152.29856395721436</v>
      </c>
      <c r="G27" s="71">
        <f>'Your Model Diet'!$L33</f>
        <v>47.795597076416023</v>
      </c>
      <c r="H27" s="4">
        <f>'Nutrient Content_TFP'!$G27</f>
        <v>322.02716623999999</v>
      </c>
      <c r="I27" s="53">
        <f t="shared" si="0"/>
        <v>0.14842100942749339</v>
      </c>
      <c r="J27" s="53">
        <f t="shared" si="1"/>
        <v>14.84210094274934</v>
      </c>
      <c r="K27" s="4">
        <f>Calculation_TFP!$G25</f>
        <v>0.54018534974279997</v>
      </c>
      <c r="L27" s="61">
        <f t="shared" si="2"/>
        <v>8.0174854886769925E-2</v>
      </c>
    </row>
    <row r="28" spans="1:12" x14ac:dyDescent="0.35">
      <c r="A28" s="4">
        <v>23</v>
      </c>
      <c r="B28" s="58">
        <v>8.1638126373291016</v>
      </c>
      <c r="C28" s="16">
        <v>9.5721855163574219</v>
      </c>
      <c r="D28" s="4">
        <v>7.4524970054626456</v>
      </c>
      <c r="E28" s="16">
        <v>6.3149456977844238</v>
      </c>
      <c r="F28" s="4">
        <v>31.503440856933594</v>
      </c>
      <c r="G28" s="71">
        <f>'Your Model Diet'!$L34</f>
        <v>7.4524970054626456</v>
      </c>
      <c r="H28" s="4">
        <f>'Nutrient Content_TFP'!$G28</f>
        <v>61.866232971999999</v>
      </c>
      <c r="I28" s="53">
        <f t="shared" si="0"/>
        <v>0.12046146415340282</v>
      </c>
      <c r="J28" s="53">
        <f t="shared" si="1"/>
        <v>12.046146415340282</v>
      </c>
      <c r="K28" s="4">
        <f>Calculation_TFP!$G26</f>
        <v>0.81501156786679996</v>
      </c>
      <c r="L28" s="61">
        <f t="shared" si="2"/>
        <v>9.8177486767195149E-2</v>
      </c>
    </row>
    <row r="29" spans="1:12" x14ac:dyDescent="0.35">
      <c r="A29" s="4">
        <v>24</v>
      </c>
      <c r="B29" s="58">
        <v>1.758655190467834</v>
      </c>
      <c r="C29" s="16">
        <v>1.01025378704071</v>
      </c>
      <c r="D29" s="4">
        <v>0.97494781017303467</v>
      </c>
      <c r="E29" s="16">
        <v>1.384721636772156</v>
      </c>
      <c r="F29" s="4">
        <v>5.1285784244537354</v>
      </c>
      <c r="G29" s="71">
        <f>'Your Model Diet'!$L35</f>
        <v>0.97494781017303467</v>
      </c>
      <c r="H29" s="4">
        <f>'Nutrient Content_TFP'!$G29</f>
        <v>107.26534965</v>
      </c>
      <c r="I29" s="53">
        <f t="shared" si="0"/>
        <v>9.0891216348450571E-3</v>
      </c>
      <c r="J29" s="53">
        <f t="shared" si="1"/>
        <v>0.90891216348450565</v>
      </c>
      <c r="K29" s="4">
        <f>Calculation_TFP!$G27</f>
        <v>0.7263059543782</v>
      </c>
      <c r="L29" s="61">
        <f t="shared" si="2"/>
        <v>6.6014831634556848E-3</v>
      </c>
    </row>
    <row r="30" spans="1:12" x14ac:dyDescent="0.35">
      <c r="A30" s="4">
        <v>25</v>
      </c>
      <c r="B30" s="58">
        <v>1.371972799301147</v>
      </c>
      <c r="C30" s="16">
        <v>2.83473801612854</v>
      </c>
      <c r="D30" s="4">
        <v>0.79413604736328125</v>
      </c>
      <c r="E30" s="16">
        <v>0.1112292408943176</v>
      </c>
      <c r="F30" s="4">
        <v>5.1120761036872864</v>
      </c>
      <c r="G30" s="71">
        <f>'Your Model Diet'!$L36</f>
        <v>0.79413604736328125</v>
      </c>
      <c r="H30" s="4">
        <f>'Nutrient Content_TFP'!$G30</f>
        <v>71.458800803000003</v>
      </c>
      <c r="I30" s="53">
        <f t="shared" si="0"/>
        <v>1.1113201431305599E-2</v>
      </c>
      <c r="J30" s="53">
        <f t="shared" si="1"/>
        <v>1.1113201431305599</v>
      </c>
      <c r="K30" s="4">
        <f>Calculation_TFP!$G28</f>
        <v>0.376549487387</v>
      </c>
      <c r="L30" s="61">
        <f t="shared" si="2"/>
        <v>4.1846703021865975E-3</v>
      </c>
    </row>
    <row r="31" spans="1:12" x14ac:dyDescent="0.35">
      <c r="A31" s="4">
        <v>26</v>
      </c>
      <c r="B31" s="58">
        <v>20.57765960693359</v>
      </c>
      <c r="C31" s="16">
        <v>21.48501014709473</v>
      </c>
      <c r="D31" s="4">
        <v>23.245939254760739</v>
      </c>
      <c r="E31" s="16">
        <v>22.137542724609379</v>
      </c>
      <c r="F31" s="4">
        <v>87.446151733398438</v>
      </c>
      <c r="G31" s="71">
        <f>'Your Model Diet'!$L37</f>
        <v>23.245939254760739</v>
      </c>
      <c r="H31" s="4">
        <f>'Nutrient Content_TFP'!$G31</f>
        <v>59.183070868999998</v>
      </c>
      <c r="I31" s="53">
        <f t="shared" si="0"/>
        <v>0.39278021423077131</v>
      </c>
      <c r="J31" s="53">
        <f t="shared" si="1"/>
        <v>39.278021423077128</v>
      </c>
      <c r="K31" s="4">
        <f>Calculation_TFP!$G29</f>
        <v>0.35255340413320002</v>
      </c>
      <c r="L31" s="61">
        <f t="shared" si="2"/>
        <v>0.13847600160322601</v>
      </c>
    </row>
    <row r="32" spans="1:12" x14ac:dyDescent="0.35">
      <c r="A32" s="4">
        <v>27</v>
      </c>
      <c r="B32" s="58">
        <v>8.3532543182373047</v>
      </c>
      <c r="C32" s="16">
        <v>7.8094244003295898</v>
      </c>
      <c r="D32" s="4">
        <v>4.6132140159606934</v>
      </c>
      <c r="E32" s="16">
        <v>7.6118659973144531</v>
      </c>
      <c r="F32" s="4">
        <v>28.387758731842041</v>
      </c>
      <c r="G32" s="71">
        <f>'Your Model Diet'!$L38</f>
        <v>4.6132140159606934</v>
      </c>
      <c r="H32" s="4">
        <f>'Nutrient Content_TFP'!$G32</f>
        <v>45.432929540000003</v>
      </c>
      <c r="I32" s="53">
        <f t="shared" si="0"/>
        <v>0.10153899523250275</v>
      </c>
      <c r="J32" s="53">
        <f t="shared" si="1"/>
        <v>10.153899523250274</v>
      </c>
      <c r="K32" s="4">
        <f>Calculation_TFP!$G30</f>
        <v>0.21554584711479999</v>
      </c>
      <c r="L32" s="61">
        <f t="shared" si="2"/>
        <v>2.1886308742575442E-2</v>
      </c>
    </row>
    <row r="33" spans="1:12" x14ac:dyDescent="0.35">
      <c r="A33" s="4">
        <v>28</v>
      </c>
      <c r="B33" s="58">
        <v>31.923320770263668</v>
      </c>
      <c r="C33" s="16">
        <v>31.921659469604489</v>
      </c>
      <c r="D33" s="4">
        <v>20.982219696044918</v>
      </c>
      <c r="E33" s="16">
        <v>33.636058807373047</v>
      </c>
      <c r="F33" s="4">
        <v>118.46325874328613</v>
      </c>
      <c r="G33" s="71">
        <f>'Your Model Diet'!$L39</f>
        <v>20.982219696044918</v>
      </c>
      <c r="H33" s="4">
        <f>'Nutrient Content_TFP'!$G33</f>
        <v>47.467646641000002</v>
      </c>
      <c r="I33" s="53">
        <f t="shared" si="0"/>
        <v>0.44203201929799496</v>
      </c>
      <c r="J33" s="53">
        <f t="shared" si="1"/>
        <v>44.203201929799498</v>
      </c>
      <c r="K33" s="4">
        <f>Calculation_TFP!$G31</f>
        <v>0.18125090757280002</v>
      </c>
      <c r="L33" s="61">
        <f t="shared" si="2"/>
        <v>8.0118704673999036E-2</v>
      </c>
    </row>
    <row r="34" spans="1:12" x14ac:dyDescent="0.35">
      <c r="A34" s="4">
        <v>29</v>
      </c>
      <c r="B34" s="58">
        <v>30.514797210693359</v>
      </c>
      <c r="C34" s="16">
        <v>34.090682983398438</v>
      </c>
      <c r="D34" s="4">
        <v>35.648052215576172</v>
      </c>
      <c r="E34" s="16">
        <v>46.788734436035163</v>
      </c>
      <c r="F34" s="4">
        <v>147.04226684570313</v>
      </c>
      <c r="G34" s="71">
        <f>'Your Model Diet'!$L40</f>
        <v>35.648052215576172</v>
      </c>
      <c r="H34" s="4">
        <f>'Nutrient Content_TFP'!$G34</f>
        <v>209.60370996</v>
      </c>
      <c r="I34" s="53">
        <f t="shared" si="0"/>
        <v>0.1700735746632496</v>
      </c>
      <c r="J34" s="53">
        <f t="shared" si="1"/>
        <v>17.007357466324962</v>
      </c>
      <c r="K34" s="4">
        <f>Calculation_TFP!$G32</f>
        <v>0.26469300212960001</v>
      </c>
      <c r="L34" s="61">
        <f t="shared" si="2"/>
        <v>4.5017285060528212E-2</v>
      </c>
    </row>
    <row r="35" spans="1:12" x14ac:dyDescent="0.35">
      <c r="A35" s="4">
        <v>30</v>
      </c>
      <c r="B35" s="58">
        <v>3.5421407222747798</v>
      </c>
      <c r="C35" s="16">
        <v>2.8321464061737061</v>
      </c>
      <c r="D35" s="4">
        <v>5.4162611961364746</v>
      </c>
      <c r="E35" s="16">
        <v>7.3159923553466797</v>
      </c>
      <c r="F35" s="4">
        <v>19.106540679931641</v>
      </c>
      <c r="G35" s="71">
        <f>'Your Model Diet'!$L41</f>
        <v>5.4162611961364746</v>
      </c>
      <c r="H35" s="4">
        <f>'Nutrient Content_TFP'!$G35</f>
        <v>202.38551222999999</v>
      </c>
      <c r="I35" s="53">
        <f t="shared" si="0"/>
        <v>2.6762099403544223E-2</v>
      </c>
      <c r="J35" s="53">
        <f t="shared" si="1"/>
        <v>2.6762099403544224</v>
      </c>
      <c r="K35" s="4">
        <f>Calculation_TFP!$G33</f>
        <v>0.73779946850980005</v>
      </c>
      <c r="L35" s="61">
        <f t="shared" si="2"/>
        <v>1.9745062716141366E-2</v>
      </c>
    </row>
    <row r="36" spans="1:12" x14ac:dyDescent="0.35">
      <c r="A36" s="4">
        <v>31</v>
      </c>
      <c r="B36" s="58">
        <v>18.217350006103519</v>
      </c>
      <c r="C36" s="16">
        <v>26.309785842895511</v>
      </c>
      <c r="D36" s="4">
        <v>24.98805999755859</v>
      </c>
      <c r="E36" s="16">
        <v>30.934175491333011</v>
      </c>
      <c r="F36" s="4">
        <v>100.44937133789063</v>
      </c>
      <c r="G36" s="71">
        <f>'Your Model Diet'!$L42</f>
        <v>24.98805999755859</v>
      </c>
      <c r="H36" s="4">
        <f>'Nutrient Content_TFP'!$G36</f>
        <v>249.25872408000001</v>
      </c>
      <c r="I36" s="53">
        <f t="shared" si="0"/>
        <v>0.10024949012231416</v>
      </c>
      <c r="J36" s="53">
        <f t="shared" si="1"/>
        <v>10.024949012231415</v>
      </c>
      <c r="K36" s="4">
        <f>Calculation_TFP!$G34</f>
        <v>0.72955431692439998</v>
      </c>
      <c r="L36" s="61">
        <f t="shared" si="2"/>
        <v>7.3137448288204288E-2</v>
      </c>
    </row>
    <row r="37" spans="1:12" x14ac:dyDescent="0.35">
      <c r="A37" s="4">
        <v>32</v>
      </c>
      <c r="B37" s="58">
        <v>3.3547418117523189</v>
      </c>
      <c r="C37" s="16">
        <v>4.9417996406555176</v>
      </c>
      <c r="D37" s="4">
        <v>7.7496228218078613</v>
      </c>
      <c r="E37" s="16">
        <v>8.7389612197875977</v>
      </c>
      <c r="F37" s="4">
        <v>24.785125494003296</v>
      </c>
      <c r="G37" s="71">
        <f>'Your Model Diet'!$L43</f>
        <v>7.7496228218078613</v>
      </c>
      <c r="H37" s="4">
        <f>'Nutrient Content_TFP'!$G37</f>
        <v>212.03475125</v>
      </c>
      <c r="I37" s="53">
        <f t="shared" si="0"/>
        <v>3.6548833510176133E-2</v>
      </c>
      <c r="J37" s="53">
        <f t="shared" si="1"/>
        <v>3.6548833510176135</v>
      </c>
      <c r="K37" s="4">
        <f>Calculation_TFP!$G35</f>
        <v>0.44217005660559999</v>
      </c>
      <c r="L37" s="61">
        <f t="shared" si="2"/>
        <v>1.616079978206323E-2</v>
      </c>
    </row>
    <row r="38" spans="1:12" x14ac:dyDescent="0.35">
      <c r="A38" s="4">
        <v>33</v>
      </c>
      <c r="B38" s="58">
        <v>0.84686988592147827</v>
      </c>
      <c r="C38" s="16">
        <v>2.9721815586090088</v>
      </c>
      <c r="D38" s="4">
        <v>2.0542738437652588</v>
      </c>
      <c r="E38" s="16">
        <v>2.255328893661499</v>
      </c>
      <c r="F38" s="4">
        <v>8.1286541819572449</v>
      </c>
      <c r="G38" s="71">
        <f>'Your Model Diet'!$L44</f>
        <v>2.0542738437652588</v>
      </c>
      <c r="H38" s="4">
        <f>'Nutrient Content_TFP'!$G38</f>
        <v>270.17778486999998</v>
      </c>
      <c r="I38" s="53">
        <f t="shared" si="0"/>
        <v>7.6034150800137132E-3</v>
      </c>
      <c r="J38" s="53">
        <f t="shared" si="1"/>
        <v>0.76034150800137135</v>
      </c>
      <c r="K38" s="4">
        <f>Calculation_TFP!$G36</f>
        <v>1.0209774023906</v>
      </c>
      <c r="L38" s="61">
        <f t="shared" si="2"/>
        <v>7.762914977689917E-3</v>
      </c>
    </row>
    <row r="39" spans="1:12" x14ac:dyDescent="0.35">
      <c r="A39" s="4">
        <v>34</v>
      </c>
      <c r="B39" s="58">
        <v>4.2383017539978027</v>
      </c>
      <c r="C39" s="16">
        <v>12.630537033081049</v>
      </c>
      <c r="D39" s="4">
        <v>8.5643167495727539</v>
      </c>
      <c r="E39" s="16">
        <v>18.569684982299801</v>
      </c>
      <c r="F39" s="4">
        <v>44.002840518951409</v>
      </c>
      <c r="G39" s="71">
        <f>'Your Model Diet'!$L45</f>
        <v>8.5643167495727539</v>
      </c>
      <c r="H39" s="4">
        <f>'Nutrient Content_TFP'!$G39</f>
        <v>290.87559413999998</v>
      </c>
      <c r="I39" s="53">
        <f t="shared" si="0"/>
        <v>2.9443229071500245E-2</v>
      </c>
      <c r="J39" s="53">
        <f t="shared" si="1"/>
        <v>2.9443229071500245</v>
      </c>
      <c r="K39" s="4">
        <f>Calculation_TFP!$G37</f>
        <v>2.1173582847142001</v>
      </c>
      <c r="L39" s="61">
        <f t="shared" si="2"/>
        <v>6.2341865003279026E-2</v>
      </c>
    </row>
    <row r="40" spans="1:12" x14ac:dyDescent="0.35">
      <c r="A40" s="4">
        <v>35</v>
      </c>
      <c r="B40" s="58">
        <v>1.6618179082870479</v>
      </c>
      <c r="C40" s="16">
        <v>1.386966466903687</v>
      </c>
      <c r="D40" s="4">
        <v>2.1334595680236821</v>
      </c>
      <c r="E40" s="16">
        <v>4.2171783447265634</v>
      </c>
      <c r="F40" s="4">
        <v>9.3994222879409808</v>
      </c>
      <c r="G40" s="71">
        <f>'Your Model Diet'!$L46</f>
        <v>2.1334595680236821</v>
      </c>
      <c r="H40" s="4">
        <f>'Nutrient Content_TFP'!$G40</f>
        <v>191.64198880999999</v>
      </c>
      <c r="I40" s="53">
        <f t="shared" si="0"/>
        <v>1.1132526756121605E-2</v>
      </c>
      <c r="J40" s="53">
        <f t="shared" si="1"/>
        <v>1.1132526756121606</v>
      </c>
      <c r="K40" s="4">
        <f>Calculation_TFP!$G38</f>
        <v>1.2065556432974001</v>
      </c>
      <c r="L40" s="61">
        <f t="shared" si="2"/>
        <v>1.3432012981757821E-2</v>
      </c>
    </row>
    <row r="41" spans="1:12" x14ac:dyDescent="0.35">
      <c r="A41" s="4">
        <v>36</v>
      </c>
      <c r="B41" s="58">
        <v>3.0350785255432129</v>
      </c>
      <c r="C41" s="16">
        <v>4.188300609588623</v>
      </c>
      <c r="D41" s="4">
        <v>7.6381888389587402</v>
      </c>
      <c r="E41" s="16">
        <v>11.766323089599609</v>
      </c>
      <c r="F41" s="4">
        <v>26.627891063690186</v>
      </c>
      <c r="G41" s="71">
        <f>'Your Model Diet'!$L47</f>
        <v>7.6381888389587402</v>
      </c>
      <c r="H41" s="4">
        <f>'Nutrient Content_TFP'!$G41</f>
        <v>173.90812129</v>
      </c>
      <c r="I41" s="53">
        <f t="shared" si="0"/>
        <v>4.392082889689608E-2</v>
      </c>
      <c r="J41" s="53">
        <f t="shared" si="1"/>
        <v>4.3920828896896076</v>
      </c>
      <c r="K41" s="4">
        <f>Calculation_TFP!$G39</f>
        <v>2.3611808761328001</v>
      </c>
      <c r="L41" s="61">
        <f t="shared" si="2"/>
        <v>0.1037050212552519</v>
      </c>
    </row>
    <row r="42" spans="1:12" x14ac:dyDescent="0.35">
      <c r="A42" s="4">
        <v>37</v>
      </c>
      <c r="B42" s="58">
        <v>21.913776397705082</v>
      </c>
      <c r="C42" s="16">
        <v>27.62162017822266</v>
      </c>
      <c r="D42" s="4">
        <v>27.324586868286129</v>
      </c>
      <c r="E42" s="16">
        <v>45.768917083740227</v>
      </c>
      <c r="F42" s="4">
        <v>122.62890052795409</v>
      </c>
      <c r="G42" s="71">
        <f>'Your Model Diet'!$L48</f>
        <v>27.324586868286129</v>
      </c>
      <c r="H42" s="4">
        <f>'Nutrient Content_TFP'!$G42</f>
        <v>186.57962671000001</v>
      </c>
      <c r="I42" s="53">
        <f t="shared" si="0"/>
        <v>0.14645000287601942</v>
      </c>
      <c r="J42" s="53">
        <f t="shared" si="1"/>
        <v>14.645000287601942</v>
      </c>
      <c r="K42" s="4">
        <f>Calculation_TFP!$G40</f>
        <v>1.3816218027339999</v>
      </c>
      <c r="L42" s="61">
        <f t="shared" si="2"/>
        <v>0.20233851698396543</v>
      </c>
    </row>
    <row r="43" spans="1:12" x14ac:dyDescent="0.35">
      <c r="A43" s="4">
        <v>38</v>
      </c>
      <c r="B43" s="58">
        <v>0.62670725584030151</v>
      </c>
      <c r="C43" s="16">
        <v>1.325720429420471</v>
      </c>
      <c r="D43" s="4">
        <v>0.54776740074157715</v>
      </c>
      <c r="E43" s="16">
        <v>0.60339754819869995</v>
      </c>
      <c r="F43" s="4">
        <v>3.1035926342010498</v>
      </c>
      <c r="G43" s="71">
        <f>'Your Model Diet'!$L49</f>
        <v>0.54776740074157715</v>
      </c>
      <c r="H43" s="4">
        <f>'Nutrient Content_TFP'!$G43</f>
        <v>118.80649217</v>
      </c>
      <c r="I43" s="53">
        <f t="shared" si="0"/>
        <v>4.6105847478248724E-3</v>
      </c>
      <c r="J43" s="53">
        <f t="shared" si="1"/>
        <v>0.46105847478248724</v>
      </c>
      <c r="K43" s="4">
        <f>Calculation_TFP!$G41</f>
        <v>0.33333417125379999</v>
      </c>
      <c r="L43" s="61">
        <f t="shared" si="2"/>
        <v>1.5368654459116142E-3</v>
      </c>
    </row>
    <row r="44" spans="1:12" x14ac:dyDescent="0.35">
      <c r="A44" s="4">
        <v>39</v>
      </c>
      <c r="B44" s="58">
        <v>0.29575839638710022</v>
      </c>
      <c r="C44" s="16">
        <v>1.237842440605164</v>
      </c>
      <c r="D44" s="4">
        <v>0.97191524505615234</v>
      </c>
      <c r="E44" s="16">
        <v>4.0141234397888184</v>
      </c>
      <c r="F44" s="4">
        <v>6.5196395218372345</v>
      </c>
      <c r="G44" s="71">
        <f>'Your Model Diet'!$L50</f>
        <v>0.97191524505615234</v>
      </c>
      <c r="H44" s="4">
        <f>'Nutrient Content_TFP'!$G44</f>
        <v>86.287961641999999</v>
      </c>
      <c r="I44" s="53">
        <f t="shared" si="0"/>
        <v>1.1263625035998997E-2</v>
      </c>
      <c r="J44" s="53">
        <f t="shared" si="1"/>
        <v>1.1263625035998996</v>
      </c>
      <c r="K44" s="4">
        <f>Calculation_TFP!$G42</f>
        <v>0.32252775124560001</v>
      </c>
      <c r="L44" s="61">
        <f t="shared" si="2"/>
        <v>3.6328316537343969E-3</v>
      </c>
    </row>
    <row r="45" spans="1:12" x14ac:dyDescent="0.35">
      <c r="A45" s="4">
        <v>40</v>
      </c>
      <c r="B45" s="58">
        <v>4.616217315196991E-2</v>
      </c>
      <c r="C45" s="16">
        <v>0.20345267653465271</v>
      </c>
      <c r="D45" s="4">
        <v>0.65534800291061401</v>
      </c>
      <c r="E45" s="16">
        <v>0.53707093000411987</v>
      </c>
      <c r="F45" s="4">
        <v>1.4420337826013565</v>
      </c>
      <c r="G45" s="71">
        <f>'Your Model Diet'!$L51</f>
        <v>0.65534800291061401</v>
      </c>
      <c r="H45" s="4">
        <f>'Nutrient Content_TFP'!$G45</f>
        <v>144</v>
      </c>
      <c r="I45" s="53">
        <f t="shared" si="0"/>
        <v>4.5510277979903752E-3</v>
      </c>
      <c r="J45" s="53">
        <f t="shared" si="1"/>
        <v>0.45510277979903752</v>
      </c>
      <c r="K45" s="4">
        <f>Calculation_TFP!$G43</f>
        <v>0.28404112272119997</v>
      </c>
      <c r="L45" s="61">
        <f t="shared" si="2"/>
        <v>1.2926790452765767E-3</v>
      </c>
    </row>
    <row r="46" spans="1:12" x14ac:dyDescent="0.35">
      <c r="A46" s="4">
        <v>41</v>
      </c>
      <c r="B46" s="58">
        <v>0.60362720489501953</v>
      </c>
      <c r="C46" s="16">
        <v>0</v>
      </c>
      <c r="D46" s="4">
        <v>0.70358014106750488</v>
      </c>
      <c r="E46" s="16">
        <v>1.0346096754074099</v>
      </c>
      <c r="F46" s="4">
        <v>2.3418170213699341</v>
      </c>
      <c r="G46" s="71">
        <f>'Your Model Diet'!$L52</f>
        <v>0.70358014106750488</v>
      </c>
      <c r="H46" s="4">
        <f>'Nutrient Content_TFP'!$G46</f>
        <v>105</v>
      </c>
      <c r="I46" s="53">
        <f t="shared" si="0"/>
        <v>6.7007632482619511E-3</v>
      </c>
      <c r="J46" s="53">
        <f t="shared" si="1"/>
        <v>0.67007632482619517</v>
      </c>
      <c r="K46" s="4">
        <f>Calculation_TFP!$G44</f>
        <v>0.2567613379814</v>
      </c>
      <c r="L46" s="61">
        <f t="shared" si="2"/>
        <v>1.7204969371203305E-3</v>
      </c>
    </row>
    <row r="47" spans="1:12" x14ac:dyDescent="0.35">
      <c r="A47" s="4">
        <v>42</v>
      </c>
      <c r="B47" s="58">
        <v>2.8509435653686519</v>
      </c>
      <c r="C47" s="16">
        <v>4.0387020111083984</v>
      </c>
      <c r="D47" s="4">
        <v>5.9619231224060059</v>
      </c>
      <c r="E47" s="16">
        <v>7.2783646583557129</v>
      </c>
      <c r="F47" s="4">
        <v>20.12993335723877</v>
      </c>
      <c r="G47" s="71">
        <f>'Your Model Diet'!$L53</f>
        <v>5.9619231224060059</v>
      </c>
      <c r="H47" s="4">
        <f>'Nutrient Content_TFP'!$G47</f>
        <v>175.32363633</v>
      </c>
      <c r="I47" s="53">
        <f t="shared" si="0"/>
        <v>3.4005244513547937E-2</v>
      </c>
      <c r="J47" s="53">
        <f t="shared" si="1"/>
        <v>3.4005244513547939</v>
      </c>
      <c r="K47" s="4">
        <f>Calculation_TFP!$G45</f>
        <v>0.40105074390619999</v>
      </c>
      <c r="L47" s="61">
        <f t="shared" si="2"/>
        <v>1.3637828608870627E-2</v>
      </c>
    </row>
    <row r="48" spans="1:12" x14ac:dyDescent="0.35">
      <c r="A48" s="4">
        <v>43</v>
      </c>
      <c r="B48" s="58">
        <v>1.599572896957397</v>
      </c>
      <c r="C48" s="16">
        <v>1.0567213296890261</v>
      </c>
      <c r="D48" s="4">
        <v>4.8597850799560547</v>
      </c>
      <c r="E48" s="16">
        <v>5.7321000099182129</v>
      </c>
      <c r="F48" s="4">
        <v>13.248179316520691</v>
      </c>
      <c r="G48" s="71">
        <f>'Your Model Diet'!$L54</f>
        <v>4.8597850799560547</v>
      </c>
      <c r="H48" s="4">
        <f>'Nutrient Content_TFP'!$G48</f>
        <v>224.62861315000001</v>
      </c>
      <c r="I48" s="53">
        <f t="shared" si="0"/>
        <v>2.1634755304796551E-2</v>
      </c>
      <c r="J48" s="53">
        <f t="shared" si="1"/>
        <v>2.1634755304796549</v>
      </c>
      <c r="K48" s="4">
        <f>Calculation_TFP!$G46</f>
        <v>0.61002734389379998</v>
      </c>
      <c r="L48" s="61">
        <f t="shared" si="2"/>
        <v>1.3197792314377338E-2</v>
      </c>
    </row>
    <row r="49" spans="1:12" x14ac:dyDescent="0.35">
      <c r="A49" s="4">
        <v>44</v>
      </c>
      <c r="B49" s="58">
        <v>22.24984169006348</v>
      </c>
      <c r="C49" s="16">
        <v>21.996063232421879</v>
      </c>
      <c r="D49" s="4">
        <v>13.07961463928223</v>
      </c>
      <c r="E49" s="16">
        <v>22.40214729309082</v>
      </c>
      <c r="F49" s="4">
        <v>79.727666854858398</v>
      </c>
      <c r="G49" s="71">
        <f>'Your Model Diet'!$L55</f>
        <v>13.07961463928223</v>
      </c>
      <c r="H49" s="4">
        <f>'Nutrient Content_TFP'!$G49</f>
        <v>133.70840059</v>
      </c>
      <c r="I49" s="53">
        <f t="shared" si="0"/>
        <v>9.7821936255069145E-2</v>
      </c>
      <c r="J49" s="53">
        <f t="shared" si="1"/>
        <v>9.7821936255069151</v>
      </c>
      <c r="K49" s="4">
        <f>Calculation_TFP!$G47</f>
        <v>0.23255570943520001</v>
      </c>
      <c r="L49" s="61">
        <f t="shared" si="2"/>
        <v>2.2749049784122517E-2</v>
      </c>
    </row>
    <row r="50" spans="1:12" x14ac:dyDescent="0.35">
      <c r="A50" s="4">
        <v>45</v>
      </c>
      <c r="B50" s="58">
        <v>21.180948257446289</v>
      </c>
      <c r="C50" s="16">
        <v>24.311834335327148</v>
      </c>
      <c r="D50" s="4">
        <v>20.965072631835941</v>
      </c>
      <c r="E50" s="16">
        <v>36.331214904785163</v>
      </c>
      <c r="F50" s="4">
        <v>102.78907012939455</v>
      </c>
      <c r="G50" s="71">
        <f>'Your Model Diet'!$L56</f>
        <v>20.965072631835941</v>
      </c>
      <c r="H50" s="4">
        <f>'Nutrient Content_TFP'!$G50</f>
        <v>186.66828222999999</v>
      </c>
      <c r="I50" s="53">
        <f t="shared" si="0"/>
        <v>0.11231191706154023</v>
      </c>
      <c r="J50" s="53">
        <f t="shared" si="1"/>
        <v>11.231191706154023</v>
      </c>
      <c r="K50" s="4">
        <f>Calculation_TFP!$G48</f>
        <v>0.50300915979880001</v>
      </c>
      <c r="L50" s="61">
        <f t="shared" si="2"/>
        <v>5.649392303651786E-2</v>
      </c>
    </row>
    <row r="51" spans="1:12" x14ac:dyDescent="0.35">
      <c r="A51" s="4">
        <v>46</v>
      </c>
      <c r="B51" s="58">
        <v>9.8223724365234375</v>
      </c>
      <c r="C51" s="16">
        <v>13.645899772644039</v>
      </c>
      <c r="D51" s="4">
        <v>11.304426193237299</v>
      </c>
      <c r="E51" s="16">
        <v>12.94964694976807</v>
      </c>
      <c r="F51" s="4">
        <v>47.722345352172852</v>
      </c>
      <c r="G51" s="71">
        <f>'Your Model Diet'!$L57</f>
        <v>11.304426193237299</v>
      </c>
      <c r="H51" s="4">
        <f>'Nutrient Content_TFP'!$G51</f>
        <v>149.21188230999999</v>
      </c>
      <c r="I51" s="53">
        <f t="shared" si="0"/>
        <v>7.5760897980975947E-2</v>
      </c>
      <c r="J51" s="53">
        <f t="shared" si="1"/>
        <v>7.5760897980975948</v>
      </c>
      <c r="K51" s="4">
        <f>Calculation_TFP!$G49</f>
        <v>0.62839346447260003</v>
      </c>
      <c r="L51" s="61">
        <f t="shared" si="2"/>
        <v>4.7607653153820685E-2</v>
      </c>
    </row>
    <row r="52" spans="1:12" x14ac:dyDescent="0.35">
      <c r="A52" s="4">
        <v>47</v>
      </c>
      <c r="B52" s="58">
        <v>26.406267166137699</v>
      </c>
      <c r="C52" s="16">
        <v>48.3077392578125</v>
      </c>
      <c r="D52" s="4">
        <v>33.270057678222663</v>
      </c>
      <c r="E52" s="16">
        <v>53.248100280761719</v>
      </c>
      <c r="F52" s="4">
        <v>161.23216438293457</v>
      </c>
      <c r="G52" s="71">
        <f>'Your Model Diet'!$L58</f>
        <v>33.270057678222663</v>
      </c>
      <c r="H52" s="4">
        <f>'Nutrient Content_TFP'!$G52</f>
        <v>232.50777327</v>
      </c>
      <c r="I52" s="53">
        <f t="shared" si="0"/>
        <v>0.14309223820911895</v>
      </c>
      <c r="J52" s="53">
        <f t="shared" si="1"/>
        <v>14.309223820911896</v>
      </c>
      <c r="K52" s="4">
        <f>Calculation_TFP!$G50</f>
        <v>0.87830496795520008</v>
      </c>
      <c r="L52" s="61">
        <f t="shared" si="2"/>
        <v>0.12567862369489807</v>
      </c>
    </row>
    <row r="53" spans="1:12" x14ac:dyDescent="0.35">
      <c r="A53" s="4">
        <v>48</v>
      </c>
      <c r="B53" s="58">
        <v>7.1468091011047363</v>
      </c>
      <c r="C53" s="16">
        <v>12.349418640136721</v>
      </c>
      <c r="D53" s="4">
        <v>10.987033843994141</v>
      </c>
      <c r="E53" s="16">
        <v>10.852188110351561</v>
      </c>
      <c r="F53" s="4">
        <v>41.335449695587158</v>
      </c>
      <c r="G53" s="71">
        <f>'Your Model Diet'!$L59</f>
        <v>10.987033843994141</v>
      </c>
      <c r="H53" s="4">
        <f>'Nutrient Content_TFP'!$G53</f>
        <v>154.95737890000001</v>
      </c>
      <c r="I53" s="53">
        <f t="shared" si="0"/>
        <v>7.0903586018220527E-2</v>
      </c>
      <c r="J53" s="53">
        <f t="shared" si="1"/>
        <v>7.0903586018220528</v>
      </c>
      <c r="K53" s="4">
        <f>Calculation_TFP!$G51</f>
        <v>0.62328871025139998</v>
      </c>
      <c r="L53" s="61">
        <f t="shared" si="2"/>
        <v>4.4193404681495872E-2</v>
      </c>
    </row>
    <row r="54" spans="1:12" x14ac:dyDescent="0.35">
      <c r="A54" s="4">
        <v>49</v>
      </c>
      <c r="B54" s="58">
        <v>2.6424121856689449</v>
      </c>
      <c r="C54" s="16">
        <v>4.3062601089477539</v>
      </c>
      <c r="D54" s="4">
        <v>8.0411281585693359</v>
      </c>
      <c r="E54" s="16">
        <v>5.6941409111022949</v>
      </c>
      <c r="F54" s="4">
        <v>20.68394136428833</v>
      </c>
      <c r="G54" s="71">
        <f>'Your Model Diet'!$L60</f>
        <v>8.0411281585693359</v>
      </c>
      <c r="H54" s="4">
        <f>'Nutrient Content_TFP'!$G54</f>
        <v>126.35571139</v>
      </c>
      <c r="I54" s="53">
        <f t="shared" si="0"/>
        <v>6.3638818302009292E-2</v>
      </c>
      <c r="J54" s="53">
        <f t="shared" si="1"/>
        <v>6.3638818302009295</v>
      </c>
      <c r="K54" s="4">
        <f>Calculation_TFP!$G52</f>
        <v>0.96997797347199999</v>
      </c>
      <c r="L54" s="61">
        <f t="shared" si="2"/>
        <v>6.1728252010735798E-2</v>
      </c>
    </row>
    <row r="55" spans="1:12" x14ac:dyDescent="0.35">
      <c r="A55" s="4">
        <v>50</v>
      </c>
      <c r="B55" s="58">
        <v>13.23026084899902</v>
      </c>
      <c r="C55" s="16">
        <v>16.591445922851559</v>
      </c>
      <c r="D55" s="4">
        <v>13.91751670837402</v>
      </c>
      <c r="E55" s="16">
        <v>25.482498168945309</v>
      </c>
      <c r="F55" s="4">
        <v>69.221721649169908</v>
      </c>
      <c r="G55" s="71">
        <f>'Your Model Diet'!$L61</f>
        <v>13.91751670837402</v>
      </c>
      <c r="H55" s="4">
        <f>'Nutrient Content_TFP'!$G55</f>
        <v>170.27344339000001</v>
      </c>
      <c r="I55" s="53">
        <f t="shared" si="0"/>
        <v>8.1736273321829006E-2</v>
      </c>
      <c r="J55" s="53">
        <f t="shared" si="1"/>
        <v>8.1736273321829014</v>
      </c>
      <c r="K55" s="4">
        <f>Calculation_TFP!$G53</f>
        <v>1.0070036300374001</v>
      </c>
      <c r="L55" s="61">
        <f t="shared" si="2"/>
        <v>8.2308723940810916E-2</v>
      </c>
    </row>
    <row r="56" spans="1:12" x14ac:dyDescent="0.35">
      <c r="A56" s="4">
        <v>51</v>
      </c>
      <c r="B56" s="58">
        <v>2.2467670440673828</v>
      </c>
      <c r="C56" s="16">
        <v>5.0430278778076172</v>
      </c>
      <c r="D56" s="4">
        <v>2.7273387908935551</v>
      </c>
      <c r="E56" s="16">
        <v>9.485102653503418</v>
      </c>
      <c r="F56" s="4">
        <v>19.502236366271973</v>
      </c>
      <c r="G56" s="71">
        <f>'Your Model Diet'!$L62</f>
        <v>2.7273387908935551</v>
      </c>
      <c r="H56" s="4">
        <f>'Nutrient Content_TFP'!$G56</f>
        <v>122.34432212999999</v>
      </c>
      <c r="I56" s="53">
        <f t="shared" si="0"/>
        <v>2.2292320096355216E-2</v>
      </c>
      <c r="J56" s="53">
        <f t="shared" si="1"/>
        <v>2.2292320096355218</v>
      </c>
      <c r="K56" s="4">
        <f>Calculation_TFP!$G54</f>
        <v>0.46022077190999999</v>
      </c>
      <c r="L56" s="61">
        <f t="shared" si="2"/>
        <v>1.0259388762409402E-2</v>
      </c>
    </row>
    <row r="57" spans="1:12" x14ac:dyDescent="0.35">
      <c r="A57" s="4">
        <v>52</v>
      </c>
      <c r="B57" s="58">
        <v>4.6838440895080566</v>
      </c>
      <c r="C57" s="16">
        <v>6.1734609603881836</v>
      </c>
      <c r="D57" s="4">
        <v>2.437049388885498</v>
      </c>
      <c r="E57" s="16">
        <v>5.0668630599975586</v>
      </c>
      <c r="F57" s="4">
        <v>18.361217498779297</v>
      </c>
      <c r="G57" s="71">
        <f>'Your Model Diet'!$L63</f>
        <v>2.437049388885498</v>
      </c>
      <c r="H57" s="4">
        <f>'Nutrient Content_TFP'!$G57</f>
        <v>289.49442862000001</v>
      </c>
      <c r="I57" s="53">
        <f t="shared" si="0"/>
        <v>8.4182946127935674E-3</v>
      </c>
      <c r="J57" s="53">
        <f t="shared" si="1"/>
        <v>0.84182946127935676</v>
      </c>
      <c r="K57" s="4">
        <f>Calculation_TFP!$G55</f>
        <v>0.71593412343719998</v>
      </c>
      <c r="L57" s="61">
        <f t="shared" si="2"/>
        <v>6.0269443744464654E-3</v>
      </c>
    </row>
    <row r="58" spans="1:12" x14ac:dyDescent="0.35">
      <c r="A58" s="4">
        <v>53</v>
      </c>
      <c r="B58" s="58">
        <v>5.0968899726867676</v>
      </c>
      <c r="C58" s="16">
        <v>3.00986647605896</v>
      </c>
      <c r="D58" s="4">
        <v>1.376572251319885</v>
      </c>
      <c r="E58" s="16">
        <v>2.111662626266479</v>
      </c>
      <c r="F58" s="4">
        <v>11.594991326332092</v>
      </c>
      <c r="G58" s="71">
        <f>'Your Model Diet'!$L64</f>
        <v>1.376572251319885</v>
      </c>
      <c r="H58" s="4">
        <f>'Nutrient Content_TFP'!$G58</f>
        <v>267.87269397</v>
      </c>
      <c r="I58" s="53">
        <f t="shared" si="0"/>
        <v>5.1389047196951409E-3</v>
      </c>
      <c r="J58" s="53">
        <f t="shared" si="1"/>
        <v>0.5138904719695141</v>
      </c>
      <c r="K58" s="4">
        <f>Calculation_TFP!$G56</f>
        <v>0.86409267433679993</v>
      </c>
      <c r="L58" s="61">
        <f t="shared" si="2"/>
        <v>4.4404899224033774E-3</v>
      </c>
    </row>
    <row r="59" spans="1:12" x14ac:dyDescent="0.35">
      <c r="A59" s="4">
        <v>54</v>
      </c>
      <c r="B59" s="58">
        <v>25.603683471679691</v>
      </c>
      <c r="C59" s="16">
        <v>21.71189117431641</v>
      </c>
      <c r="D59" s="4">
        <v>9.7579631805419922</v>
      </c>
      <c r="E59" s="16">
        <v>15.475629806518549</v>
      </c>
      <c r="F59" s="4">
        <v>72.549167633056641</v>
      </c>
      <c r="G59" s="71">
        <f>'Your Model Diet'!$L65</f>
        <v>9.7579631805419922</v>
      </c>
      <c r="H59" s="4">
        <f>'Nutrient Content_TFP'!$G59</f>
        <v>269.71841683000002</v>
      </c>
      <c r="I59" s="53">
        <f t="shared" si="0"/>
        <v>3.6178334780499283E-2</v>
      </c>
      <c r="J59" s="53">
        <f t="shared" si="1"/>
        <v>3.6178334780499282</v>
      </c>
      <c r="K59" s="4">
        <f>Calculation_TFP!$G57</f>
        <v>0.8933848355456</v>
      </c>
      <c r="L59" s="61">
        <f t="shared" si="2"/>
        <v>3.2321175668190011E-2</v>
      </c>
    </row>
    <row r="60" spans="1:12" x14ac:dyDescent="0.35">
      <c r="A60" s="4">
        <v>55</v>
      </c>
      <c r="B60" s="58">
        <v>8.2660665512084961</v>
      </c>
      <c r="C60" s="16">
        <v>4.3770437240600586</v>
      </c>
      <c r="D60" s="4">
        <v>3.3189339637756352</v>
      </c>
      <c r="E60" s="16">
        <v>5.7704739570617676</v>
      </c>
      <c r="F60" s="4">
        <v>21.732518196105957</v>
      </c>
      <c r="G60" s="71">
        <f>'Your Model Diet'!$L66</f>
        <v>3.3189339637756352</v>
      </c>
      <c r="H60" s="4">
        <f>'Nutrient Content_TFP'!$G60</f>
        <v>263.20979983000001</v>
      </c>
      <c r="I60" s="53">
        <f t="shared" si="0"/>
        <v>1.2609461980212148E-2</v>
      </c>
      <c r="J60" s="53">
        <f t="shared" si="1"/>
        <v>1.2609461980212149</v>
      </c>
      <c r="K60" s="4">
        <f>Calculation_TFP!$G58</f>
        <v>1.1298642262142</v>
      </c>
      <c r="L60" s="61">
        <f t="shared" si="2"/>
        <v>1.4246980003249773E-2</v>
      </c>
    </row>
    <row r="61" spans="1:12" x14ac:dyDescent="0.35">
      <c r="A61" s="4">
        <v>56</v>
      </c>
      <c r="B61" s="58">
        <v>15.106227874755859</v>
      </c>
      <c r="C61" s="16">
        <v>14.99028396606445</v>
      </c>
      <c r="D61" s="4">
        <v>5.929084300994873</v>
      </c>
      <c r="E61" s="16">
        <v>11.370791435241699</v>
      </c>
      <c r="F61" s="4">
        <v>47.396387577056885</v>
      </c>
      <c r="G61" s="71">
        <f>'Your Model Diet'!$L67</f>
        <v>5.929084300994873</v>
      </c>
      <c r="H61" s="4">
        <f>'Nutrient Content_TFP'!$G61</f>
        <v>273.25293563000002</v>
      </c>
      <c r="I61" s="53">
        <f t="shared" si="0"/>
        <v>2.1698154083230746E-2</v>
      </c>
      <c r="J61" s="53">
        <f t="shared" si="1"/>
        <v>2.1698154083230747</v>
      </c>
      <c r="K61" s="4">
        <f>Calculation_TFP!$G59</f>
        <v>0.61164659531479992</v>
      </c>
      <c r="L61" s="61">
        <f t="shared" si="2"/>
        <v>1.327160206962401E-2</v>
      </c>
    </row>
    <row r="62" spans="1:12" x14ac:dyDescent="0.35">
      <c r="A62" s="4">
        <v>57</v>
      </c>
      <c r="B62" s="58">
        <v>6.5166363716125488</v>
      </c>
      <c r="C62" s="16">
        <v>8.5327968597412109</v>
      </c>
      <c r="D62" s="4">
        <v>10.924485206604</v>
      </c>
      <c r="E62" s="16">
        <v>23.341608047485352</v>
      </c>
      <c r="F62" s="4">
        <v>49.315526485443115</v>
      </c>
      <c r="G62" s="71">
        <f>'Your Model Diet'!$L68</f>
        <v>10.924485206604</v>
      </c>
      <c r="H62" s="4">
        <f>'Nutrient Content_TFP'!$G62</f>
        <v>283.40665268999999</v>
      </c>
      <c r="I62" s="53">
        <f t="shared" si="0"/>
        <v>3.854703163427E-2</v>
      </c>
      <c r="J62" s="53">
        <f t="shared" si="1"/>
        <v>3.8547031634270001</v>
      </c>
      <c r="K62" s="4">
        <f>Calculation_TFP!$G60</f>
        <v>1.1220298286215999</v>
      </c>
      <c r="L62" s="61">
        <f t="shared" si="2"/>
        <v>4.3250919298471358E-2</v>
      </c>
    </row>
    <row r="63" spans="1:12" x14ac:dyDescent="0.35">
      <c r="A63" s="4">
        <v>58</v>
      </c>
      <c r="B63" s="58">
        <v>8.1946506500244141</v>
      </c>
      <c r="C63" s="16">
        <v>8.0086154937744141</v>
      </c>
      <c r="D63" s="4">
        <v>8.4221601486206055</v>
      </c>
      <c r="E63" s="16">
        <v>12.378218650817869</v>
      </c>
      <c r="F63" s="4">
        <v>37.003644943237305</v>
      </c>
      <c r="G63" s="71">
        <f>'Your Model Diet'!$L69</f>
        <v>8.4221601486206055</v>
      </c>
      <c r="H63" s="4">
        <f>'Nutrient Content_TFP'!$G63</f>
        <v>235.80925506</v>
      </c>
      <c r="I63" s="53">
        <f t="shared" si="0"/>
        <v>3.5715986408072262E-2</v>
      </c>
      <c r="J63" s="53">
        <f t="shared" si="1"/>
        <v>3.5715986408072262</v>
      </c>
      <c r="K63" s="4">
        <f>Calculation_TFP!$G61</f>
        <v>1.4001116711792001</v>
      </c>
      <c r="L63" s="61">
        <f t="shared" si="2"/>
        <v>5.0006369417619649E-2</v>
      </c>
    </row>
    <row r="64" spans="1:12" x14ac:dyDescent="0.35">
      <c r="A64" s="4">
        <v>59</v>
      </c>
      <c r="B64" s="58">
        <v>16.027349472045898</v>
      </c>
      <c r="C64" s="16">
        <v>12.51910495758057</v>
      </c>
      <c r="D64" s="4">
        <v>4.9287090301513672</v>
      </c>
      <c r="E64" s="16">
        <v>12.16676616668701</v>
      </c>
      <c r="F64" s="4">
        <v>45.641929626464844</v>
      </c>
      <c r="G64" s="71">
        <f>'Your Model Diet'!$L70</f>
        <v>4.9287090301513672</v>
      </c>
      <c r="H64" s="4">
        <f>'Nutrient Content_TFP'!$G64</f>
        <v>323.19767942999999</v>
      </c>
      <c r="I64" s="53">
        <f t="shared" si="0"/>
        <v>1.5249828027366314E-2</v>
      </c>
      <c r="J64" s="53">
        <f t="shared" si="1"/>
        <v>1.5249828027366314</v>
      </c>
      <c r="K64" s="4">
        <f>Calculation_TFP!$G62</f>
        <v>0.52939132936259992</v>
      </c>
      <c r="L64" s="61">
        <f t="shared" si="2"/>
        <v>8.0731267319584885E-3</v>
      </c>
    </row>
    <row r="65" spans="1:12" x14ac:dyDescent="0.35">
      <c r="A65" s="4">
        <v>60</v>
      </c>
      <c r="B65" s="58">
        <v>5.9643340110778809</v>
      </c>
      <c r="C65" s="16">
        <v>4.8725085258483887</v>
      </c>
      <c r="D65" s="4">
        <v>4.4671025276184082</v>
      </c>
      <c r="E65" s="16">
        <v>4.1128840446472168</v>
      </c>
      <c r="F65" s="4">
        <v>19.416829109191895</v>
      </c>
      <c r="G65" s="71">
        <f>'Your Model Diet'!$L71</f>
        <v>4.4671025276184082</v>
      </c>
      <c r="H65" s="4">
        <f>'Nutrient Content_TFP'!$G65</f>
        <v>62.451667378000003</v>
      </c>
      <c r="I65" s="53">
        <f t="shared" si="0"/>
        <v>7.1528955353272847E-2</v>
      </c>
      <c r="J65" s="53">
        <f t="shared" si="1"/>
        <v>7.1528955353272847</v>
      </c>
      <c r="K65" s="4">
        <f>Calculation_TFP!$G63</f>
        <v>0.12435823650939999</v>
      </c>
      <c r="L65" s="61">
        <f t="shared" si="2"/>
        <v>8.8952147470926172E-3</v>
      </c>
    </row>
    <row r="66" spans="1:12" x14ac:dyDescent="0.35">
      <c r="A66" s="4">
        <v>61</v>
      </c>
      <c r="B66" s="58">
        <v>1.474436402320862</v>
      </c>
      <c r="C66" s="16">
        <v>0.45853108167648321</v>
      </c>
      <c r="D66" s="4">
        <v>5.3483219146728516</v>
      </c>
      <c r="E66" s="16">
        <v>2.4394946098327641</v>
      </c>
      <c r="F66" s="4">
        <v>9.7207840085029602</v>
      </c>
      <c r="G66" s="71">
        <f>'Your Model Diet'!$L72</f>
        <v>5.3483219146728516</v>
      </c>
      <c r="H66" s="4">
        <f>'Nutrient Content_TFP'!$G66</f>
        <v>74.556733635000001</v>
      </c>
      <c r="I66" s="53">
        <f t="shared" si="0"/>
        <v>7.1734927938985366E-2</v>
      </c>
      <c r="J66" s="53">
        <f t="shared" si="1"/>
        <v>7.1734927938985367</v>
      </c>
      <c r="K66" s="4">
        <f>Calculation_TFP!$G64</f>
        <v>0.48863640573120004</v>
      </c>
      <c r="L66" s="61">
        <f t="shared" si="2"/>
        <v>3.5052297353492454E-2</v>
      </c>
    </row>
    <row r="67" spans="1:12" x14ac:dyDescent="0.35">
      <c r="A67" s="4">
        <v>62</v>
      </c>
      <c r="B67" s="58">
        <v>1.221116185188293</v>
      </c>
      <c r="C67" s="16">
        <v>0.60432201623916626</v>
      </c>
      <c r="D67" s="4">
        <v>1.7716859579086299</v>
      </c>
      <c r="E67" s="16">
        <v>2.1352400779724121</v>
      </c>
      <c r="F67" s="4">
        <v>5.7323642373085013</v>
      </c>
      <c r="G67" s="71">
        <f>'Your Model Diet'!$L73</f>
        <v>1.7716859579086299</v>
      </c>
      <c r="H67" s="4">
        <f>'Nutrient Content_TFP'!$G67</f>
        <v>46.627614004000002</v>
      </c>
      <c r="I67" s="53">
        <f t="shared" si="0"/>
        <v>3.7996496191219302E-2</v>
      </c>
      <c r="J67" s="53">
        <f t="shared" si="1"/>
        <v>3.7996496191219302</v>
      </c>
      <c r="K67" s="4">
        <f>Calculation_TFP!$G65</f>
        <v>0.30926290393979999</v>
      </c>
      <c r="L67" s="61">
        <f t="shared" si="2"/>
        <v>1.1750906751634031E-2</v>
      </c>
    </row>
    <row r="68" spans="1:12" x14ac:dyDescent="0.35">
      <c r="A68" s="4">
        <v>63</v>
      </c>
      <c r="B68" s="58">
        <v>2.2659187316894531</v>
      </c>
      <c r="C68" s="16">
        <v>1.409626245498657</v>
      </c>
      <c r="D68" s="4">
        <v>4.1999640464782706</v>
      </c>
      <c r="E68" s="16">
        <v>3.0983164310455318</v>
      </c>
      <c r="F68" s="4">
        <v>10.973825454711912</v>
      </c>
      <c r="G68" s="71">
        <f>'Your Model Diet'!$L74</f>
        <v>4.1999640464782706</v>
      </c>
      <c r="H68" s="4">
        <f>'Nutrient Content_TFP'!$G68</f>
        <v>56.378662192</v>
      </c>
      <c r="I68" s="53">
        <f t="shared" si="0"/>
        <v>7.4495631559598013E-2</v>
      </c>
      <c r="J68" s="53">
        <f t="shared" si="1"/>
        <v>7.449563155959801</v>
      </c>
      <c r="K68" s="4">
        <f>Calculation_TFP!$G66</f>
        <v>0.4448043902048</v>
      </c>
      <c r="L68" s="61">
        <f t="shared" si="2"/>
        <v>3.3135983968788446E-2</v>
      </c>
    </row>
    <row r="69" spans="1:12" x14ac:dyDescent="0.35">
      <c r="A69" s="4">
        <v>64</v>
      </c>
      <c r="B69" s="58">
        <v>1.269375324249268</v>
      </c>
      <c r="C69" s="16">
        <v>1.0842148065567021</v>
      </c>
      <c r="D69" s="4">
        <v>4.3306179046630859</v>
      </c>
      <c r="E69" s="16">
        <v>4.4456205368041992</v>
      </c>
      <c r="F69" s="4">
        <v>11.129828572273254</v>
      </c>
      <c r="G69" s="71">
        <f>'Your Model Diet'!$L75</f>
        <v>4.3306179046630859</v>
      </c>
      <c r="H69" s="4">
        <f>'Nutrient Content_TFP'!$G69</f>
        <v>139.97242716</v>
      </c>
      <c r="I69" s="53">
        <f t="shared" si="0"/>
        <v>3.0939078449449431E-2</v>
      </c>
      <c r="J69" s="53">
        <f t="shared" si="1"/>
        <v>3.0939078449449431</v>
      </c>
      <c r="K69" s="4">
        <f>Calculation_TFP!$G67</f>
        <v>0.67716967377399995</v>
      </c>
      <c r="L69" s="61">
        <f t="shared" si="2"/>
        <v>2.0951005660481862E-2</v>
      </c>
    </row>
    <row r="70" spans="1:12" x14ac:dyDescent="0.35">
      <c r="A70" s="4">
        <v>65</v>
      </c>
      <c r="B70" s="58">
        <v>3.737990140914917</v>
      </c>
      <c r="C70" s="16">
        <v>3.7480988502502441</v>
      </c>
      <c r="D70" s="4">
        <v>4.8419322967529297</v>
      </c>
      <c r="E70" s="16">
        <v>7.7969112396240234</v>
      </c>
      <c r="F70" s="4">
        <v>20.124932527542114</v>
      </c>
      <c r="G70" s="71">
        <f>'Your Model Diet'!$L76</f>
        <v>4.8419322967529297</v>
      </c>
      <c r="H70" s="4">
        <f>'Nutrient Content_TFP'!$G70</f>
        <v>121.43791776</v>
      </c>
      <c r="I70" s="53">
        <f t="shared" si="0"/>
        <v>3.9871667647679285E-2</v>
      </c>
      <c r="J70" s="53">
        <f t="shared" si="1"/>
        <v>3.9871667647679283</v>
      </c>
      <c r="K70" s="4">
        <f>Calculation_TFP!$G68</f>
        <v>0.3788815826852</v>
      </c>
      <c r="L70" s="61">
        <f t="shared" si="2"/>
        <v>1.5106640542651012E-2</v>
      </c>
    </row>
    <row r="71" spans="1:12" x14ac:dyDescent="0.35">
      <c r="A71" s="4">
        <v>66</v>
      </c>
      <c r="B71" s="58">
        <v>2.4801690578460689</v>
      </c>
      <c r="C71" s="16">
        <v>2.31391429901123</v>
      </c>
      <c r="D71" s="4">
        <v>4.1951761245727539</v>
      </c>
      <c r="E71" s="16">
        <v>5.2732019424438477</v>
      </c>
      <c r="F71" s="4">
        <v>14.262461423873901</v>
      </c>
      <c r="G71" s="71">
        <f>'Your Model Diet'!$L77</f>
        <v>4.1951761245727539</v>
      </c>
      <c r="H71" s="4">
        <f>'Nutrient Content_TFP'!$G71</f>
        <v>110.77667398</v>
      </c>
      <c r="I71" s="53">
        <f t="shared" ref="I71:I102" si="3">$G71/$H71</f>
        <v>3.7870573053404417E-2</v>
      </c>
      <c r="J71" s="53">
        <f t="shared" ref="J71:J102" si="4">$I71*100</f>
        <v>3.7870573053404417</v>
      </c>
      <c r="K71" s="4">
        <f>Calculation_TFP!$G69</f>
        <v>0.65992798788219997</v>
      </c>
      <c r="L71" s="61">
        <f t="shared" ref="L71:L102" si="5">$I71*$K71</f>
        <v>2.4991851075079039E-2</v>
      </c>
    </row>
    <row r="72" spans="1:12" x14ac:dyDescent="0.35">
      <c r="A72" s="4">
        <v>67</v>
      </c>
      <c r="B72" s="58">
        <v>2.0779540538787842</v>
      </c>
      <c r="C72" s="16">
        <v>4.4527716636657706</v>
      </c>
      <c r="D72" s="4">
        <v>5.4028997421264648</v>
      </c>
      <c r="E72" s="16">
        <v>4.8219995498657227</v>
      </c>
      <c r="F72" s="4">
        <v>16.755625009536743</v>
      </c>
      <c r="G72" s="71">
        <f>'Your Model Diet'!$L78</f>
        <v>5.4028997421264648</v>
      </c>
      <c r="H72" s="4">
        <f>'Nutrient Content_TFP'!$G72</f>
        <v>121.11224633</v>
      </c>
      <c r="I72" s="53">
        <f t="shared" si="3"/>
        <v>4.4610680635919671E-2</v>
      </c>
      <c r="J72" s="53">
        <f t="shared" si="4"/>
        <v>4.4610680635919673</v>
      </c>
      <c r="K72" s="4">
        <f>Calculation_TFP!$G70</f>
        <v>0.32372313643559997</v>
      </c>
      <c r="L72" s="61">
        <f t="shared" si="5"/>
        <v>1.4441509453986801E-2</v>
      </c>
    </row>
    <row r="73" spans="1:12" x14ac:dyDescent="0.35">
      <c r="A73" s="4">
        <v>68</v>
      </c>
      <c r="B73" s="58">
        <v>5.7987403869628906</v>
      </c>
      <c r="C73" s="16">
        <v>3.1456141471862789</v>
      </c>
      <c r="D73" s="4">
        <v>5.9885573387145996</v>
      </c>
      <c r="E73" s="16">
        <v>7.3665251731872559</v>
      </c>
      <c r="F73" s="4">
        <v>22.299437046051025</v>
      </c>
      <c r="G73" s="71">
        <f>'Your Model Diet'!$L79</f>
        <v>5.9885573387145996</v>
      </c>
      <c r="H73" s="4">
        <f>'Nutrient Content_TFP'!$G73</f>
        <v>533.75688344000002</v>
      </c>
      <c r="I73" s="53">
        <f t="shared" si="3"/>
        <v>1.1219634864695431E-2</v>
      </c>
      <c r="J73" s="53">
        <f t="shared" si="4"/>
        <v>1.1219634864695431</v>
      </c>
      <c r="K73" s="4">
        <f>Calculation_TFP!$G71</f>
        <v>1.1732299673081998</v>
      </c>
      <c r="L73" s="61">
        <f t="shared" si="5"/>
        <v>1.3163211845516559E-2</v>
      </c>
    </row>
    <row r="74" spans="1:12" x14ac:dyDescent="0.35">
      <c r="A74" s="4">
        <v>69</v>
      </c>
      <c r="B74" s="58">
        <v>4.0269756317138672</v>
      </c>
      <c r="C74" s="16">
        <v>6.2259378433227539</v>
      </c>
      <c r="D74" s="4">
        <v>25.707389831542969</v>
      </c>
      <c r="E74" s="16">
        <v>30.17625617980957</v>
      </c>
      <c r="F74" s="4">
        <v>66.13655948638916</v>
      </c>
      <c r="G74" s="71">
        <f>'Your Model Diet'!$L80</f>
        <v>25.707389831542969</v>
      </c>
      <c r="H74" s="4">
        <f>'Nutrient Content_TFP'!$G74</f>
        <v>576.60102189999998</v>
      </c>
      <c r="I74" s="53">
        <f t="shared" si="3"/>
        <v>4.4584363979849842E-2</v>
      </c>
      <c r="J74" s="53">
        <f t="shared" si="4"/>
        <v>4.4584363979849844</v>
      </c>
      <c r="K74" s="4">
        <f>Calculation_TFP!$G72</f>
        <v>1.5553578062869999</v>
      </c>
      <c r="L74" s="61">
        <f t="shared" si="5"/>
        <v>6.9344638554400387E-2</v>
      </c>
    </row>
    <row r="75" spans="1:12" x14ac:dyDescent="0.35">
      <c r="A75" s="4">
        <v>70</v>
      </c>
      <c r="B75" s="58">
        <v>17.569194793701168</v>
      </c>
      <c r="C75" s="16">
        <v>7.7230772972106934</v>
      </c>
      <c r="D75" s="4">
        <v>18.79734992980957</v>
      </c>
      <c r="E75" s="16">
        <v>23.258064270019531</v>
      </c>
      <c r="F75" s="4">
        <v>67.347686290740967</v>
      </c>
      <c r="G75" s="71">
        <f>'Your Model Diet'!$L81</f>
        <v>18.79734992980957</v>
      </c>
      <c r="H75" s="4">
        <f>'Nutrient Content_TFP'!$G75</f>
        <v>596.19245555999998</v>
      </c>
      <c r="I75" s="53">
        <f t="shared" si="3"/>
        <v>3.1528996642792691E-2</v>
      </c>
      <c r="J75" s="53">
        <f t="shared" si="4"/>
        <v>3.152899664279269</v>
      </c>
      <c r="K75" s="4">
        <f>Calculation_TFP!$G73</f>
        <v>0.59565395405580002</v>
      </c>
      <c r="L75" s="61">
        <f t="shared" si="5"/>
        <v>1.8780371517691512E-2</v>
      </c>
    </row>
    <row r="76" spans="1:12" x14ac:dyDescent="0.35">
      <c r="A76" s="4">
        <v>71</v>
      </c>
      <c r="B76" s="58">
        <v>3.626018762588501</v>
      </c>
      <c r="C76" s="16">
        <v>2.8417282104492192</v>
      </c>
      <c r="D76" s="4">
        <v>4.3250341415405273</v>
      </c>
      <c r="E76" s="16">
        <v>3.8748385906219478</v>
      </c>
      <c r="F76" s="4">
        <v>14.667619705200195</v>
      </c>
      <c r="G76" s="71">
        <f>'Your Model Diet'!$L82</f>
        <v>4.3250341415405273</v>
      </c>
      <c r="H76" s="4">
        <f>'Nutrient Content_TFP'!$G76</f>
        <v>190.93206262999999</v>
      </c>
      <c r="I76" s="53">
        <f t="shared" si="3"/>
        <v>2.2652215044268637E-2</v>
      </c>
      <c r="J76" s="53">
        <f t="shared" si="4"/>
        <v>2.2652215044268638</v>
      </c>
      <c r="K76" s="4">
        <f>Calculation_TFP!$G74</f>
        <v>0.84312247083019998</v>
      </c>
      <c r="L76" s="61">
        <f t="shared" si="5"/>
        <v>1.90985915179008E-2</v>
      </c>
    </row>
    <row r="77" spans="1:12" x14ac:dyDescent="0.35">
      <c r="A77" s="4">
        <v>72</v>
      </c>
      <c r="B77" s="58">
        <v>12.258920669555661</v>
      </c>
      <c r="C77" s="16">
        <v>18.258026123046879</v>
      </c>
      <c r="D77" s="4">
        <v>22.84556770324707</v>
      </c>
      <c r="E77" s="16">
        <v>30.85762786865234</v>
      </c>
      <c r="F77" s="4">
        <v>84.220142364501953</v>
      </c>
      <c r="G77" s="71">
        <f>'Your Model Diet'!$L83</f>
        <v>22.84556770324707</v>
      </c>
      <c r="H77" s="4">
        <f>'Nutrient Content_TFP'!$G77</f>
        <v>199.86684008</v>
      </c>
      <c r="I77" s="53">
        <f t="shared" si="3"/>
        <v>0.11430394203512076</v>
      </c>
      <c r="J77" s="53">
        <f t="shared" si="4"/>
        <v>11.430394203512076</v>
      </c>
      <c r="K77" s="4">
        <f>Calculation_TFP!$G75</f>
        <v>1.0291538844571999</v>
      </c>
      <c r="L77" s="61">
        <f t="shared" si="5"/>
        <v>0.11763634595421514</v>
      </c>
    </row>
    <row r="78" spans="1:12" x14ac:dyDescent="0.35">
      <c r="A78" s="4">
        <v>73</v>
      </c>
      <c r="B78" s="58">
        <v>3.1631982326507568</v>
      </c>
      <c r="C78" s="16">
        <v>4.3024454116821289</v>
      </c>
      <c r="D78" s="4">
        <v>5.6817045211791992</v>
      </c>
      <c r="E78" s="16">
        <v>13.46895790100098</v>
      </c>
      <c r="F78" s="4">
        <v>26.616306066513065</v>
      </c>
      <c r="G78" s="71">
        <f>'Your Model Diet'!$L84</f>
        <v>5.6817045211791992</v>
      </c>
      <c r="H78" s="4">
        <f>'Nutrient Content_TFP'!$G78</f>
        <v>252.57337085</v>
      </c>
      <c r="I78" s="53">
        <f t="shared" si="3"/>
        <v>2.2495263463674833E-2</v>
      </c>
      <c r="J78" s="53">
        <f t="shared" si="4"/>
        <v>2.2495263463674831</v>
      </c>
      <c r="K78" s="4">
        <f>Calculation_TFP!$G76</f>
        <v>1.5709376567722</v>
      </c>
      <c r="L78" s="61">
        <f t="shared" si="5"/>
        <v>3.5338656474098624E-2</v>
      </c>
    </row>
    <row r="79" spans="1:12" x14ac:dyDescent="0.35">
      <c r="A79" s="4">
        <v>74</v>
      </c>
      <c r="B79" s="58">
        <v>19.270269393920898</v>
      </c>
      <c r="C79" s="16">
        <v>13.12508392333984</v>
      </c>
      <c r="D79" s="4">
        <v>5.845707893371582</v>
      </c>
      <c r="E79" s="16">
        <v>13.84474086761475</v>
      </c>
      <c r="F79" s="4">
        <v>52.08580207824707</v>
      </c>
      <c r="G79" s="71">
        <f>'Your Model Diet'!$L85</f>
        <v>5.845707893371582</v>
      </c>
      <c r="H79" s="4">
        <f>'Nutrient Content_TFP'!$G79</f>
        <v>232.54865154000001</v>
      </c>
      <c r="I79" s="53">
        <f t="shared" si="3"/>
        <v>2.5137569513560817E-2</v>
      </c>
      <c r="J79" s="53">
        <f t="shared" si="4"/>
        <v>2.5137569513560818</v>
      </c>
      <c r="K79" s="4">
        <f>Calculation_TFP!$G77</f>
        <v>0.74689853237179993</v>
      </c>
      <c r="L79" s="61">
        <f t="shared" si="5"/>
        <v>1.8775213777072676E-2</v>
      </c>
    </row>
    <row r="80" spans="1:12" x14ac:dyDescent="0.35">
      <c r="A80" s="4">
        <v>75</v>
      </c>
      <c r="B80" s="58">
        <v>59.694095611572273</v>
      </c>
      <c r="C80" s="16">
        <v>68.399810791015625</v>
      </c>
      <c r="D80" s="4">
        <v>58.612480163574219</v>
      </c>
      <c r="E80" s="16">
        <v>90.836387634277344</v>
      </c>
      <c r="F80" s="4">
        <v>277.54277420043945</v>
      </c>
      <c r="G80" s="71">
        <f>'Your Model Diet'!$L86</f>
        <v>58.612480163574219</v>
      </c>
      <c r="H80" s="4">
        <f>'Nutrient Content_TFP'!$G80</f>
        <v>369.27761643000002</v>
      </c>
      <c r="I80" s="53">
        <f t="shared" si="3"/>
        <v>0.15872199547378946</v>
      </c>
      <c r="J80" s="53">
        <f t="shared" si="4"/>
        <v>15.872199547378946</v>
      </c>
      <c r="K80" s="4">
        <f>Calculation_TFP!$G78</f>
        <v>0.876470489307</v>
      </c>
      <c r="L80" s="61">
        <f t="shared" si="5"/>
        <v>0.1391151450366957</v>
      </c>
    </row>
    <row r="81" spans="1:12" x14ac:dyDescent="0.35">
      <c r="A81" s="4">
        <v>76</v>
      </c>
      <c r="B81" s="58">
        <v>1.7602831125259399</v>
      </c>
      <c r="C81" s="16">
        <v>4.750124454498291</v>
      </c>
      <c r="D81" s="4">
        <v>4.9497404098510742</v>
      </c>
      <c r="E81" s="16">
        <v>2.9271748065948491</v>
      </c>
      <c r="F81" s="4">
        <v>14.387322783470154</v>
      </c>
      <c r="G81" s="71">
        <f>'Your Model Diet'!$L87</f>
        <v>4.9497404098510742</v>
      </c>
      <c r="H81" s="4">
        <f>'Nutrient Content_TFP'!$G81</f>
        <v>176.02831886000001</v>
      </c>
      <c r="I81" s="53">
        <f t="shared" si="3"/>
        <v>2.8119000635276951E-2</v>
      </c>
      <c r="J81" s="53">
        <f t="shared" si="4"/>
        <v>2.8119000635276952</v>
      </c>
      <c r="K81" s="4">
        <f>Calculation_TFP!$G79</f>
        <v>1.2751379015574</v>
      </c>
      <c r="L81" s="61">
        <f t="shared" si="5"/>
        <v>3.5855603463958247E-2</v>
      </c>
    </row>
    <row r="82" spans="1:12" x14ac:dyDescent="0.35">
      <c r="A82" s="4">
        <v>77</v>
      </c>
      <c r="B82" s="58">
        <v>3.9339942932128911</v>
      </c>
      <c r="C82" s="16">
        <v>8.0326395034790039</v>
      </c>
      <c r="D82" s="4">
        <v>13.60397148132324</v>
      </c>
      <c r="E82" s="16">
        <v>22.459840774536129</v>
      </c>
      <c r="F82" s="4">
        <v>48.030446052551262</v>
      </c>
      <c r="G82" s="71">
        <f>'Your Model Diet'!$L88</f>
        <v>13.60397148132324</v>
      </c>
      <c r="H82" s="4">
        <f>'Nutrient Content_TFP'!$G82</f>
        <v>156.36026035</v>
      </c>
      <c r="I82" s="53">
        <f t="shared" si="3"/>
        <v>8.700402167962519E-2</v>
      </c>
      <c r="J82" s="53">
        <f t="shared" si="4"/>
        <v>8.700402167962519</v>
      </c>
      <c r="K82" s="4">
        <f>Calculation_TFP!$G80</f>
        <v>1.1402845062279998</v>
      </c>
      <c r="L82" s="61">
        <f t="shared" si="5"/>
        <v>9.9209337900801595E-2</v>
      </c>
    </row>
    <row r="83" spans="1:12" x14ac:dyDescent="0.35">
      <c r="A83" s="4">
        <v>78</v>
      </c>
      <c r="B83" s="58">
        <v>5.545539379119873</v>
      </c>
      <c r="C83" s="16">
        <v>7.4264402389526367</v>
      </c>
      <c r="D83" s="4">
        <v>22.346132278442379</v>
      </c>
      <c r="E83" s="16">
        <v>33.206272125244141</v>
      </c>
      <c r="F83" s="4">
        <v>68.524384021759033</v>
      </c>
      <c r="G83" s="71">
        <f>'Your Model Diet'!$L89</f>
        <v>22.346132278442379</v>
      </c>
      <c r="H83" s="4">
        <f>'Nutrient Content_TFP'!$G83</f>
        <v>179.16468298000001</v>
      </c>
      <c r="I83" s="53">
        <f t="shared" si="3"/>
        <v>0.12472397967481604</v>
      </c>
      <c r="J83" s="53">
        <f t="shared" si="4"/>
        <v>12.472397967481603</v>
      </c>
      <c r="K83" s="4">
        <f>Calculation_TFP!$G81</f>
        <v>2.0835729814616002</v>
      </c>
      <c r="L83" s="61">
        <f t="shared" si="5"/>
        <v>0.25987151419081245</v>
      </c>
    </row>
    <row r="84" spans="1:12" x14ac:dyDescent="0.35">
      <c r="A84" s="4">
        <v>79</v>
      </c>
      <c r="B84" s="58">
        <v>80.233726501464844</v>
      </c>
      <c r="C84" s="16">
        <v>91.895416259765625</v>
      </c>
      <c r="D84" s="4">
        <v>94.706436157226563</v>
      </c>
      <c r="E84" s="16">
        <v>92.975624084472656</v>
      </c>
      <c r="F84" s="4">
        <v>359.81120300292969</v>
      </c>
      <c r="G84" s="71">
        <f>'Your Model Diet'!$L90</f>
        <v>94.706436157226563</v>
      </c>
      <c r="H84" s="4">
        <f>'Nutrient Content_TFP'!$G84</f>
        <v>400.37388692000002</v>
      </c>
      <c r="I84" s="53">
        <f t="shared" si="3"/>
        <v>0.23654498770083413</v>
      </c>
      <c r="J84" s="53">
        <f t="shared" si="4"/>
        <v>23.654498770083414</v>
      </c>
      <c r="K84" s="4">
        <f>Calculation_TFP!$G82</f>
        <v>0.89676722459720004</v>
      </c>
      <c r="L84" s="61">
        <f t="shared" si="5"/>
        <v>0.21212579211285584</v>
      </c>
    </row>
    <row r="85" spans="1:12" x14ac:dyDescent="0.35">
      <c r="A85" s="4">
        <v>80</v>
      </c>
      <c r="B85" s="58">
        <v>13.958060264587401</v>
      </c>
      <c r="C85" s="16">
        <v>21.228189468383789</v>
      </c>
      <c r="D85" s="4">
        <v>16.731340408325199</v>
      </c>
      <c r="E85" s="16">
        <v>24.247993469238281</v>
      </c>
      <c r="F85" s="4">
        <v>76.165583610534668</v>
      </c>
      <c r="G85" s="71">
        <f>'Your Model Diet'!$L91</f>
        <v>16.731340408325199</v>
      </c>
      <c r="H85" s="4">
        <f>'Nutrient Content_TFP'!$G85</f>
        <v>418.54510512000002</v>
      </c>
      <c r="I85" s="53">
        <f t="shared" si="3"/>
        <v>3.9974999596586368E-2</v>
      </c>
      <c r="J85" s="53">
        <f t="shared" si="4"/>
        <v>3.9974999596586369</v>
      </c>
      <c r="K85" s="4">
        <f>Calculation_TFP!$G83</f>
        <v>1.5305736950958</v>
      </c>
      <c r="L85" s="61">
        <f t="shared" si="5"/>
        <v>6.1184682844000311E-2</v>
      </c>
    </row>
    <row r="86" spans="1:12" x14ac:dyDescent="0.35">
      <c r="A86" s="4">
        <v>81</v>
      </c>
      <c r="B86" s="58">
        <v>31.836931228637699</v>
      </c>
      <c r="C86" s="16">
        <v>44.722320556640632</v>
      </c>
      <c r="D86" s="4">
        <v>29.034511566162109</v>
      </c>
      <c r="E86" s="16">
        <v>30.677005767822269</v>
      </c>
      <c r="F86" s="4">
        <v>136.2707691192627</v>
      </c>
      <c r="G86" s="71">
        <f>'Your Model Diet'!$L92</f>
        <v>29.034511566162109</v>
      </c>
      <c r="H86" s="4">
        <f>'Nutrient Content_TFP'!$G86</f>
        <v>442.72072774999998</v>
      </c>
      <c r="I86" s="53">
        <f t="shared" si="3"/>
        <v>6.5582001804436879E-2</v>
      </c>
      <c r="J86" s="53">
        <f t="shared" si="4"/>
        <v>6.5582001804436878</v>
      </c>
      <c r="K86" s="4">
        <f>Calculation_TFP!$G84</f>
        <v>1.2115529565314</v>
      </c>
      <c r="L86" s="61">
        <f t="shared" si="5"/>
        <v>7.9456068181413111E-2</v>
      </c>
    </row>
    <row r="87" spans="1:12" x14ac:dyDescent="0.35">
      <c r="A87" s="4">
        <v>82</v>
      </c>
      <c r="B87" s="58">
        <v>35.144939422607422</v>
      </c>
      <c r="C87" s="16">
        <v>50.969440460205078</v>
      </c>
      <c r="D87" s="4">
        <v>33.119731903076172</v>
      </c>
      <c r="E87" s="16">
        <v>40.624580383300781</v>
      </c>
      <c r="F87" s="4">
        <v>159.85869216918945</v>
      </c>
      <c r="G87" s="71">
        <f>'Your Model Diet'!$L93</f>
        <v>33.119731903076172</v>
      </c>
      <c r="H87" s="4">
        <f>'Nutrient Content_TFP'!$G87</f>
        <v>512.45136730000002</v>
      </c>
      <c r="I87" s="53">
        <f t="shared" si="3"/>
        <v>6.4630000067278912E-2</v>
      </c>
      <c r="J87" s="53">
        <f t="shared" si="4"/>
        <v>6.4630000067278912</v>
      </c>
      <c r="K87" s="4">
        <f>Calculation_TFP!$G85</f>
        <v>1.1267989087028001</v>
      </c>
      <c r="L87" s="61">
        <f t="shared" si="5"/>
        <v>7.282501354527178E-2</v>
      </c>
    </row>
    <row r="88" spans="1:12" x14ac:dyDescent="0.35">
      <c r="A88" s="4">
        <v>83</v>
      </c>
      <c r="B88" s="58">
        <v>0.29994076490402222</v>
      </c>
      <c r="C88" s="16">
        <v>0.1019142419099808</v>
      </c>
      <c r="D88" s="4">
        <v>1.084700226783752</v>
      </c>
      <c r="E88" s="16">
        <v>0.43406522274017328</v>
      </c>
      <c r="F88" s="4">
        <v>1.9206204563379283</v>
      </c>
      <c r="G88" s="71">
        <f>'Your Model Diet'!$L94</f>
        <v>1.084700226783752</v>
      </c>
      <c r="H88" s="4">
        <f>'Nutrient Content_TFP'!$G88</f>
        <v>417.93666839999997</v>
      </c>
      <c r="I88" s="53">
        <f t="shared" si="3"/>
        <v>2.5953698461930698E-3</v>
      </c>
      <c r="J88" s="53">
        <f t="shared" si="4"/>
        <v>0.25953698461930697</v>
      </c>
      <c r="K88" s="4">
        <f>Calculation_TFP!$G86</f>
        <v>1.1456546609079998</v>
      </c>
      <c r="L88" s="61">
        <f t="shared" si="5"/>
        <v>2.9733975610711691E-3</v>
      </c>
    </row>
    <row r="89" spans="1:12" x14ac:dyDescent="0.35">
      <c r="A89" s="4">
        <v>84</v>
      </c>
      <c r="B89" s="58">
        <v>10.596797943115231</v>
      </c>
      <c r="C89" s="16">
        <v>12.37800407409668</v>
      </c>
      <c r="D89" s="4">
        <v>10.108675956726071</v>
      </c>
      <c r="E89" s="16">
        <v>8.2679672241210938</v>
      </c>
      <c r="F89" s="4">
        <v>41.351445198059075</v>
      </c>
      <c r="G89" s="71">
        <f>'Your Model Diet'!$L95</f>
        <v>10.108675956726071</v>
      </c>
      <c r="H89" s="4">
        <f>'Nutrient Content_TFP'!$G89</f>
        <v>474.50482731</v>
      </c>
      <c r="I89" s="53">
        <f t="shared" si="3"/>
        <v>2.1303631438341394E-2</v>
      </c>
      <c r="J89" s="53">
        <f t="shared" si="4"/>
        <v>2.1303631438341393</v>
      </c>
      <c r="K89" s="4">
        <f>Calculation_TFP!$G87</f>
        <v>0.89222008312079992</v>
      </c>
      <c r="L89" s="61">
        <f t="shared" si="5"/>
        <v>1.9007527812691844E-2</v>
      </c>
    </row>
    <row r="90" spans="1:12" x14ac:dyDescent="0.35">
      <c r="A90" s="4">
        <v>85</v>
      </c>
      <c r="B90" s="58">
        <v>41.821063995361328</v>
      </c>
      <c r="C90" s="16">
        <v>53.972980499267578</v>
      </c>
      <c r="D90" s="4">
        <v>29.446002960205082</v>
      </c>
      <c r="E90" s="16">
        <v>36.592041015625</v>
      </c>
      <c r="F90" s="4">
        <v>161.83208847045898</v>
      </c>
      <c r="G90" s="71">
        <f>'Your Model Diet'!$L96</f>
        <v>29.446002960205082</v>
      </c>
      <c r="H90" s="4">
        <f>'Nutrient Content_TFP'!$G90</f>
        <v>185.18334393000001</v>
      </c>
      <c r="I90" s="53">
        <f t="shared" si="3"/>
        <v>0.15900999698620724</v>
      </c>
      <c r="J90" s="53">
        <f t="shared" si="4"/>
        <v>15.900999698620724</v>
      </c>
      <c r="K90" s="4">
        <f>Calculation_TFP!$G88</f>
        <v>0.45713767598460003</v>
      </c>
      <c r="L90" s="61">
        <f t="shared" si="5"/>
        <v>7.2689460480593035E-2</v>
      </c>
    </row>
    <row r="91" spans="1:12" x14ac:dyDescent="0.35">
      <c r="A91" s="4">
        <v>86</v>
      </c>
      <c r="B91" s="58">
        <v>14.361213684082029</v>
      </c>
      <c r="C91" s="16">
        <v>15.071145057678221</v>
      </c>
      <c r="D91" s="4">
        <v>8.9055862426757813</v>
      </c>
      <c r="E91" s="16">
        <v>4.0041298866271973</v>
      </c>
      <c r="F91" s="4">
        <v>42.342074871063232</v>
      </c>
      <c r="G91" s="71">
        <f>'Your Model Diet'!$L97</f>
        <v>8.9055862426757813</v>
      </c>
      <c r="H91" s="4">
        <f>'Nutrient Content_TFP'!$G91</f>
        <v>400.41301952999999</v>
      </c>
      <c r="I91" s="53">
        <f t="shared" si="3"/>
        <v>2.2241000687562688E-2</v>
      </c>
      <c r="J91" s="53">
        <f t="shared" si="4"/>
        <v>2.2241000687562686</v>
      </c>
      <c r="K91" s="4">
        <f>Calculation_TFP!$G89</f>
        <v>0.83573470510140002</v>
      </c>
      <c r="L91" s="61">
        <f t="shared" si="5"/>
        <v>1.8587576150780237E-2</v>
      </c>
    </row>
    <row r="92" spans="1:12" x14ac:dyDescent="0.35">
      <c r="A92" s="4">
        <v>87</v>
      </c>
      <c r="B92" s="58">
        <v>1.2212896347045901</v>
      </c>
      <c r="C92" s="16">
        <v>0.71663272380828857</v>
      </c>
      <c r="D92" s="4">
        <v>0.75520294904708862</v>
      </c>
      <c r="E92" s="16">
        <v>1.8267674446105959</v>
      </c>
      <c r="F92" s="4">
        <v>4.5198927521705627</v>
      </c>
      <c r="G92" s="71">
        <f>'Your Model Diet'!$L98</f>
        <v>0.75520294904708862</v>
      </c>
      <c r="H92" s="4">
        <f>'Nutrient Content_TFP'!$G92</f>
        <v>471.54441355</v>
      </c>
      <c r="I92" s="53">
        <f t="shared" si="3"/>
        <v>1.601552106961842E-3</v>
      </c>
      <c r="J92" s="53">
        <f t="shared" si="4"/>
        <v>0.16015521069618419</v>
      </c>
      <c r="K92" s="4">
        <f>Calculation_TFP!$G90</f>
        <v>1.0911652166930002</v>
      </c>
      <c r="L92" s="61">
        <f t="shared" si="5"/>
        <v>1.7475579518381492E-3</v>
      </c>
    </row>
    <row r="93" spans="1:12" x14ac:dyDescent="0.35">
      <c r="A93" s="4">
        <v>88</v>
      </c>
      <c r="B93" s="58">
        <v>4.1123380661010742</v>
      </c>
      <c r="C93" s="16">
        <v>9.3617353439331055</v>
      </c>
      <c r="D93" s="4">
        <v>4.4766244888305664</v>
      </c>
      <c r="E93" s="16">
        <v>5.3398895263671884</v>
      </c>
      <c r="F93" s="4">
        <v>23.290587425231934</v>
      </c>
      <c r="G93" s="71">
        <f>'Your Model Diet'!$L99</f>
        <v>4.4766244888305664</v>
      </c>
      <c r="H93" s="4">
        <f>'Nutrient Content_TFP'!$G93</f>
        <v>533.02997320999998</v>
      </c>
      <c r="I93" s="53">
        <f t="shared" si="3"/>
        <v>8.3984479556966536E-3</v>
      </c>
      <c r="J93" s="53">
        <f t="shared" si="4"/>
        <v>0.8398447955696654</v>
      </c>
      <c r="K93" s="4">
        <f>Calculation_TFP!$G91</f>
        <v>0.78088681164019991</v>
      </c>
      <c r="L93" s="61">
        <f t="shared" si="5"/>
        <v>6.5582372468501147E-3</v>
      </c>
    </row>
    <row r="94" spans="1:12" x14ac:dyDescent="0.35">
      <c r="A94" s="4">
        <v>89</v>
      </c>
      <c r="B94" s="58">
        <v>17.083608627319339</v>
      </c>
      <c r="C94" s="16">
        <v>16.754831314086911</v>
      </c>
      <c r="D94" s="4">
        <v>15.070712089538571</v>
      </c>
      <c r="E94" s="16">
        <v>20.772443771362301</v>
      </c>
      <c r="F94" s="4">
        <v>69.681595802307129</v>
      </c>
      <c r="G94" s="71">
        <f>'Your Model Diet'!$L100</f>
        <v>15.070712089538571</v>
      </c>
      <c r="H94" s="4">
        <f>'Nutrient Content_TFP'!$G94</f>
        <v>327.14056902999999</v>
      </c>
      <c r="I94" s="53">
        <f t="shared" si="3"/>
        <v>4.60680010865804E-2</v>
      </c>
      <c r="J94" s="53">
        <f t="shared" si="4"/>
        <v>4.6068001086580397</v>
      </c>
      <c r="K94" s="4">
        <f>Calculation_TFP!$G92</f>
        <v>0.44789516800500001</v>
      </c>
      <c r="L94" s="61">
        <f t="shared" si="5"/>
        <v>2.0633635086328452E-2</v>
      </c>
    </row>
    <row r="95" spans="1:12" x14ac:dyDescent="0.35">
      <c r="A95" s="4">
        <v>90</v>
      </c>
      <c r="B95" s="58">
        <v>0.5202864408493042</v>
      </c>
      <c r="C95" s="16">
        <v>0.73291218280792236</v>
      </c>
      <c r="D95" s="4">
        <v>1.150610208511353</v>
      </c>
      <c r="E95" s="16">
        <v>0.86187660694122314</v>
      </c>
      <c r="F95" s="4">
        <v>3.2656854391098027</v>
      </c>
      <c r="G95" s="71">
        <f>'Your Model Diet'!$L101</f>
        <v>1.150610208511353</v>
      </c>
      <c r="H95" s="4">
        <f>'Nutrient Content_TFP'!$G95</f>
        <v>27.788386170999999</v>
      </c>
      <c r="I95" s="53">
        <f t="shared" si="3"/>
        <v>4.1406154406769098E-2</v>
      </c>
      <c r="J95" s="53">
        <f t="shared" si="4"/>
        <v>4.1406154406769096</v>
      </c>
      <c r="K95" s="4">
        <f>Calculation_TFP!$G93</f>
        <v>0.51711716707220001</v>
      </c>
      <c r="L95" s="61">
        <f t="shared" si="5"/>
        <v>2.1411833266182526E-2</v>
      </c>
    </row>
    <row r="96" spans="1:12" x14ac:dyDescent="0.35">
      <c r="A96" s="4">
        <v>91</v>
      </c>
      <c r="B96" s="58">
        <v>1.850203156471252</v>
      </c>
      <c r="C96" s="16">
        <v>2.166301012039185</v>
      </c>
      <c r="D96" s="4">
        <v>6.3110466003417969</v>
      </c>
      <c r="E96" s="16">
        <v>4.6190581321716309</v>
      </c>
      <c r="F96" s="4">
        <v>14.946608901023865</v>
      </c>
      <c r="G96" s="71">
        <f>'Your Model Diet'!$L102</f>
        <v>6.3110466003417969</v>
      </c>
      <c r="H96" s="4">
        <f>'Nutrient Content_TFP'!$G96</f>
        <v>32.768511011000001</v>
      </c>
      <c r="I96" s="53">
        <f t="shared" si="3"/>
        <v>0.19259485419472533</v>
      </c>
      <c r="J96" s="53">
        <f t="shared" si="4"/>
        <v>19.259485419472533</v>
      </c>
      <c r="K96" s="4">
        <f>Calculation_TFP!$G94</f>
        <v>0.91612619959999997</v>
      </c>
      <c r="L96" s="61">
        <f t="shared" si="5"/>
        <v>0.17644119183592982</v>
      </c>
    </row>
    <row r="97" spans="1:12" x14ac:dyDescent="0.35">
      <c r="A97" s="4">
        <v>92</v>
      </c>
      <c r="B97" s="58">
        <v>2.258304357528687</v>
      </c>
      <c r="C97" s="16">
        <v>2.1924386024475102</v>
      </c>
      <c r="D97" s="4">
        <v>4.9456415176391602</v>
      </c>
      <c r="E97" s="16">
        <v>4.8115301132202148</v>
      </c>
      <c r="F97" s="4">
        <v>14.207914590835571</v>
      </c>
      <c r="G97" s="71">
        <f>'Your Model Diet'!$L103</f>
        <v>4.9456415176391602</v>
      </c>
      <c r="H97" s="4">
        <f>'Nutrient Content_TFP'!$G97</f>
        <v>24.345206678</v>
      </c>
      <c r="I97" s="53">
        <f t="shared" si="3"/>
        <v>0.20314641740578779</v>
      </c>
      <c r="J97" s="53">
        <f t="shared" si="4"/>
        <v>20.314641740578779</v>
      </c>
      <c r="K97" s="4">
        <f>Calculation_TFP!$G95</f>
        <v>0.35158105225200004</v>
      </c>
      <c r="L97" s="61">
        <f t="shared" si="5"/>
        <v>7.1422431192750879E-2</v>
      </c>
    </row>
    <row r="98" spans="1:12" x14ac:dyDescent="0.35">
      <c r="A98" s="4">
        <v>93</v>
      </c>
      <c r="B98" s="58">
        <v>3.134987354278564</v>
      </c>
      <c r="C98" s="16">
        <v>3.77196216583252</v>
      </c>
      <c r="D98" s="4">
        <v>14.034902572631839</v>
      </c>
      <c r="E98" s="16">
        <v>11.2910041809082</v>
      </c>
      <c r="F98" s="4">
        <v>32.232856273651123</v>
      </c>
      <c r="G98" s="71">
        <f>'Your Model Diet'!$L104</f>
        <v>14.034902572631839</v>
      </c>
      <c r="H98" s="4">
        <f>'Nutrient Content_TFP'!$G98</f>
        <v>78.046435736999996</v>
      </c>
      <c r="I98" s="53">
        <f t="shared" si="3"/>
        <v>0.17982759161387582</v>
      </c>
      <c r="J98" s="53">
        <f t="shared" si="4"/>
        <v>17.98275916138758</v>
      </c>
      <c r="K98" s="4">
        <f>Calculation_TFP!$G96</f>
        <v>0.67335154832120003</v>
      </c>
      <c r="L98" s="61">
        <f t="shared" si="5"/>
        <v>0.12108718724407573</v>
      </c>
    </row>
    <row r="99" spans="1:12" x14ac:dyDescent="0.35">
      <c r="A99" s="4">
        <v>94</v>
      </c>
      <c r="B99" s="58">
        <v>1.3589926958084111</v>
      </c>
      <c r="C99" s="16">
        <v>1.249878406524658</v>
      </c>
      <c r="D99" s="4">
        <v>3.8546617031097412</v>
      </c>
      <c r="E99" s="16">
        <v>3.246385812759399</v>
      </c>
      <c r="F99" s="4">
        <v>9.7099186182022095</v>
      </c>
      <c r="G99" s="71">
        <f>'Your Model Diet'!$L105</f>
        <v>3.8546617031097412</v>
      </c>
      <c r="H99" s="4">
        <f>'Nutrient Content_TFP'!$G99</f>
        <v>25.012114148999999</v>
      </c>
      <c r="I99" s="53">
        <f t="shared" si="3"/>
        <v>0.154111790796535</v>
      </c>
      <c r="J99" s="53">
        <f t="shared" si="4"/>
        <v>15.4111790796535</v>
      </c>
      <c r="K99" s="4">
        <f>Calculation_TFP!$G97</f>
        <v>0.58666249328140008</v>
      </c>
      <c r="L99" s="61">
        <f t="shared" si="5"/>
        <v>9.0411607432756752E-2</v>
      </c>
    </row>
    <row r="100" spans="1:12" x14ac:dyDescent="0.35">
      <c r="A100" s="4">
        <v>95</v>
      </c>
      <c r="B100" s="58">
        <v>4.6315531730651864</v>
      </c>
      <c r="C100" s="16">
        <v>3.177934885025024</v>
      </c>
      <c r="D100" s="4">
        <v>4.5306844711303711</v>
      </c>
      <c r="E100" s="16">
        <v>2.952727079391479</v>
      </c>
      <c r="F100" s="4">
        <v>15.292899608612061</v>
      </c>
      <c r="G100" s="71">
        <f>'Your Model Diet'!$L106</f>
        <v>4.5306844711303711</v>
      </c>
      <c r="H100" s="4">
        <f>'Nutrient Content_TFP'!$G100</f>
        <v>49.532885385999997</v>
      </c>
      <c r="I100" s="53">
        <f t="shared" si="3"/>
        <v>9.1468212195264645E-2</v>
      </c>
      <c r="J100" s="53">
        <f t="shared" si="4"/>
        <v>9.1468212195264638</v>
      </c>
      <c r="K100" s="4">
        <f>Calculation_TFP!$G98</f>
        <v>0.3632339142346</v>
      </c>
      <c r="L100" s="61">
        <f t="shared" si="5"/>
        <v>3.3224356743726952E-2</v>
      </c>
    </row>
    <row r="101" spans="1:12" x14ac:dyDescent="0.35">
      <c r="A101" s="4">
        <v>96</v>
      </c>
      <c r="B101" s="58">
        <v>1.7968406677246089</v>
      </c>
      <c r="C101" s="16">
        <v>3.4990394115447998</v>
      </c>
      <c r="D101" s="4">
        <v>5.0170369148254386</v>
      </c>
      <c r="E101" s="16">
        <v>5.590662956237793</v>
      </c>
      <c r="F101" s="4">
        <v>15.903579950332642</v>
      </c>
      <c r="G101" s="71">
        <f>'Your Model Diet'!$L107</f>
        <v>5.0170369148254386</v>
      </c>
      <c r="H101" s="4">
        <f>'Nutrient Content_TFP'!$G101</f>
        <v>96.25990856</v>
      </c>
      <c r="I101" s="53">
        <f t="shared" si="3"/>
        <v>5.2119693337317655E-2</v>
      </c>
      <c r="J101" s="53">
        <f t="shared" si="4"/>
        <v>5.2119693337317656</v>
      </c>
      <c r="K101" s="4">
        <f>Calculation_TFP!$G99</f>
        <v>0.30649631325580001</v>
      </c>
      <c r="L101" s="61">
        <f t="shared" si="5"/>
        <v>1.5974493855910744E-2</v>
      </c>
    </row>
    <row r="102" spans="1:12" ht="15" thickBot="1" x14ac:dyDescent="0.4">
      <c r="A102" s="4">
        <v>97</v>
      </c>
      <c r="B102" s="59">
        <v>4.4049763679504386</v>
      </c>
      <c r="C102" s="38">
        <v>8.6245365142822266</v>
      </c>
      <c r="D102" s="17">
        <v>5.5712418556213379</v>
      </c>
      <c r="E102" s="38">
        <v>4.6133008003234863</v>
      </c>
      <c r="F102" s="17">
        <v>23.21405553817749</v>
      </c>
      <c r="G102" s="73">
        <f>'Your Model Diet'!$L108</f>
        <v>5.5712418556213379</v>
      </c>
      <c r="H102" s="17">
        <f>'Nutrient Content_TFP'!$G102</f>
        <v>88.133998750000003</v>
      </c>
      <c r="I102" s="64">
        <f t="shared" si="3"/>
        <v>6.3213310806703157E-2</v>
      </c>
      <c r="J102" s="64">
        <f t="shared" si="4"/>
        <v>6.3213310806703156</v>
      </c>
      <c r="K102" s="17">
        <f>Calculation_TFP!$G100</f>
        <v>0.47988254519700002</v>
      </c>
      <c r="L102" s="62">
        <f t="shared" si="5"/>
        <v>3.0334964480249738E-2</v>
      </c>
    </row>
    <row r="103" spans="1:12" x14ac:dyDescent="0.35">
      <c r="B103" s="4"/>
      <c r="C103" s="4"/>
      <c r="D103" s="4"/>
      <c r="E103" s="4"/>
      <c r="F103" s="4"/>
    </row>
  </sheetData>
  <sheetProtection sheet="1" objects="1" scenarios="1" selectLockedCells="1"/>
  <mergeCells count="4">
    <mergeCell ref="B3:F3"/>
    <mergeCell ref="G3:L3"/>
    <mergeCell ref="B2:F2"/>
    <mergeCell ref="G2:L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63574-6919-4655-BADE-6F033D0CA362}">
  <sheetPr>
    <tabColor theme="0"/>
  </sheetPr>
  <dimension ref="A1:L102"/>
  <sheetViews>
    <sheetView zoomScale="90" zoomScaleNormal="90" workbookViewId="0">
      <selection activeCell="I6" sqref="I6"/>
    </sheetView>
  </sheetViews>
  <sheetFormatPr defaultRowHeight="14.5" x14ac:dyDescent="0.35"/>
  <cols>
    <col min="2" max="12" width="16.7265625" customWidth="1"/>
  </cols>
  <sheetData>
    <row r="1" spans="1:12" ht="15" thickBot="1" x14ac:dyDescent="0.4">
      <c r="A1" s="1"/>
      <c r="B1" s="1"/>
    </row>
    <row r="2" spans="1:12" x14ac:dyDescent="0.35">
      <c r="A2" s="1"/>
      <c r="B2" s="179" t="s">
        <v>563</v>
      </c>
      <c r="C2" s="180"/>
      <c r="D2" s="180"/>
      <c r="E2" s="180"/>
      <c r="F2" s="181"/>
      <c r="G2" s="179" t="s">
        <v>564</v>
      </c>
      <c r="H2" s="180"/>
      <c r="I2" s="180"/>
      <c r="J2" s="180"/>
      <c r="K2" s="180"/>
      <c r="L2" s="63"/>
    </row>
    <row r="3" spans="1:12" x14ac:dyDescent="0.35">
      <c r="B3" s="176" t="s">
        <v>565</v>
      </c>
      <c r="C3" s="177"/>
      <c r="D3" s="177"/>
      <c r="E3" s="177"/>
      <c r="F3" s="178"/>
      <c r="G3" s="176" t="s">
        <v>566</v>
      </c>
      <c r="H3" s="182"/>
      <c r="I3" s="182"/>
      <c r="J3" s="182"/>
      <c r="K3" s="182"/>
      <c r="L3" s="5"/>
    </row>
    <row r="4" spans="1:12" ht="29" x14ac:dyDescent="0.35">
      <c r="B4" s="76" t="s">
        <v>502</v>
      </c>
      <c r="C4" s="65" t="s">
        <v>567</v>
      </c>
      <c r="D4" s="65" t="s">
        <v>567</v>
      </c>
      <c r="E4" s="65" t="s">
        <v>567</v>
      </c>
      <c r="F4" s="66" t="s">
        <v>567</v>
      </c>
      <c r="G4" s="103"/>
      <c r="H4" s="106"/>
      <c r="I4" s="106"/>
      <c r="J4" s="106"/>
      <c r="K4" s="50" t="s">
        <v>568</v>
      </c>
      <c r="L4" s="5"/>
    </row>
    <row r="5" spans="1:12" ht="29" x14ac:dyDescent="0.35">
      <c r="A5" s="54" t="s">
        <v>500</v>
      </c>
      <c r="B5" s="82" t="s">
        <v>65</v>
      </c>
      <c r="C5" s="55" t="s">
        <v>67</v>
      </c>
      <c r="D5" s="55" t="s">
        <v>24</v>
      </c>
      <c r="E5" s="55" t="s">
        <v>72</v>
      </c>
      <c r="F5" s="97" t="s">
        <v>75</v>
      </c>
      <c r="G5" s="76" t="s">
        <v>567</v>
      </c>
      <c r="H5" s="65" t="s">
        <v>569</v>
      </c>
      <c r="I5" s="65" t="s">
        <v>570</v>
      </c>
      <c r="J5" s="65" t="s">
        <v>571</v>
      </c>
      <c r="K5" s="65" t="s">
        <v>572</v>
      </c>
      <c r="L5" s="66" t="s">
        <v>573</v>
      </c>
    </row>
    <row r="6" spans="1:12" x14ac:dyDescent="0.35">
      <c r="A6">
        <v>1</v>
      </c>
      <c r="B6" s="98">
        <v>60.763076750000003</v>
      </c>
      <c r="C6" s="9">
        <v>89.020124539999998</v>
      </c>
      <c r="D6" s="9">
        <v>84.754735620000005</v>
      </c>
      <c r="E6" s="9">
        <v>134.18221819999999</v>
      </c>
      <c r="F6" s="99">
        <v>368.7201551</v>
      </c>
      <c r="G6" s="58">
        <f>'Your Model Diet'!$Q12</f>
        <v>84.754735620000005</v>
      </c>
      <c r="H6" s="4">
        <f>'Nutrient Content_TFP'!$G6</f>
        <v>157.30952464999999</v>
      </c>
      <c r="I6" s="4">
        <f>$G6/$H6</f>
        <v>0.53877688467098173</v>
      </c>
      <c r="J6" s="4">
        <f>$I6*100</f>
        <v>53.877688467098174</v>
      </c>
      <c r="K6" s="4">
        <f>Calculation_TFP!$G4</f>
        <v>0.32140266920959998</v>
      </c>
      <c r="L6" s="5">
        <f>$I6*$K6</f>
        <v>0.17316432884168634</v>
      </c>
    </row>
    <row r="7" spans="1:12" x14ac:dyDescent="0.35">
      <c r="A7">
        <v>2</v>
      </c>
      <c r="B7" s="98">
        <v>0</v>
      </c>
      <c r="C7" s="9">
        <v>0</v>
      </c>
      <c r="D7" s="9">
        <v>0</v>
      </c>
      <c r="E7" s="9">
        <v>30.481705219999998</v>
      </c>
      <c r="F7" s="99">
        <v>30.481705219999998</v>
      </c>
      <c r="G7" s="58">
        <f>'Your Model Diet'!$Q13</f>
        <v>0</v>
      </c>
      <c r="H7" s="4">
        <f>'Nutrient Content_TFP'!$G7</f>
        <v>34.202256450999997</v>
      </c>
      <c r="I7" s="4">
        <f t="shared" ref="I7:I70" si="0">$G7/$H7</f>
        <v>0</v>
      </c>
      <c r="J7" s="4">
        <f t="shared" ref="J7:J70" si="1">$I7*100</f>
        <v>0</v>
      </c>
      <c r="K7" s="4">
        <f>Calculation_TFP!$G5</f>
        <v>0.13168759030639998</v>
      </c>
      <c r="L7" s="5">
        <f t="shared" ref="L7:L70" si="2">$I7*$K7</f>
        <v>0</v>
      </c>
    </row>
    <row r="8" spans="1:12" x14ac:dyDescent="0.35">
      <c r="A8">
        <v>3</v>
      </c>
      <c r="B8" s="98">
        <v>0</v>
      </c>
      <c r="C8" s="9">
        <v>0</v>
      </c>
      <c r="D8" s="9">
        <v>2.6360897049999998</v>
      </c>
      <c r="E8" s="9">
        <v>1.6028524280000001</v>
      </c>
      <c r="F8" s="99">
        <v>4.2389421330000001</v>
      </c>
      <c r="G8" s="58">
        <f>'Your Model Diet'!$Q14</f>
        <v>2.6360897049999998</v>
      </c>
      <c r="H8" s="4">
        <f>'Nutrient Content_TFP'!$G8</f>
        <v>1.1593526827</v>
      </c>
      <c r="I8" s="4">
        <f t="shared" si="0"/>
        <v>2.2737599561686852</v>
      </c>
      <c r="J8" s="4">
        <f t="shared" si="1"/>
        <v>227.37599561686852</v>
      </c>
      <c r="K8" s="4">
        <f>Calculation_TFP!$G6</f>
        <v>5.4746853334599999E-2</v>
      </c>
      <c r="L8" s="5">
        <f t="shared" si="2"/>
        <v>0.12448120283845353</v>
      </c>
    </row>
    <row r="9" spans="1:12" x14ac:dyDescent="0.35">
      <c r="A9">
        <v>4</v>
      </c>
      <c r="B9" s="98">
        <v>0</v>
      </c>
      <c r="C9" s="9">
        <v>0</v>
      </c>
      <c r="D9" s="9">
        <v>0</v>
      </c>
      <c r="E9" s="9">
        <v>0</v>
      </c>
      <c r="F9" s="99">
        <v>0</v>
      </c>
      <c r="G9" s="58">
        <f>'Your Model Diet'!$Q15</f>
        <v>0</v>
      </c>
      <c r="H9" s="4">
        <f>'Nutrient Content_TFP'!$G9</f>
        <v>1.6578389487</v>
      </c>
      <c r="I9" s="4">
        <f t="shared" si="0"/>
        <v>0</v>
      </c>
      <c r="J9" s="4">
        <f t="shared" si="1"/>
        <v>0</v>
      </c>
      <c r="K9" s="4">
        <f>Calculation_TFP!$G7</f>
        <v>0.1007799649314</v>
      </c>
      <c r="L9" s="5">
        <f t="shared" si="2"/>
        <v>0</v>
      </c>
    </row>
    <row r="10" spans="1:12" x14ac:dyDescent="0.35">
      <c r="A10">
        <v>5</v>
      </c>
      <c r="B10" s="98">
        <v>0</v>
      </c>
      <c r="C10" s="9">
        <v>0</v>
      </c>
      <c r="D10" s="9">
        <v>0</v>
      </c>
      <c r="E10" s="9">
        <v>0</v>
      </c>
      <c r="F10" s="99">
        <v>0</v>
      </c>
      <c r="G10" s="58">
        <f>'Your Model Diet'!$Q16</f>
        <v>0</v>
      </c>
      <c r="H10" s="4">
        <f>'Nutrient Content_TFP'!$G10</f>
        <v>20.104912886000001</v>
      </c>
      <c r="I10" s="4">
        <f t="shared" si="0"/>
        <v>0</v>
      </c>
      <c r="J10" s="4">
        <f t="shared" si="1"/>
        <v>0</v>
      </c>
      <c r="K10" s="4">
        <f>Calculation_TFP!$G8</f>
        <v>0.219735134064</v>
      </c>
      <c r="L10" s="5">
        <f t="shared" si="2"/>
        <v>0</v>
      </c>
    </row>
    <row r="11" spans="1:12" x14ac:dyDescent="0.35">
      <c r="A11">
        <v>6</v>
      </c>
      <c r="B11" s="98">
        <v>0</v>
      </c>
      <c r="C11" s="9">
        <v>0</v>
      </c>
      <c r="D11" s="9">
        <v>0</v>
      </c>
      <c r="E11" s="9">
        <v>0</v>
      </c>
      <c r="F11" s="99">
        <v>0</v>
      </c>
      <c r="G11" s="58">
        <f>'Your Model Diet'!$Q17</f>
        <v>0</v>
      </c>
      <c r="H11" s="4">
        <f>'Nutrient Content_TFP'!$G11</f>
        <v>35.812749676999999</v>
      </c>
      <c r="I11" s="4">
        <f t="shared" si="0"/>
        <v>0</v>
      </c>
      <c r="J11" s="4">
        <f t="shared" si="1"/>
        <v>0</v>
      </c>
      <c r="K11" s="4">
        <f>Calculation_TFP!$G9</f>
        <v>0.1098630292734</v>
      </c>
      <c r="L11" s="5">
        <f t="shared" si="2"/>
        <v>0</v>
      </c>
    </row>
    <row r="12" spans="1:12" x14ac:dyDescent="0.35">
      <c r="A12">
        <v>7</v>
      </c>
      <c r="B12" s="98">
        <v>0</v>
      </c>
      <c r="C12" s="9">
        <v>0</v>
      </c>
      <c r="D12" s="9">
        <v>0</v>
      </c>
      <c r="E12" s="9">
        <v>0</v>
      </c>
      <c r="F12" s="99">
        <v>0</v>
      </c>
      <c r="G12" s="58">
        <f>'Your Model Diet'!$Q18</f>
        <v>0</v>
      </c>
      <c r="H12" s="4">
        <f>'Nutrient Content_TFP'!$G12</f>
        <v>65.028251931</v>
      </c>
      <c r="I12" s="4">
        <f t="shared" si="0"/>
        <v>0</v>
      </c>
      <c r="J12" s="4">
        <f t="shared" si="1"/>
        <v>0</v>
      </c>
      <c r="K12" s="4">
        <f>Calculation_TFP!$G10</f>
        <v>0.37237198850520004</v>
      </c>
      <c r="L12" s="5">
        <f t="shared" si="2"/>
        <v>0</v>
      </c>
    </row>
    <row r="13" spans="1:12" x14ac:dyDescent="0.35">
      <c r="A13">
        <v>8</v>
      </c>
      <c r="B13" s="98">
        <v>0</v>
      </c>
      <c r="C13" s="9">
        <v>0</v>
      </c>
      <c r="D13" s="9">
        <v>0</v>
      </c>
      <c r="E13" s="9">
        <v>0</v>
      </c>
      <c r="F13" s="99">
        <v>0</v>
      </c>
      <c r="G13" s="58">
        <f>'Your Model Diet'!$Q19</f>
        <v>0</v>
      </c>
      <c r="H13" s="4">
        <f>'Nutrient Content_TFP'!$G13</f>
        <v>39.564153843</v>
      </c>
      <c r="I13" s="4">
        <f t="shared" si="0"/>
        <v>0</v>
      </c>
      <c r="J13" s="4">
        <f t="shared" si="1"/>
        <v>0</v>
      </c>
      <c r="K13" s="4">
        <f>Calculation_TFP!$G11</f>
        <v>0.1395130797452</v>
      </c>
      <c r="L13" s="5">
        <f t="shared" si="2"/>
        <v>0</v>
      </c>
    </row>
    <row r="14" spans="1:12" x14ac:dyDescent="0.35">
      <c r="A14">
        <v>9</v>
      </c>
      <c r="B14" s="98">
        <v>0</v>
      </c>
      <c r="C14" s="9">
        <v>0</v>
      </c>
      <c r="D14" s="9">
        <v>0</v>
      </c>
      <c r="E14" s="9">
        <v>0</v>
      </c>
      <c r="F14" s="99">
        <v>0</v>
      </c>
      <c r="G14" s="58">
        <f>'Your Model Diet'!$Q20</f>
        <v>0</v>
      </c>
      <c r="H14" s="4">
        <f>'Nutrient Content_TFP'!$G14</f>
        <v>301.38697301000002</v>
      </c>
      <c r="I14" s="4">
        <f t="shared" si="0"/>
        <v>0</v>
      </c>
      <c r="J14" s="4">
        <f t="shared" si="1"/>
        <v>0</v>
      </c>
      <c r="K14" s="4">
        <f>Calculation_TFP!$G12</f>
        <v>0.73324832925859995</v>
      </c>
      <c r="L14" s="5">
        <f t="shared" si="2"/>
        <v>0</v>
      </c>
    </row>
    <row r="15" spans="1:12" x14ac:dyDescent="0.35">
      <c r="A15">
        <v>10</v>
      </c>
      <c r="B15" s="98">
        <v>0</v>
      </c>
      <c r="C15" s="9">
        <v>0</v>
      </c>
      <c r="D15" s="9">
        <v>0</v>
      </c>
      <c r="E15" s="9">
        <v>0</v>
      </c>
      <c r="F15" s="99">
        <v>0</v>
      </c>
      <c r="G15" s="58">
        <f>'Your Model Diet'!$Q21</f>
        <v>0</v>
      </c>
      <c r="H15" s="4">
        <f>'Nutrient Content_TFP'!$G15</f>
        <v>171.28659228000001</v>
      </c>
      <c r="I15" s="4">
        <f t="shared" si="0"/>
        <v>0</v>
      </c>
      <c r="J15" s="4">
        <f t="shared" si="1"/>
        <v>0</v>
      </c>
      <c r="K15" s="4">
        <f>Calculation_TFP!$G13</f>
        <v>1.0630710616482</v>
      </c>
      <c r="L15" s="5">
        <f t="shared" si="2"/>
        <v>0</v>
      </c>
    </row>
    <row r="16" spans="1:12" x14ac:dyDescent="0.35">
      <c r="A16">
        <v>11</v>
      </c>
      <c r="B16" s="98">
        <v>0</v>
      </c>
      <c r="C16" s="9">
        <v>0</v>
      </c>
      <c r="D16" s="9">
        <v>0</v>
      </c>
      <c r="E16" s="9">
        <v>0</v>
      </c>
      <c r="F16" s="99">
        <v>0</v>
      </c>
      <c r="G16" s="58">
        <f>'Your Model Diet'!$Q22</f>
        <v>0</v>
      </c>
      <c r="H16" s="4">
        <f>'Nutrient Content_TFP'!$G16</f>
        <v>68.072817666000006</v>
      </c>
      <c r="I16" s="4">
        <f t="shared" si="0"/>
        <v>0</v>
      </c>
      <c r="J16" s="4">
        <f t="shared" si="1"/>
        <v>0</v>
      </c>
      <c r="K16" s="4">
        <f>Calculation_TFP!$G14</f>
        <v>0.48136559859880002</v>
      </c>
      <c r="L16" s="5">
        <f t="shared" si="2"/>
        <v>0</v>
      </c>
    </row>
    <row r="17" spans="1:12" x14ac:dyDescent="0.35">
      <c r="A17">
        <v>12</v>
      </c>
      <c r="B17" s="98">
        <v>87.780709770000001</v>
      </c>
      <c r="C17" s="9">
        <v>73.724275210000002</v>
      </c>
      <c r="D17" s="9">
        <v>0.27393469599999998</v>
      </c>
      <c r="E17" s="9">
        <v>78.738306159999993</v>
      </c>
      <c r="F17" s="99">
        <v>240.51722580000001</v>
      </c>
      <c r="G17" s="58">
        <f>'Your Model Diet'!$Q23</f>
        <v>0.27393469599999998</v>
      </c>
      <c r="H17" s="4">
        <f>'Nutrient Content_TFP'!$G17</f>
        <v>135.11385368000001</v>
      </c>
      <c r="I17" s="4">
        <f t="shared" si="0"/>
        <v>2.0274360366389927E-3</v>
      </c>
      <c r="J17" s="4">
        <f t="shared" si="1"/>
        <v>0.20274360366389926</v>
      </c>
      <c r="K17" s="4">
        <f>Calculation_TFP!$G15</f>
        <v>0.24991978849719998</v>
      </c>
      <c r="L17" s="5">
        <f t="shared" si="2"/>
        <v>5.0669638546841842E-4</v>
      </c>
    </row>
    <row r="18" spans="1:12" x14ac:dyDescent="0.35">
      <c r="A18">
        <v>13</v>
      </c>
      <c r="B18" s="98">
        <v>0</v>
      </c>
      <c r="C18" s="9">
        <v>0</v>
      </c>
      <c r="D18" s="9">
        <v>103.3585557</v>
      </c>
      <c r="E18" s="9">
        <v>0</v>
      </c>
      <c r="F18" s="99">
        <v>103.3585557</v>
      </c>
      <c r="G18" s="58">
        <f>'Your Model Diet'!$Q24</f>
        <v>103.3585557</v>
      </c>
      <c r="H18" s="4">
        <f>'Nutrient Content_TFP'!$G18</f>
        <v>308.28829796999997</v>
      </c>
      <c r="I18" s="4">
        <f t="shared" si="0"/>
        <v>0.3352659065575625</v>
      </c>
      <c r="J18" s="4">
        <f t="shared" si="1"/>
        <v>33.526590655756252</v>
      </c>
      <c r="K18" s="4">
        <f>Calculation_TFP!$G16</f>
        <v>0.58006740903459997</v>
      </c>
      <c r="L18" s="5">
        <f t="shared" si="2"/>
        <v>0.19447682575448158</v>
      </c>
    </row>
    <row r="19" spans="1:12" x14ac:dyDescent="0.35">
      <c r="A19">
        <v>14</v>
      </c>
      <c r="B19" s="98">
        <v>0</v>
      </c>
      <c r="C19" s="9">
        <v>0</v>
      </c>
      <c r="D19" s="9">
        <v>0</v>
      </c>
      <c r="E19" s="9">
        <v>0</v>
      </c>
      <c r="F19" s="99">
        <v>0</v>
      </c>
      <c r="G19" s="58">
        <f>'Your Model Diet'!$Q25</f>
        <v>0</v>
      </c>
      <c r="H19" s="4">
        <f>'Nutrient Content_TFP'!$G19</f>
        <v>357.17574148</v>
      </c>
      <c r="I19" s="4">
        <f t="shared" si="0"/>
        <v>0</v>
      </c>
      <c r="J19" s="4">
        <f t="shared" si="1"/>
        <v>0</v>
      </c>
      <c r="K19" s="4">
        <f>Calculation_TFP!$G17</f>
        <v>1.351588972167</v>
      </c>
      <c r="L19" s="5">
        <f t="shared" si="2"/>
        <v>0</v>
      </c>
    </row>
    <row r="20" spans="1:12" x14ac:dyDescent="0.35">
      <c r="A20">
        <v>15</v>
      </c>
      <c r="B20" s="98">
        <v>9.3498630029999994</v>
      </c>
      <c r="C20" s="9">
        <v>9.999413358</v>
      </c>
      <c r="D20" s="9">
        <v>69.726014759999998</v>
      </c>
      <c r="E20" s="9">
        <v>0</v>
      </c>
      <c r="F20" s="99">
        <v>89.075291120000003</v>
      </c>
      <c r="G20" s="58">
        <f>'Your Model Diet'!$Q26</f>
        <v>69.726014759999998</v>
      </c>
      <c r="H20" s="4">
        <f>'Nutrient Content_TFP'!$G20</f>
        <v>241.41319142</v>
      </c>
      <c r="I20" s="4">
        <f t="shared" si="0"/>
        <v>0.28882437761528018</v>
      </c>
      <c r="J20" s="4">
        <f t="shared" si="1"/>
        <v>28.882437761528017</v>
      </c>
      <c r="K20" s="4">
        <f>Calculation_TFP!$G18</f>
        <v>0.86525299005260004</v>
      </c>
      <c r="L20" s="5">
        <f t="shared" si="2"/>
        <v>0.24990615633170241</v>
      </c>
    </row>
    <row r="21" spans="1:12" x14ac:dyDescent="0.35">
      <c r="A21">
        <v>16</v>
      </c>
      <c r="B21" s="98">
        <v>109.8667916</v>
      </c>
      <c r="C21" s="9">
        <v>138.64309080000001</v>
      </c>
      <c r="D21" s="9">
        <v>237.8428936</v>
      </c>
      <c r="E21" s="9">
        <v>138.8851305</v>
      </c>
      <c r="F21" s="99">
        <v>625.23790650000001</v>
      </c>
      <c r="G21" s="58">
        <f>'Your Model Diet'!$Q27</f>
        <v>237.8428936</v>
      </c>
      <c r="H21" s="4">
        <f>'Nutrient Content_TFP'!$G21</f>
        <v>40.233085768999999</v>
      </c>
      <c r="I21" s="4">
        <f t="shared" si="0"/>
        <v>5.9116244517158156</v>
      </c>
      <c r="J21" s="4">
        <f t="shared" si="1"/>
        <v>591.16244517158157</v>
      </c>
      <c r="K21" s="4">
        <f>Calculation_TFP!$G19</f>
        <v>0.13704333699759999</v>
      </c>
      <c r="L21" s="5">
        <f t="shared" si="2"/>
        <v>0.81014874193974284</v>
      </c>
    </row>
    <row r="22" spans="1:12" x14ac:dyDescent="0.35">
      <c r="A22">
        <v>17</v>
      </c>
      <c r="B22" s="98">
        <v>163.57204479999999</v>
      </c>
      <c r="C22" s="9">
        <v>206.41480390000001</v>
      </c>
      <c r="D22" s="9">
        <v>0</v>
      </c>
      <c r="E22" s="9">
        <v>206.77516750000001</v>
      </c>
      <c r="F22" s="99">
        <v>576.76201619999995</v>
      </c>
      <c r="G22" s="58">
        <f>'Your Model Diet'!$Q28</f>
        <v>0</v>
      </c>
      <c r="H22" s="4">
        <f>'Nutrient Content_TFP'!$G22</f>
        <v>59.899881493000002</v>
      </c>
      <c r="I22" s="4">
        <f t="shared" si="0"/>
        <v>0</v>
      </c>
      <c r="J22" s="4">
        <f t="shared" si="1"/>
        <v>0</v>
      </c>
      <c r="K22" s="4">
        <f>Calculation_TFP!$G20</f>
        <v>0.1574359304646</v>
      </c>
      <c r="L22" s="5">
        <f t="shared" si="2"/>
        <v>0</v>
      </c>
    </row>
    <row r="23" spans="1:12" x14ac:dyDescent="0.35">
      <c r="A23">
        <v>18</v>
      </c>
      <c r="B23" s="98">
        <v>0</v>
      </c>
      <c r="C23" s="9">
        <v>0</v>
      </c>
      <c r="D23" s="9">
        <v>0</v>
      </c>
      <c r="E23" s="9">
        <v>0</v>
      </c>
      <c r="F23" s="99">
        <v>0</v>
      </c>
      <c r="G23" s="58">
        <f>'Your Model Diet'!$Q29</f>
        <v>0</v>
      </c>
      <c r="H23" s="4">
        <f>'Nutrient Content_TFP'!$G23</f>
        <v>81.918043041999994</v>
      </c>
      <c r="I23" s="4">
        <f t="shared" si="0"/>
        <v>0</v>
      </c>
      <c r="J23" s="4">
        <f t="shared" si="1"/>
        <v>0</v>
      </c>
      <c r="K23" s="4">
        <f>Calculation_TFP!$G21</f>
        <v>0.35047434755939999</v>
      </c>
      <c r="L23" s="5">
        <f t="shared" si="2"/>
        <v>0</v>
      </c>
    </row>
    <row r="24" spans="1:12" x14ac:dyDescent="0.35">
      <c r="A24">
        <v>19</v>
      </c>
      <c r="B24" s="98">
        <v>0</v>
      </c>
      <c r="C24" s="9">
        <v>0</v>
      </c>
      <c r="D24" s="9">
        <v>0</v>
      </c>
      <c r="E24" s="9">
        <v>0</v>
      </c>
      <c r="F24" s="99">
        <v>0</v>
      </c>
      <c r="G24" s="58">
        <f>'Your Model Diet'!$Q30</f>
        <v>0</v>
      </c>
      <c r="H24" s="4">
        <f>'Nutrient Content_TFP'!$G24</f>
        <v>51.949068998000001</v>
      </c>
      <c r="I24" s="4">
        <f t="shared" si="0"/>
        <v>0</v>
      </c>
      <c r="J24" s="4">
        <f t="shared" si="1"/>
        <v>0</v>
      </c>
      <c r="K24" s="4">
        <f>Calculation_TFP!$G22</f>
        <v>0.1212350975748</v>
      </c>
      <c r="L24" s="5">
        <f t="shared" si="2"/>
        <v>0</v>
      </c>
    </row>
    <row r="25" spans="1:12" x14ac:dyDescent="0.35">
      <c r="A25">
        <v>20</v>
      </c>
      <c r="B25" s="98">
        <v>34.408624449999998</v>
      </c>
      <c r="C25" s="9">
        <v>32.767436379999999</v>
      </c>
      <c r="D25" s="9">
        <v>51.4090341</v>
      </c>
      <c r="E25" s="9">
        <v>61.098684120000001</v>
      </c>
      <c r="F25" s="99">
        <v>179.68377899999999</v>
      </c>
      <c r="G25" s="58">
        <f>'Your Model Diet'!$Q31</f>
        <v>51.4090341</v>
      </c>
      <c r="H25" s="4">
        <f>'Nutrient Content_TFP'!$G25</f>
        <v>174.98075352999999</v>
      </c>
      <c r="I25" s="4">
        <f t="shared" si="0"/>
        <v>0.29379822102083963</v>
      </c>
      <c r="J25" s="4">
        <f t="shared" si="1"/>
        <v>29.379822102083963</v>
      </c>
      <c r="K25" s="4">
        <f>Calculation_TFP!$G23</f>
        <v>0.3777499903182</v>
      </c>
      <c r="L25" s="5">
        <f t="shared" si="2"/>
        <v>0.11098227514612656</v>
      </c>
    </row>
    <row r="26" spans="1:12" x14ac:dyDescent="0.35">
      <c r="A26">
        <v>21</v>
      </c>
      <c r="B26" s="98">
        <v>0</v>
      </c>
      <c r="C26" s="9">
        <v>20.724564740000002</v>
      </c>
      <c r="D26" s="9">
        <v>0</v>
      </c>
      <c r="E26" s="9">
        <v>20.724564740000002</v>
      </c>
      <c r="F26" s="99">
        <v>41.449129470000003</v>
      </c>
      <c r="G26" s="58">
        <f>'Your Model Diet'!$Q32</f>
        <v>0</v>
      </c>
      <c r="H26" s="4">
        <f>'Nutrient Content_TFP'!$G26</f>
        <v>717.21969293999996</v>
      </c>
      <c r="I26" s="4">
        <f t="shared" si="0"/>
        <v>0</v>
      </c>
      <c r="J26" s="4">
        <f t="shared" si="1"/>
        <v>0</v>
      </c>
      <c r="K26" s="4">
        <f>Calculation_TFP!$G24</f>
        <v>0.94969317045539992</v>
      </c>
      <c r="L26" s="5">
        <f t="shared" si="2"/>
        <v>0</v>
      </c>
    </row>
    <row r="27" spans="1:12" x14ac:dyDescent="0.35">
      <c r="A27">
        <v>22</v>
      </c>
      <c r="B27" s="98">
        <v>21.703997820000001</v>
      </c>
      <c r="C27" s="9">
        <v>39.386930560000003</v>
      </c>
      <c r="D27" s="9">
        <v>54.42779462</v>
      </c>
      <c r="E27" s="9">
        <v>64.422498880000006</v>
      </c>
      <c r="F27" s="99">
        <v>179.94122189999999</v>
      </c>
      <c r="G27" s="58">
        <f>'Your Model Diet'!$Q33</f>
        <v>54.42779462</v>
      </c>
      <c r="H27" s="4">
        <f>'Nutrient Content_TFP'!$G27</f>
        <v>322.02716623999999</v>
      </c>
      <c r="I27" s="4">
        <f t="shared" si="0"/>
        <v>0.16901615865363398</v>
      </c>
      <c r="J27" s="4">
        <f t="shared" si="1"/>
        <v>16.901615865363397</v>
      </c>
      <c r="K27" s="4">
        <f>Calculation_TFP!$G25</f>
        <v>0.54018534974279997</v>
      </c>
      <c r="L27" s="5">
        <f t="shared" si="2"/>
        <v>9.1300052774497834E-2</v>
      </c>
    </row>
    <row r="28" spans="1:12" x14ac:dyDescent="0.35">
      <c r="A28">
        <v>23</v>
      </c>
      <c r="B28" s="98">
        <v>0</v>
      </c>
      <c r="C28" s="9">
        <v>0</v>
      </c>
      <c r="D28" s="9">
        <v>0</v>
      </c>
      <c r="E28" s="9">
        <v>0</v>
      </c>
      <c r="F28" s="99">
        <v>0</v>
      </c>
      <c r="G28" s="58">
        <f>'Your Model Diet'!$Q34</f>
        <v>0</v>
      </c>
      <c r="H28" s="4">
        <f>'Nutrient Content_TFP'!$G28</f>
        <v>61.866232971999999</v>
      </c>
      <c r="I28" s="4">
        <f t="shared" si="0"/>
        <v>0</v>
      </c>
      <c r="J28" s="4">
        <f t="shared" si="1"/>
        <v>0</v>
      </c>
      <c r="K28" s="4">
        <f>Calculation_TFP!$G26</f>
        <v>0.81501156786679996</v>
      </c>
      <c r="L28" s="5">
        <f t="shared" si="2"/>
        <v>0</v>
      </c>
    </row>
    <row r="29" spans="1:12" x14ac:dyDescent="0.35">
      <c r="A29">
        <v>24</v>
      </c>
      <c r="B29" s="98">
        <v>0</v>
      </c>
      <c r="C29" s="9">
        <v>0</v>
      </c>
      <c r="D29" s="9">
        <v>0</v>
      </c>
      <c r="E29" s="9">
        <v>0</v>
      </c>
      <c r="F29" s="99">
        <v>0</v>
      </c>
      <c r="G29" s="58">
        <f>'Your Model Diet'!$Q35</f>
        <v>0</v>
      </c>
      <c r="H29" s="4">
        <f>'Nutrient Content_TFP'!$G29</f>
        <v>107.26534965</v>
      </c>
      <c r="I29" s="4">
        <f t="shared" si="0"/>
        <v>0</v>
      </c>
      <c r="J29" s="4">
        <f t="shared" si="1"/>
        <v>0</v>
      </c>
      <c r="K29" s="4">
        <f>Calculation_TFP!$G27</f>
        <v>0.7263059543782</v>
      </c>
      <c r="L29" s="5">
        <f t="shared" si="2"/>
        <v>0</v>
      </c>
    </row>
    <row r="30" spans="1:12" x14ac:dyDescent="0.35">
      <c r="A30">
        <v>25</v>
      </c>
      <c r="B30" s="98">
        <v>0</v>
      </c>
      <c r="C30" s="9">
        <v>0</v>
      </c>
      <c r="D30" s="9">
        <v>0</v>
      </c>
      <c r="E30" s="9">
        <v>0</v>
      </c>
      <c r="F30" s="99">
        <v>0</v>
      </c>
      <c r="G30" s="58">
        <f>'Your Model Diet'!$Q36</f>
        <v>0</v>
      </c>
      <c r="H30" s="4">
        <f>'Nutrient Content_TFP'!$G30</f>
        <v>71.458800803000003</v>
      </c>
      <c r="I30" s="4">
        <f t="shared" si="0"/>
        <v>0</v>
      </c>
      <c r="J30" s="4">
        <f t="shared" si="1"/>
        <v>0</v>
      </c>
      <c r="K30" s="4">
        <f>Calculation_TFP!$G28</f>
        <v>0.376549487387</v>
      </c>
      <c r="L30" s="5">
        <f t="shared" si="2"/>
        <v>0</v>
      </c>
    </row>
    <row r="31" spans="1:12" x14ac:dyDescent="0.35">
      <c r="A31">
        <v>26</v>
      </c>
      <c r="B31" s="98">
        <v>109.59618639999999</v>
      </c>
      <c r="C31" s="9">
        <v>118.88306559999999</v>
      </c>
      <c r="D31" s="9">
        <v>125.38719589999999</v>
      </c>
      <c r="E31" s="9">
        <v>108.2875121</v>
      </c>
      <c r="F31" s="99">
        <v>462.15395999999998</v>
      </c>
      <c r="G31" s="58">
        <f>'Your Model Diet'!$Q37</f>
        <v>125.38719589999999</v>
      </c>
      <c r="H31" s="4">
        <f>'Nutrient Content_TFP'!$G31</f>
        <v>59.183070868999998</v>
      </c>
      <c r="I31" s="4">
        <f t="shared" si="0"/>
        <v>2.1186328127099201</v>
      </c>
      <c r="J31" s="4">
        <f t="shared" si="1"/>
        <v>211.86328127099202</v>
      </c>
      <c r="K31" s="4">
        <f>Calculation_TFP!$G29</f>
        <v>0.35255340413320002</v>
      </c>
      <c r="L31" s="5">
        <f t="shared" si="2"/>
        <v>0.74693121022917874</v>
      </c>
    </row>
    <row r="32" spans="1:12" x14ac:dyDescent="0.35">
      <c r="A32">
        <v>27</v>
      </c>
      <c r="B32" s="98">
        <v>22.317447489999999</v>
      </c>
      <c r="C32" s="9">
        <v>0</v>
      </c>
      <c r="D32" s="9">
        <v>0</v>
      </c>
      <c r="E32" s="9">
        <v>0</v>
      </c>
      <c r="F32" s="99">
        <v>22.317447489999999</v>
      </c>
      <c r="G32" s="58">
        <f>'Your Model Diet'!$Q38</f>
        <v>0</v>
      </c>
      <c r="H32" s="4">
        <f>'Nutrient Content_TFP'!$G32</f>
        <v>45.432929540000003</v>
      </c>
      <c r="I32" s="4">
        <f t="shared" si="0"/>
        <v>0</v>
      </c>
      <c r="J32" s="4">
        <f t="shared" si="1"/>
        <v>0</v>
      </c>
      <c r="K32" s="4">
        <f>Calculation_TFP!$G30</f>
        <v>0.21554584711479999</v>
      </c>
      <c r="L32" s="5">
        <f t="shared" si="2"/>
        <v>0</v>
      </c>
    </row>
    <row r="33" spans="1:12" x14ac:dyDescent="0.35">
      <c r="A33">
        <v>28</v>
      </c>
      <c r="B33" s="98">
        <v>0</v>
      </c>
      <c r="C33" s="9">
        <v>63.728190390000002</v>
      </c>
      <c r="D33" s="9">
        <v>54.435413019999999</v>
      </c>
      <c r="E33" s="9">
        <v>137.41876830000001</v>
      </c>
      <c r="F33" s="99">
        <v>255.58237170000001</v>
      </c>
      <c r="G33" s="58">
        <f>'Your Model Diet'!$Q39</f>
        <v>54.435413019999999</v>
      </c>
      <c r="H33" s="4">
        <f>'Nutrient Content_TFP'!$G33</f>
        <v>47.467646641000002</v>
      </c>
      <c r="I33" s="4">
        <f t="shared" si="0"/>
        <v>1.1467898004655157</v>
      </c>
      <c r="J33" s="4">
        <f t="shared" si="1"/>
        <v>114.67898004655157</v>
      </c>
      <c r="K33" s="4">
        <f>Calculation_TFP!$G31</f>
        <v>0.18125090757280002</v>
      </c>
      <c r="L33" s="5">
        <f t="shared" si="2"/>
        <v>0.20785669212960498</v>
      </c>
    </row>
    <row r="34" spans="1:12" x14ac:dyDescent="0.35">
      <c r="A34">
        <v>29</v>
      </c>
      <c r="B34" s="98">
        <v>153.18945959999999</v>
      </c>
      <c r="C34" s="9">
        <v>209.17272439999999</v>
      </c>
      <c r="D34" s="9">
        <v>154.02149929999999</v>
      </c>
      <c r="E34" s="9">
        <v>349.7663293</v>
      </c>
      <c r="F34" s="99">
        <v>866.15001259999997</v>
      </c>
      <c r="G34" s="58">
        <f>'Your Model Diet'!$Q40</f>
        <v>154.02149929999999</v>
      </c>
      <c r="H34" s="4">
        <f>'Nutrient Content_TFP'!$G34</f>
        <v>209.60370996</v>
      </c>
      <c r="I34" s="4">
        <f t="shared" si="0"/>
        <v>0.73482239092711132</v>
      </c>
      <c r="J34" s="4">
        <f t="shared" si="1"/>
        <v>73.482239092711126</v>
      </c>
      <c r="K34" s="4">
        <f>Calculation_TFP!$G32</f>
        <v>0.26469300212960001</v>
      </c>
      <c r="L34" s="5">
        <f t="shared" si="2"/>
        <v>0.19450234468654765</v>
      </c>
    </row>
    <row r="35" spans="1:12" x14ac:dyDescent="0.35">
      <c r="A35">
        <v>30</v>
      </c>
      <c r="B35" s="98">
        <v>0</v>
      </c>
      <c r="C35" s="9">
        <v>0</v>
      </c>
      <c r="D35" s="9">
        <v>0</v>
      </c>
      <c r="E35" s="9">
        <v>0</v>
      </c>
      <c r="F35" s="99">
        <v>0</v>
      </c>
      <c r="G35" s="58">
        <f>'Your Model Diet'!$Q41</f>
        <v>0</v>
      </c>
      <c r="H35" s="4">
        <f>'Nutrient Content_TFP'!$G35</f>
        <v>202.38551222999999</v>
      </c>
      <c r="I35" s="4">
        <f t="shared" si="0"/>
        <v>0</v>
      </c>
      <c r="J35" s="4">
        <f t="shared" si="1"/>
        <v>0</v>
      </c>
      <c r="K35" s="4">
        <f>Calculation_TFP!$G33</f>
        <v>0.73779946850980005</v>
      </c>
      <c r="L35" s="5">
        <f t="shared" si="2"/>
        <v>0</v>
      </c>
    </row>
    <row r="36" spans="1:12" x14ac:dyDescent="0.35">
      <c r="A36">
        <v>31</v>
      </c>
      <c r="B36" s="98">
        <v>0</v>
      </c>
      <c r="C36" s="9">
        <v>0</v>
      </c>
      <c r="D36" s="9">
        <v>0</v>
      </c>
      <c r="E36" s="9">
        <v>0</v>
      </c>
      <c r="F36" s="99">
        <v>0</v>
      </c>
      <c r="G36" s="58">
        <f>'Your Model Diet'!$Q42</f>
        <v>0</v>
      </c>
      <c r="H36" s="4">
        <f>'Nutrient Content_TFP'!$G36</f>
        <v>249.25872408000001</v>
      </c>
      <c r="I36" s="4">
        <f t="shared" si="0"/>
        <v>0</v>
      </c>
      <c r="J36" s="4">
        <f t="shared" si="1"/>
        <v>0</v>
      </c>
      <c r="K36" s="4">
        <f>Calculation_TFP!$G34</f>
        <v>0.72955431692439998</v>
      </c>
      <c r="L36" s="5">
        <f t="shared" si="2"/>
        <v>0</v>
      </c>
    </row>
    <row r="37" spans="1:12" x14ac:dyDescent="0.35">
      <c r="A37">
        <v>32</v>
      </c>
      <c r="B37" s="98">
        <v>197.41852270000001</v>
      </c>
      <c r="C37" s="9">
        <v>243.31196879999999</v>
      </c>
      <c r="D37" s="9">
        <v>240.7286211</v>
      </c>
      <c r="E37" s="9">
        <v>366.86827549999998</v>
      </c>
      <c r="F37" s="99">
        <v>1048.3273879999999</v>
      </c>
      <c r="G37" s="58">
        <f>'Your Model Diet'!$Q43</f>
        <v>240.7286211</v>
      </c>
      <c r="H37" s="4">
        <f>'Nutrient Content_TFP'!$G37</f>
        <v>212.03475125</v>
      </c>
      <c r="I37" s="4">
        <f t="shared" si="0"/>
        <v>1.1353262598741112</v>
      </c>
      <c r="J37" s="4">
        <f t="shared" si="1"/>
        <v>113.53262598741112</v>
      </c>
      <c r="K37" s="4">
        <f>Calculation_TFP!$G35</f>
        <v>0.44217005660559999</v>
      </c>
      <c r="L37" s="5">
        <f t="shared" si="2"/>
        <v>0.50200727659435984</v>
      </c>
    </row>
    <row r="38" spans="1:12" x14ac:dyDescent="0.35">
      <c r="A38">
        <v>33</v>
      </c>
      <c r="B38" s="98">
        <v>69.231237649999997</v>
      </c>
      <c r="C38" s="9">
        <v>74.355692099999999</v>
      </c>
      <c r="D38" s="9">
        <v>73.377897989999994</v>
      </c>
      <c r="E38" s="9">
        <v>121.5226262</v>
      </c>
      <c r="F38" s="99">
        <v>338.48745389999999</v>
      </c>
      <c r="G38" s="58">
        <f>'Your Model Diet'!$Q44</f>
        <v>73.377897989999994</v>
      </c>
      <c r="H38" s="4">
        <f>'Nutrient Content_TFP'!$G38</f>
        <v>270.17778486999998</v>
      </c>
      <c r="I38" s="4">
        <f t="shared" si="0"/>
        <v>0.27159115996641564</v>
      </c>
      <c r="J38" s="4">
        <f t="shared" si="1"/>
        <v>27.159115996641564</v>
      </c>
      <c r="K38" s="4">
        <f>Calculation_TFP!$G36</f>
        <v>1.0209774023906</v>
      </c>
      <c r="L38" s="5">
        <f t="shared" si="2"/>
        <v>0.27728843701476097</v>
      </c>
    </row>
    <row r="39" spans="1:12" x14ac:dyDescent="0.35">
      <c r="A39">
        <v>34</v>
      </c>
      <c r="B39" s="98">
        <v>0</v>
      </c>
      <c r="C39" s="9">
        <v>0</v>
      </c>
      <c r="D39" s="9">
        <v>0</v>
      </c>
      <c r="E39" s="9">
        <v>0</v>
      </c>
      <c r="F39" s="99">
        <v>0</v>
      </c>
      <c r="G39" s="58">
        <f>'Your Model Diet'!$Q45</f>
        <v>0</v>
      </c>
      <c r="H39" s="4">
        <f>'Nutrient Content_TFP'!$G39</f>
        <v>290.87559413999998</v>
      </c>
      <c r="I39" s="4">
        <f t="shared" si="0"/>
        <v>0</v>
      </c>
      <c r="J39" s="4">
        <f t="shared" si="1"/>
        <v>0</v>
      </c>
      <c r="K39" s="4">
        <f>Calculation_TFP!$G37</f>
        <v>2.1173582847142001</v>
      </c>
      <c r="L39" s="5">
        <f t="shared" si="2"/>
        <v>0</v>
      </c>
    </row>
    <row r="40" spans="1:12" x14ac:dyDescent="0.35">
      <c r="A40">
        <v>35</v>
      </c>
      <c r="B40" s="98">
        <v>0</v>
      </c>
      <c r="C40" s="9">
        <v>0</v>
      </c>
      <c r="D40" s="9">
        <v>0</v>
      </c>
      <c r="E40" s="9">
        <v>0</v>
      </c>
      <c r="F40" s="99">
        <v>0</v>
      </c>
      <c r="G40" s="58">
        <f>'Your Model Diet'!$Q46</f>
        <v>0</v>
      </c>
      <c r="H40" s="4">
        <f>'Nutrient Content_TFP'!$G40</f>
        <v>191.64198880999999</v>
      </c>
      <c r="I40" s="4">
        <f t="shared" si="0"/>
        <v>0</v>
      </c>
      <c r="J40" s="4">
        <f t="shared" si="1"/>
        <v>0</v>
      </c>
      <c r="K40" s="4">
        <f>Calculation_TFP!$G38</f>
        <v>1.2065556432974001</v>
      </c>
      <c r="L40" s="5">
        <f t="shared" si="2"/>
        <v>0</v>
      </c>
    </row>
    <row r="41" spans="1:12" x14ac:dyDescent="0.35">
      <c r="A41">
        <v>36</v>
      </c>
      <c r="B41" s="98">
        <v>0</v>
      </c>
      <c r="C41" s="9">
        <v>0</v>
      </c>
      <c r="D41" s="9">
        <v>0</v>
      </c>
      <c r="E41" s="9">
        <v>0</v>
      </c>
      <c r="F41" s="99">
        <v>0</v>
      </c>
      <c r="G41" s="58">
        <f>'Your Model Diet'!$Q47</f>
        <v>0</v>
      </c>
      <c r="H41" s="4">
        <f>'Nutrient Content_TFP'!$G41</f>
        <v>173.90812129</v>
      </c>
      <c r="I41" s="4">
        <f t="shared" si="0"/>
        <v>0</v>
      </c>
      <c r="J41" s="4">
        <f t="shared" si="1"/>
        <v>0</v>
      </c>
      <c r="K41" s="4">
        <f>Calculation_TFP!$G39</f>
        <v>2.3611808761328001</v>
      </c>
      <c r="L41" s="5">
        <f t="shared" si="2"/>
        <v>0</v>
      </c>
    </row>
    <row r="42" spans="1:12" x14ac:dyDescent="0.35">
      <c r="A42">
        <v>37</v>
      </c>
      <c r="B42" s="98">
        <v>0</v>
      </c>
      <c r="C42" s="9">
        <v>0</v>
      </c>
      <c r="D42" s="9">
        <v>0</v>
      </c>
      <c r="E42" s="9">
        <v>0</v>
      </c>
      <c r="F42" s="99">
        <v>0</v>
      </c>
      <c r="G42" s="58">
        <f>'Your Model Diet'!$Q48</f>
        <v>0</v>
      </c>
      <c r="H42" s="4">
        <f>'Nutrient Content_TFP'!$G42</f>
        <v>186.57962671000001</v>
      </c>
      <c r="I42" s="4">
        <f t="shared" si="0"/>
        <v>0</v>
      </c>
      <c r="J42" s="4">
        <f t="shared" si="1"/>
        <v>0</v>
      </c>
      <c r="K42" s="4">
        <f>Calculation_TFP!$G40</f>
        <v>1.3816218027339999</v>
      </c>
      <c r="L42" s="5">
        <f t="shared" si="2"/>
        <v>0</v>
      </c>
    </row>
    <row r="43" spans="1:12" x14ac:dyDescent="0.35">
      <c r="A43">
        <v>38</v>
      </c>
      <c r="B43" s="98">
        <v>3.9969088030000002</v>
      </c>
      <c r="C43" s="9">
        <v>0</v>
      </c>
      <c r="D43" s="9">
        <v>5.4567766549999996</v>
      </c>
      <c r="E43" s="9">
        <v>0</v>
      </c>
      <c r="F43" s="99">
        <v>9.4536854580000007</v>
      </c>
      <c r="G43" s="58">
        <f>'Your Model Diet'!$Q49</f>
        <v>5.4567766549999996</v>
      </c>
      <c r="H43" s="4">
        <f>'Nutrient Content_TFP'!$G43</f>
        <v>118.80649217</v>
      </c>
      <c r="I43" s="4">
        <f t="shared" si="0"/>
        <v>4.5929953450623791E-2</v>
      </c>
      <c r="J43" s="4">
        <f t="shared" si="1"/>
        <v>4.5929953450623788</v>
      </c>
      <c r="K43" s="4">
        <f>Calculation_TFP!$G41</f>
        <v>0.33333417125379999</v>
      </c>
      <c r="L43" s="5">
        <f t="shared" si="2"/>
        <v>1.5310022969189293E-2</v>
      </c>
    </row>
    <row r="44" spans="1:12" x14ac:dyDescent="0.35">
      <c r="A44">
        <v>39</v>
      </c>
      <c r="B44" s="98">
        <v>0</v>
      </c>
      <c r="C44" s="9">
        <v>0</v>
      </c>
      <c r="D44" s="9">
        <v>0</v>
      </c>
      <c r="E44" s="9">
        <v>0</v>
      </c>
      <c r="F44" s="99">
        <v>0</v>
      </c>
      <c r="G44" s="58">
        <f>'Your Model Diet'!$Q50</f>
        <v>0</v>
      </c>
      <c r="H44" s="4">
        <f>'Nutrient Content_TFP'!$G44</f>
        <v>86.287961641999999</v>
      </c>
      <c r="I44" s="4">
        <f t="shared" si="0"/>
        <v>0</v>
      </c>
      <c r="J44" s="4">
        <f t="shared" si="1"/>
        <v>0</v>
      </c>
      <c r="K44" s="4">
        <f>Calculation_TFP!$G42</f>
        <v>0.32252775124560001</v>
      </c>
      <c r="L44" s="5">
        <f t="shared" si="2"/>
        <v>0</v>
      </c>
    </row>
    <row r="45" spans="1:12" x14ac:dyDescent="0.35">
      <c r="A45">
        <v>40</v>
      </c>
      <c r="B45" s="98">
        <v>0</v>
      </c>
      <c r="C45" s="9">
        <v>0</v>
      </c>
      <c r="D45" s="9">
        <v>0</v>
      </c>
      <c r="E45" s="9">
        <v>0</v>
      </c>
      <c r="F45" s="99">
        <v>0</v>
      </c>
      <c r="G45" s="58">
        <f>'Your Model Diet'!$Q51</f>
        <v>0</v>
      </c>
      <c r="H45" s="4">
        <f>'Nutrient Content_TFP'!$G45</f>
        <v>144</v>
      </c>
      <c r="I45" s="4">
        <f t="shared" si="0"/>
        <v>0</v>
      </c>
      <c r="J45" s="4">
        <f t="shared" si="1"/>
        <v>0</v>
      </c>
      <c r="K45" s="4">
        <f>Calculation_TFP!$G43</f>
        <v>0.28404112272119997</v>
      </c>
      <c r="L45" s="5">
        <f t="shared" si="2"/>
        <v>0</v>
      </c>
    </row>
    <row r="46" spans="1:12" x14ac:dyDescent="0.35">
      <c r="A46">
        <v>41</v>
      </c>
      <c r="B46" s="98">
        <v>0</v>
      </c>
      <c r="C46" s="9">
        <v>0</v>
      </c>
      <c r="D46" s="9">
        <v>0</v>
      </c>
      <c r="E46" s="9">
        <v>0</v>
      </c>
      <c r="F46" s="99">
        <v>0</v>
      </c>
      <c r="G46" s="58">
        <f>'Your Model Diet'!$Q52</f>
        <v>0</v>
      </c>
      <c r="H46" s="4">
        <f>'Nutrient Content_TFP'!$G46</f>
        <v>105</v>
      </c>
      <c r="I46" s="4">
        <f t="shared" si="0"/>
        <v>0</v>
      </c>
      <c r="J46" s="4">
        <f t="shared" si="1"/>
        <v>0</v>
      </c>
      <c r="K46" s="4">
        <f>Calculation_TFP!$G44</f>
        <v>0.2567613379814</v>
      </c>
      <c r="L46" s="5">
        <f t="shared" si="2"/>
        <v>0</v>
      </c>
    </row>
    <row r="47" spans="1:12" x14ac:dyDescent="0.35">
      <c r="A47">
        <v>42</v>
      </c>
      <c r="B47" s="98">
        <v>7.3998268549999997</v>
      </c>
      <c r="C47" s="9">
        <v>8.3349788599999997</v>
      </c>
      <c r="D47" s="9">
        <v>13.025688369999999</v>
      </c>
      <c r="E47" s="9">
        <v>15.0421624</v>
      </c>
      <c r="F47" s="99">
        <v>43.802656489999997</v>
      </c>
      <c r="G47" s="58">
        <f>'Your Model Diet'!$Q53</f>
        <v>13.025688369999999</v>
      </c>
      <c r="H47" s="4">
        <f>'Nutrient Content_TFP'!$G47</f>
        <v>175.32363633</v>
      </c>
      <c r="I47" s="4">
        <f t="shared" si="0"/>
        <v>7.4295107280815315E-2</v>
      </c>
      <c r="J47" s="4">
        <f t="shared" si="1"/>
        <v>7.4295107280815316</v>
      </c>
      <c r="K47" s="4">
        <f>Calculation_TFP!$G45</f>
        <v>0.40105074390619999</v>
      </c>
      <c r="L47" s="5">
        <f t="shared" si="2"/>
        <v>2.9796108043561916E-2</v>
      </c>
    </row>
    <row r="48" spans="1:12" x14ac:dyDescent="0.35">
      <c r="A48">
        <v>43</v>
      </c>
      <c r="B48" s="98">
        <v>0</v>
      </c>
      <c r="C48" s="9">
        <v>0</v>
      </c>
      <c r="D48" s="9">
        <v>0</v>
      </c>
      <c r="E48" s="9">
        <v>0</v>
      </c>
      <c r="F48" s="99">
        <v>0</v>
      </c>
      <c r="G48" s="58">
        <f>'Your Model Diet'!$Q54</f>
        <v>0</v>
      </c>
      <c r="H48" s="4">
        <f>'Nutrient Content_TFP'!$G48</f>
        <v>224.62861315000001</v>
      </c>
      <c r="I48" s="4">
        <f t="shared" si="0"/>
        <v>0</v>
      </c>
      <c r="J48" s="4">
        <f t="shared" si="1"/>
        <v>0</v>
      </c>
      <c r="K48" s="4">
        <f>Calculation_TFP!$G46</f>
        <v>0.61002734389379998</v>
      </c>
      <c r="L48" s="5">
        <f t="shared" si="2"/>
        <v>0</v>
      </c>
    </row>
    <row r="49" spans="1:12" x14ac:dyDescent="0.35">
      <c r="A49">
        <v>44</v>
      </c>
      <c r="B49" s="98">
        <v>73.423557819999999</v>
      </c>
      <c r="C49" s="9">
        <v>98.040381289999999</v>
      </c>
      <c r="D49" s="9">
        <v>63.003249269999998</v>
      </c>
      <c r="E49" s="9">
        <v>103.3569439</v>
      </c>
      <c r="F49" s="99">
        <v>337.82413229999997</v>
      </c>
      <c r="G49" s="58">
        <f>'Your Model Diet'!$Q55</f>
        <v>63.003249269999998</v>
      </c>
      <c r="H49" s="4">
        <f>'Nutrient Content_TFP'!$G49</f>
        <v>133.70840059</v>
      </c>
      <c r="I49" s="4">
        <f t="shared" si="0"/>
        <v>0.47119888497650603</v>
      </c>
      <c r="J49" s="4">
        <f t="shared" si="1"/>
        <v>47.119888497650599</v>
      </c>
      <c r="K49" s="4">
        <f>Calculation_TFP!$G47</f>
        <v>0.23255570943520001</v>
      </c>
      <c r="L49" s="5">
        <f t="shared" si="2"/>
        <v>0.10957999098078657</v>
      </c>
    </row>
    <row r="50" spans="1:12" x14ac:dyDescent="0.35">
      <c r="A50">
        <v>45</v>
      </c>
      <c r="B50" s="98">
        <v>0</v>
      </c>
      <c r="C50" s="9">
        <v>0</v>
      </c>
      <c r="D50" s="9">
        <v>0</v>
      </c>
      <c r="E50" s="9">
        <v>0</v>
      </c>
      <c r="F50" s="99">
        <v>0</v>
      </c>
      <c r="G50" s="58">
        <f>'Your Model Diet'!$Q56</f>
        <v>0</v>
      </c>
      <c r="H50" s="4">
        <f>'Nutrient Content_TFP'!$G50</f>
        <v>186.66828222999999</v>
      </c>
      <c r="I50" s="4">
        <f t="shared" si="0"/>
        <v>0</v>
      </c>
      <c r="J50" s="4">
        <f t="shared" si="1"/>
        <v>0</v>
      </c>
      <c r="K50" s="4">
        <f>Calculation_TFP!$G48</f>
        <v>0.50300915979880001</v>
      </c>
      <c r="L50" s="5">
        <f t="shared" si="2"/>
        <v>0</v>
      </c>
    </row>
    <row r="51" spans="1:12" x14ac:dyDescent="0.35">
      <c r="A51">
        <v>46</v>
      </c>
      <c r="B51" s="98">
        <v>0</v>
      </c>
      <c r="C51" s="9">
        <v>0</v>
      </c>
      <c r="D51" s="9">
        <v>0</v>
      </c>
      <c r="E51" s="9">
        <v>0</v>
      </c>
      <c r="F51" s="99">
        <v>0</v>
      </c>
      <c r="G51" s="58">
        <f>'Your Model Diet'!$Q57</f>
        <v>0</v>
      </c>
      <c r="H51" s="4">
        <f>'Nutrient Content_TFP'!$G51</f>
        <v>149.21188230999999</v>
      </c>
      <c r="I51" s="4">
        <f t="shared" si="0"/>
        <v>0</v>
      </c>
      <c r="J51" s="4">
        <f t="shared" si="1"/>
        <v>0</v>
      </c>
      <c r="K51" s="4">
        <f>Calculation_TFP!$G49</f>
        <v>0.62839346447260003</v>
      </c>
      <c r="L51" s="5">
        <f t="shared" si="2"/>
        <v>0</v>
      </c>
    </row>
    <row r="52" spans="1:12" x14ac:dyDescent="0.35">
      <c r="A52">
        <v>47</v>
      </c>
      <c r="B52" s="98">
        <v>0</v>
      </c>
      <c r="C52" s="9">
        <v>0</v>
      </c>
      <c r="D52" s="9">
        <v>0</v>
      </c>
      <c r="E52" s="9">
        <v>0</v>
      </c>
      <c r="F52" s="99">
        <v>0</v>
      </c>
      <c r="G52" s="58">
        <f>'Your Model Diet'!$Q58</f>
        <v>0</v>
      </c>
      <c r="H52" s="4">
        <f>'Nutrient Content_TFP'!$G52</f>
        <v>232.50777327</v>
      </c>
      <c r="I52" s="4">
        <f t="shared" si="0"/>
        <v>0</v>
      </c>
      <c r="J52" s="4">
        <f t="shared" si="1"/>
        <v>0</v>
      </c>
      <c r="K52" s="4">
        <f>Calculation_TFP!$G50</f>
        <v>0.87830496795520008</v>
      </c>
      <c r="L52" s="5">
        <f t="shared" si="2"/>
        <v>0</v>
      </c>
    </row>
    <row r="53" spans="1:12" x14ac:dyDescent="0.35">
      <c r="A53">
        <v>48</v>
      </c>
      <c r="B53" s="98">
        <v>0</v>
      </c>
      <c r="C53" s="9">
        <v>0</v>
      </c>
      <c r="D53" s="9">
        <v>0</v>
      </c>
      <c r="E53" s="9">
        <v>0</v>
      </c>
      <c r="F53" s="99">
        <v>0</v>
      </c>
      <c r="G53" s="58">
        <f>'Your Model Diet'!$Q59</f>
        <v>0</v>
      </c>
      <c r="H53" s="4">
        <f>'Nutrient Content_TFP'!$G53</f>
        <v>154.95737890000001</v>
      </c>
      <c r="I53" s="4">
        <f t="shared" si="0"/>
        <v>0</v>
      </c>
      <c r="J53" s="4">
        <f t="shared" si="1"/>
        <v>0</v>
      </c>
      <c r="K53" s="4">
        <f>Calculation_TFP!$G51</f>
        <v>0.62328871025139998</v>
      </c>
      <c r="L53" s="5">
        <f t="shared" si="2"/>
        <v>0</v>
      </c>
    </row>
    <row r="54" spans="1:12" x14ac:dyDescent="0.35">
      <c r="A54">
        <v>49</v>
      </c>
      <c r="B54" s="98">
        <v>0</v>
      </c>
      <c r="C54" s="9">
        <v>0</v>
      </c>
      <c r="D54" s="9">
        <v>0</v>
      </c>
      <c r="E54" s="9">
        <v>0</v>
      </c>
      <c r="F54" s="99">
        <v>0</v>
      </c>
      <c r="G54" s="58">
        <f>'Your Model Diet'!$Q60</f>
        <v>0</v>
      </c>
      <c r="H54" s="4">
        <f>'Nutrient Content_TFP'!$G54</f>
        <v>126.35571139</v>
      </c>
      <c r="I54" s="4">
        <f t="shared" si="0"/>
        <v>0</v>
      </c>
      <c r="J54" s="4">
        <f t="shared" si="1"/>
        <v>0</v>
      </c>
      <c r="K54" s="4">
        <f>Calculation_TFP!$G52</f>
        <v>0.96997797347199999</v>
      </c>
      <c r="L54" s="5">
        <f t="shared" si="2"/>
        <v>0</v>
      </c>
    </row>
    <row r="55" spans="1:12" x14ac:dyDescent="0.35">
      <c r="A55">
        <v>50</v>
      </c>
      <c r="B55" s="98">
        <v>0</v>
      </c>
      <c r="C55" s="9">
        <v>0</v>
      </c>
      <c r="D55" s="9">
        <v>0</v>
      </c>
      <c r="E55" s="9">
        <v>0</v>
      </c>
      <c r="F55" s="99">
        <v>0</v>
      </c>
      <c r="G55" s="58">
        <f>'Your Model Diet'!$Q61</f>
        <v>0</v>
      </c>
      <c r="H55" s="4">
        <f>'Nutrient Content_TFP'!$G55</f>
        <v>170.27344339000001</v>
      </c>
      <c r="I55" s="4">
        <f t="shared" si="0"/>
        <v>0</v>
      </c>
      <c r="J55" s="4">
        <f t="shared" si="1"/>
        <v>0</v>
      </c>
      <c r="K55" s="4">
        <f>Calculation_TFP!$G53</f>
        <v>1.0070036300374001</v>
      </c>
      <c r="L55" s="5">
        <f t="shared" si="2"/>
        <v>0</v>
      </c>
    </row>
    <row r="56" spans="1:12" x14ac:dyDescent="0.35">
      <c r="A56">
        <v>51</v>
      </c>
      <c r="B56" s="98">
        <v>0</v>
      </c>
      <c r="C56" s="9">
        <v>0</v>
      </c>
      <c r="D56" s="9">
        <v>0</v>
      </c>
      <c r="E56" s="9">
        <v>0</v>
      </c>
      <c r="F56" s="99">
        <v>0</v>
      </c>
      <c r="G56" s="58">
        <f>'Your Model Diet'!$Q62</f>
        <v>0</v>
      </c>
      <c r="H56" s="4">
        <f>'Nutrient Content_TFP'!$G56</f>
        <v>122.34432212999999</v>
      </c>
      <c r="I56" s="4">
        <f t="shared" si="0"/>
        <v>0</v>
      </c>
      <c r="J56" s="4">
        <f t="shared" si="1"/>
        <v>0</v>
      </c>
      <c r="K56" s="4">
        <f>Calculation_TFP!$G54</f>
        <v>0.46022077190999999</v>
      </c>
      <c r="L56" s="5">
        <f t="shared" si="2"/>
        <v>0</v>
      </c>
    </row>
    <row r="57" spans="1:12" x14ac:dyDescent="0.35">
      <c r="A57">
        <v>52</v>
      </c>
      <c r="B57" s="98">
        <v>58.720570760000001</v>
      </c>
      <c r="C57" s="9">
        <v>0</v>
      </c>
      <c r="D57" s="9">
        <v>23.438860099999999</v>
      </c>
      <c r="E57" s="9">
        <v>0</v>
      </c>
      <c r="F57" s="99">
        <v>82.159430860000001</v>
      </c>
      <c r="G57" s="58">
        <f>'Your Model Diet'!$Q63</f>
        <v>23.438860099999999</v>
      </c>
      <c r="H57" s="4">
        <f>'Nutrient Content_TFP'!$G57</f>
        <v>289.49442862000001</v>
      </c>
      <c r="I57" s="4">
        <f t="shared" si="0"/>
        <v>8.096480547736766E-2</v>
      </c>
      <c r="J57" s="4">
        <f t="shared" si="1"/>
        <v>8.0964805477367658</v>
      </c>
      <c r="K57" s="4">
        <f>Calculation_TFP!$G55</f>
        <v>0.71593412343719998</v>
      </c>
      <c r="L57" s="5">
        <f t="shared" si="2"/>
        <v>5.7965467038702624E-2</v>
      </c>
    </row>
    <row r="58" spans="1:12" x14ac:dyDescent="0.35">
      <c r="A58">
        <v>53</v>
      </c>
      <c r="B58" s="98">
        <v>0</v>
      </c>
      <c r="C58" s="9">
        <v>0</v>
      </c>
      <c r="D58" s="9">
        <v>0</v>
      </c>
      <c r="E58" s="9">
        <v>0</v>
      </c>
      <c r="F58" s="99">
        <v>0</v>
      </c>
      <c r="G58" s="58">
        <f>'Your Model Diet'!$Q64</f>
        <v>0</v>
      </c>
      <c r="H58" s="4">
        <f>'Nutrient Content_TFP'!$G58</f>
        <v>267.87269397</v>
      </c>
      <c r="I58" s="4">
        <f t="shared" si="0"/>
        <v>0</v>
      </c>
      <c r="J58" s="4">
        <f t="shared" si="1"/>
        <v>0</v>
      </c>
      <c r="K58" s="4">
        <f>Calculation_TFP!$G56</f>
        <v>0.86409267433679993</v>
      </c>
      <c r="L58" s="5">
        <f t="shared" si="2"/>
        <v>0</v>
      </c>
    </row>
    <row r="59" spans="1:12" x14ac:dyDescent="0.35">
      <c r="A59">
        <v>54</v>
      </c>
      <c r="B59" s="98">
        <v>0</v>
      </c>
      <c r="C59" s="9">
        <v>0</v>
      </c>
      <c r="D59" s="9">
        <v>0</v>
      </c>
      <c r="E59" s="9">
        <v>0</v>
      </c>
      <c r="F59" s="99">
        <v>0</v>
      </c>
      <c r="G59" s="58">
        <f>'Your Model Diet'!$Q65</f>
        <v>0</v>
      </c>
      <c r="H59" s="4">
        <f>'Nutrient Content_TFP'!$G59</f>
        <v>269.71841683000002</v>
      </c>
      <c r="I59" s="4">
        <f t="shared" si="0"/>
        <v>0</v>
      </c>
      <c r="J59" s="4">
        <f t="shared" si="1"/>
        <v>0</v>
      </c>
      <c r="K59" s="4">
        <f>Calculation_TFP!$G57</f>
        <v>0.8933848355456</v>
      </c>
      <c r="L59" s="5">
        <f t="shared" si="2"/>
        <v>0</v>
      </c>
    </row>
    <row r="60" spans="1:12" x14ac:dyDescent="0.35">
      <c r="A60">
        <v>55</v>
      </c>
      <c r="B60" s="98">
        <v>0</v>
      </c>
      <c r="C60" s="9">
        <v>0</v>
      </c>
      <c r="D60" s="9">
        <v>0</v>
      </c>
      <c r="E60" s="9">
        <v>0</v>
      </c>
      <c r="F60" s="99">
        <v>0</v>
      </c>
      <c r="G60" s="58">
        <f>'Your Model Diet'!$Q66</f>
        <v>0</v>
      </c>
      <c r="H60" s="4">
        <f>'Nutrient Content_TFP'!$G60</f>
        <v>263.20979983000001</v>
      </c>
      <c r="I60" s="4">
        <f t="shared" si="0"/>
        <v>0</v>
      </c>
      <c r="J60" s="4">
        <f t="shared" si="1"/>
        <v>0</v>
      </c>
      <c r="K60" s="4">
        <f>Calculation_TFP!$G58</f>
        <v>1.1298642262142</v>
      </c>
      <c r="L60" s="5">
        <f t="shared" si="2"/>
        <v>0</v>
      </c>
    </row>
    <row r="61" spans="1:12" x14ac:dyDescent="0.35">
      <c r="A61">
        <v>56</v>
      </c>
      <c r="B61" s="98">
        <v>54.649530679999998</v>
      </c>
      <c r="C61" s="9">
        <v>57.973547830000001</v>
      </c>
      <c r="D61" s="9">
        <v>0</v>
      </c>
      <c r="E61" s="9">
        <v>22.60279796</v>
      </c>
      <c r="F61" s="99">
        <v>135.2258765</v>
      </c>
      <c r="G61" s="58">
        <f>'Your Model Diet'!$Q67</f>
        <v>0</v>
      </c>
      <c r="H61" s="4">
        <f>'Nutrient Content_TFP'!$G61</f>
        <v>273.25293563000002</v>
      </c>
      <c r="I61" s="4">
        <f t="shared" si="0"/>
        <v>0</v>
      </c>
      <c r="J61" s="4">
        <f t="shared" si="1"/>
        <v>0</v>
      </c>
      <c r="K61" s="4">
        <f>Calculation_TFP!$G59</f>
        <v>0.61164659531479992</v>
      </c>
      <c r="L61" s="5">
        <f t="shared" si="2"/>
        <v>0</v>
      </c>
    </row>
    <row r="62" spans="1:12" x14ac:dyDescent="0.35">
      <c r="A62">
        <v>57</v>
      </c>
      <c r="B62" s="98">
        <v>0</v>
      </c>
      <c r="C62" s="9">
        <v>0</v>
      </c>
      <c r="D62" s="9">
        <v>0</v>
      </c>
      <c r="E62" s="9">
        <v>0</v>
      </c>
      <c r="F62" s="99">
        <v>0</v>
      </c>
      <c r="G62" s="58">
        <f>'Your Model Diet'!$Q68</f>
        <v>0</v>
      </c>
      <c r="H62" s="4">
        <f>'Nutrient Content_TFP'!$G62</f>
        <v>283.40665268999999</v>
      </c>
      <c r="I62" s="4">
        <f t="shared" si="0"/>
        <v>0</v>
      </c>
      <c r="J62" s="4">
        <f t="shared" si="1"/>
        <v>0</v>
      </c>
      <c r="K62" s="4">
        <f>Calculation_TFP!$G60</f>
        <v>1.1220298286215999</v>
      </c>
      <c r="L62" s="5">
        <f t="shared" si="2"/>
        <v>0</v>
      </c>
    </row>
    <row r="63" spans="1:12" x14ac:dyDescent="0.35">
      <c r="A63">
        <v>58</v>
      </c>
      <c r="B63" s="98">
        <v>0</v>
      </c>
      <c r="C63" s="9">
        <v>0</v>
      </c>
      <c r="D63" s="9">
        <v>0</v>
      </c>
      <c r="E63" s="9">
        <v>0</v>
      </c>
      <c r="F63" s="99">
        <v>0</v>
      </c>
      <c r="G63" s="58">
        <f>'Your Model Diet'!$Q69</f>
        <v>0</v>
      </c>
      <c r="H63" s="4">
        <f>'Nutrient Content_TFP'!$G63</f>
        <v>235.80925506</v>
      </c>
      <c r="I63" s="4">
        <f t="shared" si="0"/>
        <v>0</v>
      </c>
      <c r="J63" s="4">
        <f t="shared" si="1"/>
        <v>0</v>
      </c>
      <c r="K63" s="4">
        <f>Calculation_TFP!$G61</f>
        <v>1.4001116711792001</v>
      </c>
      <c r="L63" s="5">
        <f t="shared" si="2"/>
        <v>0</v>
      </c>
    </row>
    <row r="64" spans="1:12" x14ac:dyDescent="0.35">
      <c r="A64">
        <v>59</v>
      </c>
      <c r="B64" s="98">
        <v>0</v>
      </c>
      <c r="C64" s="9">
        <v>0</v>
      </c>
      <c r="D64" s="9">
        <v>0</v>
      </c>
      <c r="E64" s="9">
        <v>0</v>
      </c>
      <c r="F64" s="99">
        <v>0</v>
      </c>
      <c r="G64" s="58">
        <f>'Your Model Diet'!$Q70</f>
        <v>0</v>
      </c>
      <c r="H64" s="4">
        <f>'Nutrient Content_TFP'!$G64</f>
        <v>323.19767942999999</v>
      </c>
      <c r="I64" s="4">
        <f t="shared" si="0"/>
        <v>0</v>
      </c>
      <c r="J64" s="4">
        <f t="shared" si="1"/>
        <v>0</v>
      </c>
      <c r="K64" s="4">
        <f>Calculation_TFP!$G62</f>
        <v>0.52939132936259992</v>
      </c>
      <c r="L64" s="5">
        <f t="shared" si="2"/>
        <v>0</v>
      </c>
    </row>
    <row r="65" spans="1:12" x14ac:dyDescent="0.35">
      <c r="A65">
        <v>60</v>
      </c>
      <c r="B65" s="98">
        <v>8.7235401100000001</v>
      </c>
      <c r="C65" s="9">
        <v>10.46836631</v>
      </c>
      <c r="D65" s="9">
        <v>20.270514299999999</v>
      </c>
      <c r="E65" s="9">
        <v>15.270926879999999</v>
      </c>
      <c r="F65" s="99">
        <v>54.733347600000002</v>
      </c>
      <c r="G65" s="58">
        <f>'Your Model Diet'!$Q71</f>
        <v>20.270514299999999</v>
      </c>
      <c r="H65" s="4">
        <f>'Nutrient Content_TFP'!$G65</f>
        <v>62.451667378000003</v>
      </c>
      <c r="I65" s="4">
        <f t="shared" si="0"/>
        <v>0.32457923304607783</v>
      </c>
      <c r="J65" s="4">
        <f t="shared" si="1"/>
        <v>32.457923304607782</v>
      </c>
      <c r="K65" s="4">
        <f>Calculation_TFP!$G63</f>
        <v>0.12435823650939999</v>
      </c>
      <c r="L65" s="5">
        <f t="shared" si="2"/>
        <v>4.0364101029183808E-2</v>
      </c>
    </row>
    <row r="66" spans="1:12" x14ac:dyDescent="0.35">
      <c r="A66">
        <v>61</v>
      </c>
      <c r="B66" s="98">
        <v>0</v>
      </c>
      <c r="C66" s="9">
        <v>0</v>
      </c>
      <c r="D66" s="9">
        <v>0</v>
      </c>
      <c r="E66" s="9">
        <v>0</v>
      </c>
      <c r="F66" s="99">
        <v>0</v>
      </c>
      <c r="G66" s="58">
        <f>'Your Model Diet'!$Q72</f>
        <v>0</v>
      </c>
      <c r="H66" s="4">
        <f>'Nutrient Content_TFP'!$G66</f>
        <v>74.556733635000001</v>
      </c>
      <c r="I66" s="4">
        <f t="shared" si="0"/>
        <v>0</v>
      </c>
      <c r="J66" s="4">
        <f t="shared" si="1"/>
        <v>0</v>
      </c>
      <c r="K66" s="4">
        <f>Calculation_TFP!$G64</f>
        <v>0.48863640573120004</v>
      </c>
      <c r="L66" s="5">
        <f t="shared" si="2"/>
        <v>0</v>
      </c>
    </row>
    <row r="67" spans="1:12" x14ac:dyDescent="0.35">
      <c r="A67">
        <v>62</v>
      </c>
      <c r="B67" s="98">
        <v>0</v>
      </c>
      <c r="C67" s="9">
        <v>0</v>
      </c>
      <c r="D67" s="9">
        <v>0</v>
      </c>
      <c r="E67" s="9">
        <v>0</v>
      </c>
      <c r="F67" s="99">
        <v>0</v>
      </c>
      <c r="G67" s="58">
        <f>'Your Model Diet'!$Q73</f>
        <v>0</v>
      </c>
      <c r="H67" s="4">
        <f>'Nutrient Content_TFP'!$G67</f>
        <v>46.627614004000002</v>
      </c>
      <c r="I67" s="4">
        <f t="shared" si="0"/>
        <v>0</v>
      </c>
      <c r="J67" s="4">
        <f t="shared" si="1"/>
        <v>0</v>
      </c>
      <c r="K67" s="4">
        <f>Calculation_TFP!$G65</f>
        <v>0.30926290393979999</v>
      </c>
      <c r="L67" s="5">
        <f t="shared" si="2"/>
        <v>0</v>
      </c>
    </row>
    <row r="68" spans="1:12" x14ac:dyDescent="0.35">
      <c r="A68">
        <v>63</v>
      </c>
      <c r="B68" s="98">
        <v>0</v>
      </c>
      <c r="C68" s="9">
        <v>0</v>
      </c>
      <c r="D68" s="9">
        <v>0</v>
      </c>
      <c r="E68" s="9">
        <v>0</v>
      </c>
      <c r="F68" s="99">
        <v>0</v>
      </c>
      <c r="G68" s="58">
        <f>'Your Model Diet'!$Q74</f>
        <v>0</v>
      </c>
      <c r="H68" s="4">
        <f>'Nutrient Content_TFP'!$G68</f>
        <v>56.378662192</v>
      </c>
      <c r="I68" s="4">
        <f t="shared" si="0"/>
        <v>0</v>
      </c>
      <c r="J68" s="4">
        <f t="shared" si="1"/>
        <v>0</v>
      </c>
      <c r="K68" s="4">
        <f>Calculation_TFP!$G66</f>
        <v>0.4448043902048</v>
      </c>
      <c r="L68" s="5">
        <f t="shared" si="2"/>
        <v>0</v>
      </c>
    </row>
    <row r="69" spans="1:12" x14ac:dyDescent="0.35">
      <c r="A69">
        <v>64</v>
      </c>
      <c r="B69" s="98">
        <v>0</v>
      </c>
      <c r="C69" s="9">
        <v>0</v>
      </c>
      <c r="D69" s="9">
        <v>0</v>
      </c>
      <c r="E69" s="9">
        <v>0</v>
      </c>
      <c r="F69" s="99">
        <v>0</v>
      </c>
      <c r="G69" s="58">
        <f>'Your Model Diet'!$Q75</f>
        <v>0</v>
      </c>
      <c r="H69" s="4">
        <f>'Nutrient Content_TFP'!$G69</f>
        <v>139.97242716</v>
      </c>
      <c r="I69" s="4">
        <f t="shared" si="0"/>
        <v>0</v>
      </c>
      <c r="J69" s="4">
        <f t="shared" si="1"/>
        <v>0</v>
      </c>
      <c r="K69" s="4">
        <f>Calculation_TFP!$G67</f>
        <v>0.67716967377399995</v>
      </c>
      <c r="L69" s="5">
        <f t="shared" si="2"/>
        <v>0</v>
      </c>
    </row>
    <row r="70" spans="1:12" x14ac:dyDescent="0.35">
      <c r="A70">
        <v>65</v>
      </c>
      <c r="B70" s="98">
        <v>15.22805528</v>
      </c>
      <c r="C70" s="9">
        <v>17.014786319999999</v>
      </c>
      <c r="D70" s="9">
        <v>21.806631249999999</v>
      </c>
      <c r="E70" s="9">
        <v>0</v>
      </c>
      <c r="F70" s="99">
        <v>54.049472860000002</v>
      </c>
      <c r="G70" s="58">
        <f>'Your Model Diet'!$Q76</f>
        <v>21.806631249999999</v>
      </c>
      <c r="H70" s="4">
        <f>'Nutrient Content_TFP'!$G70</f>
        <v>121.43791776</v>
      </c>
      <c r="I70" s="4">
        <f t="shared" si="0"/>
        <v>0.17957020057851161</v>
      </c>
      <c r="J70" s="4">
        <f t="shared" si="1"/>
        <v>17.95702005785116</v>
      </c>
      <c r="K70" s="4">
        <f>Calculation_TFP!$G68</f>
        <v>0.3788815826852</v>
      </c>
      <c r="L70" s="5">
        <f t="shared" si="2"/>
        <v>6.8035841798285299E-2</v>
      </c>
    </row>
    <row r="71" spans="1:12" x14ac:dyDescent="0.35">
      <c r="A71">
        <v>66</v>
      </c>
      <c r="B71" s="98">
        <v>0</v>
      </c>
      <c r="C71" s="9">
        <v>0</v>
      </c>
      <c r="D71" s="9">
        <v>0</v>
      </c>
      <c r="E71" s="9">
        <v>0</v>
      </c>
      <c r="F71" s="99">
        <v>0</v>
      </c>
      <c r="G71" s="58">
        <f>'Your Model Diet'!$Q77</f>
        <v>0</v>
      </c>
      <c r="H71" s="4">
        <f>'Nutrient Content_TFP'!$G71</f>
        <v>110.77667398</v>
      </c>
      <c r="I71" s="4">
        <f t="shared" ref="I71:I102" si="3">$G71/$H71</f>
        <v>0</v>
      </c>
      <c r="J71" s="4">
        <f t="shared" ref="J71:J102" si="4">$I71*100</f>
        <v>0</v>
      </c>
      <c r="K71" s="4">
        <f>Calculation_TFP!$G69</f>
        <v>0.65992798788219997</v>
      </c>
      <c r="L71" s="5">
        <f t="shared" ref="L71:L102" si="5">$I71*$K71</f>
        <v>0</v>
      </c>
    </row>
    <row r="72" spans="1:12" x14ac:dyDescent="0.35">
      <c r="A72">
        <v>67</v>
      </c>
      <c r="B72" s="98">
        <v>0</v>
      </c>
      <c r="C72" s="9">
        <v>0</v>
      </c>
      <c r="D72" s="9">
        <v>0</v>
      </c>
      <c r="E72" s="9">
        <v>25.884590419999999</v>
      </c>
      <c r="F72" s="99">
        <v>25.884590419999999</v>
      </c>
      <c r="G72" s="58">
        <f>'Your Model Diet'!$Q78</f>
        <v>0</v>
      </c>
      <c r="H72" s="4">
        <f>'Nutrient Content_TFP'!$G72</f>
        <v>121.11224633</v>
      </c>
      <c r="I72" s="4">
        <f t="shared" si="3"/>
        <v>0</v>
      </c>
      <c r="J72" s="4">
        <f t="shared" si="4"/>
        <v>0</v>
      </c>
      <c r="K72" s="4">
        <f>Calculation_TFP!$G70</f>
        <v>0.32372313643559997</v>
      </c>
      <c r="L72" s="5">
        <f t="shared" si="5"/>
        <v>0</v>
      </c>
    </row>
    <row r="73" spans="1:12" x14ac:dyDescent="0.35">
      <c r="A73">
        <v>68</v>
      </c>
      <c r="B73" s="98">
        <v>0</v>
      </c>
      <c r="C73" s="9">
        <v>0</v>
      </c>
      <c r="D73" s="9">
        <v>0</v>
      </c>
      <c r="E73" s="9">
        <v>0</v>
      </c>
      <c r="F73" s="99">
        <v>0</v>
      </c>
      <c r="G73" s="58">
        <f>'Your Model Diet'!$Q79</f>
        <v>0</v>
      </c>
      <c r="H73" s="4">
        <f>'Nutrient Content_TFP'!$G73</f>
        <v>533.75688344000002</v>
      </c>
      <c r="I73" s="4">
        <f t="shared" si="3"/>
        <v>0</v>
      </c>
      <c r="J73" s="4">
        <f t="shared" si="4"/>
        <v>0</v>
      </c>
      <c r="K73" s="4">
        <f>Calculation_TFP!$G71</f>
        <v>1.1732299673081998</v>
      </c>
      <c r="L73" s="5">
        <f t="shared" si="5"/>
        <v>0</v>
      </c>
    </row>
    <row r="74" spans="1:12" x14ac:dyDescent="0.35">
      <c r="A74">
        <v>69</v>
      </c>
      <c r="B74" s="98">
        <v>0</v>
      </c>
      <c r="C74" s="9">
        <v>0</v>
      </c>
      <c r="D74" s="9">
        <v>0</v>
      </c>
      <c r="E74" s="9">
        <v>0</v>
      </c>
      <c r="F74" s="99">
        <v>0</v>
      </c>
      <c r="G74" s="58">
        <f>'Your Model Diet'!$Q80</f>
        <v>0</v>
      </c>
      <c r="H74" s="4">
        <f>'Nutrient Content_TFP'!$G74</f>
        <v>576.60102189999998</v>
      </c>
      <c r="I74" s="4">
        <f t="shared" si="3"/>
        <v>0</v>
      </c>
      <c r="J74" s="4">
        <f t="shared" si="4"/>
        <v>0</v>
      </c>
      <c r="K74" s="4">
        <f>Calculation_TFP!$G72</f>
        <v>1.5553578062869999</v>
      </c>
      <c r="L74" s="5">
        <f t="shared" si="5"/>
        <v>0</v>
      </c>
    </row>
    <row r="75" spans="1:12" x14ac:dyDescent="0.35">
      <c r="A75">
        <v>70</v>
      </c>
      <c r="B75" s="98">
        <v>108.52131180000001</v>
      </c>
      <c r="C75" s="9">
        <v>127.52228650000001</v>
      </c>
      <c r="D75" s="9">
        <v>208.70005080000001</v>
      </c>
      <c r="E75" s="9">
        <v>274.847598</v>
      </c>
      <c r="F75" s="99">
        <v>719.59124710000003</v>
      </c>
      <c r="G75" s="58">
        <f>'Your Model Diet'!$Q81</f>
        <v>208.70005080000001</v>
      </c>
      <c r="H75" s="4">
        <f>'Nutrient Content_TFP'!$G75</f>
        <v>596.19245555999998</v>
      </c>
      <c r="I75" s="4">
        <f t="shared" si="3"/>
        <v>0.35005483355868589</v>
      </c>
      <c r="J75" s="4">
        <f t="shared" si="4"/>
        <v>35.005483355868591</v>
      </c>
      <c r="K75" s="4">
        <f>Calculation_TFP!$G73</f>
        <v>0.59565395405580002</v>
      </c>
      <c r="L75" s="5">
        <f t="shared" si="5"/>
        <v>0.2085115457455762</v>
      </c>
    </row>
    <row r="76" spans="1:12" x14ac:dyDescent="0.35">
      <c r="A76">
        <v>71</v>
      </c>
      <c r="B76" s="98">
        <v>0</v>
      </c>
      <c r="C76" s="9">
        <v>0</v>
      </c>
      <c r="D76" s="9">
        <v>0</v>
      </c>
      <c r="E76" s="9">
        <v>0</v>
      </c>
      <c r="F76" s="99">
        <v>0</v>
      </c>
      <c r="G76" s="58">
        <f>'Your Model Diet'!$Q82</f>
        <v>0</v>
      </c>
      <c r="H76" s="4">
        <f>'Nutrient Content_TFP'!$G76</f>
        <v>190.93206262999999</v>
      </c>
      <c r="I76" s="4">
        <f t="shared" si="3"/>
        <v>0</v>
      </c>
      <c r="J76" s="4">
        <f t="shared" si="4"/>
        <v>0</v>
      </c>
      <c r="K76" s="4">
        <f>Calculation_TFP!$G74</f>
        <v>0.84312247083019998</v>
      </c>
      <c r="L76" s="5">
        <f t="shared" si="5"/>
        <v>0</v>
      </c>
    </row>
    <row r="77" spans="1:12" x14ac:dyDescent="0.35">
      <c r="A77">
        <v>72</v>
      </c>
      <c r="B77" s="98">
        <v>0</v>
      </c>
      <c r="C77" s="9">
        <v>0</v>
      </c>
      <c r="D77" s="9">
        <v>0</v>
      </c>
      <c r="E77" s="9">
        <v>0</v>
      </c>
      <c r="F77" s="99">
        <v>0</v>
      </c>
      <c r="G77" s="58">
        <f>'Your Model Diet'!$Q83</f>
        <v>0</v>
      </c>
      <c r="H77" s="4">
        <f>'Nutrient Content_TFP'!$G77</f>
        <v>199.86684008</v>
      </c>
      <c r="I77" s="4">
        <f t="shared" si="3"/>
        <v>0</v>
      </c>
      <c r="J77" s="4">
        <f t="shared" si="4"/>
        <v>0</v>
      </c>
      <c r="K77" s="4">
        <f>Calculation_TFP!$G75</f>
        <v>1.0291538844571999</v>
      </c>
      <c r="L77" s="5">
        <f t="shared" si="5"/>
        <v>0</v>
      </c>
    </row>
    <row r="78" spans="1:12" x14ac:dyDescent="0.35">
      <c r="A78">
        <v>73</v>
      </c>
      <c r="B78" s="98">
        <v>0</v>
      </c>
      <c r="C78" s="9">
        <v>0</v>
      </c>
      <c r="D78" s="9">
        <v>0</v>
      </c>
      <c r="E78" s="9">
        <v>0</v>
      </c>
      <c r="F78" s="99">
        <v>0</v>
      </c>
      <c r="G78" s="58">
        <f>'Your Model Diet'!$Q84</f>
        <v>0</v>
      </c>
      <c r="H78" s="4">
        <f>'Nutrient Content_TFP'!$G78</f>
        <v>252.57337085</v>
      </c>
      <c r="I78" s="4">
        <f t="shared" si="3"/>
        <v>0</v>
      </c>
      <c r="J78" s="4">
        <f t="shared" si="4"/>
        <v>0</v>
      </c>
      <c r="K78" s="4">
        <f>Calculation_TFP!$G76</f>
        <v>1.5709376567722</v>
      </c>
      <c r="L78" s="5">
        <f t="shared" si="5"/>
        <v>0</v>
      </c>
    </row>
    <row r="79" spans="1:12" x14ac:dyDescent="0.35">
      <c r="A79">
        <v>74</v>
      </c>
      <c r="B79" s="98">
        <v>144.86257169999999</v>
      </c>
      <c r="C79" s="9">
        <v>205.28219139999999</v>
      </c>
      <c r="D79" s="9">
        <v>208.3952568</v>
      </c>
      <c r="E79" s="9">
        <v>207.78938389999999</v>
      </c>
      <c r="F79" s="99">
        <v>766.32940380000002</v>
      </c>
      <c r="G79" s="58">
        <f>'Your Model Diet'!$Q85</f>
        <v>208.3952568</v>
      </c>
      <c r="H79" s="4">
        <f>'Nutrient Content_TFP'!$G79</f>
        <v>232.54865154000001</v>
      </c>
      <c r="I79" s="4">
        <f t="shared" si="3"/>
        <v>0.89613616514200489</v>
      </c>
      <c r="J79" s="4">
        <f t="shared" si="4"/>
        <v>89.613616514200487</v>
      </c>
      <c r="K79" s="4">
        <f>Calculation_TFP!$G77</f>
        <v>0.74689853237179993</v>
      </c>
      <c r="L79" s="5">
        <f t="shared" si="5"/>
        <v>0.66932278654985644</v>
      </c>
    </row>
    <row r="80" spans="1:12" x14ac:dyDescent="0.35">
      <c r="A80">
        <v>75</v>
      </c>
      <c r="B80" s="98">
        <v>73.119407089999996</v>
      </c>
      <c r="C80" s="9">
        <v>82.635423970000005</v>
      </c>
      <c r="D80" s="9">
        <v>67.920582839999994</v>
      </c>
      <c r="E80" s="9">
        <v>106.0511271</v>
      </c>
      <c r="F80" s="99">
        <v>329.726541</v>
      </c>
      <c r="G80" s="58">
        <f>'Your Model Diet'!$Q86</f>
        <v>67.920582839999994</v>
      </c>
      <c r="H80" s="4">
        <f>'Nutrient Content_TFP'!$G80</f>
        <v>369.27761643000002</v>
      </c>
      <c r="I80" s="4">
        <f t="shared" si="3"/>
        <v>0.18392824210853562</v>
      </c>
      <c r="J80" s="4">
        <f t="shared" si="4"/>
        <v>18.392824210853561</v>
      </c>
      <c r="K80" s="4">
        <f>Calculation_TFP!$G78</f>
        <v>0.876470489307</v>
      </c>
      <c r="L80" s="5">
        <f t="shared" si="5"/>
        <v>0.16120767635824457</v>
      </c>
    </row>
    <row r="81" spans="1:12" x14ac:dyDescent="0.35">
      <c r="A81">
        <v>76</v>
      </c>
      <c r="B81" s="98">
        <v>0</v>
      </c>
      <c r="C81" s="9">
        <v>0</v>
      </c>
      <c r="D81" s="9">
        <v>0</v>
      </c>
      <c r="E81" s="9">
        <v>0</v>
      </c>
      <c r="F81" s="99">
        <v>0</v>
      </c>
      <c r="G81" s="58">
        <f>'Your Model Diet'!$Q87</f>
        <v>0</v>
      </c>
      <c r="H81" s="4">
        <f>'Nutrient Content_TFP'!$G81</f>
        <v>176.02831886000001</v>
      </c>
      <c r="I81" s="4">
        <f t="shared" si="3"/>
        <v>0</v>
      </c>
      <c r="J81" s="4">
        <f t="shared" si="4"/>
        <v>0</v>
      </c>
      <c r="K81" s="4">
        <f>Calculation_TFP!$G79</f>
        <v>1.2751379015574</v>
      </c>
      <c r="L81" s="5">
        <f t="shared" si="5"/>
        <v>0</v>
      </c>
    </row>
    <row r="82" spans="1:12" x14ac:dyDescent="0.35">
      <c r="A82">
        <v>77</v>
      </c>
      <c r="B82" s="98">
        <v>56.758198980000003</v>
      </c>
      <c r="C82" s="9">
        <v>64.428664429999998</v>
      </c>
      <c r="D82" s="9">
        <v>64.428664429999998</v>
      </c>
      <c r="E82" s="9">
        <v>75.16702334</v>
      </c>
      <c r="F82" s="99">
        <v>260.7825512</v>
      </c>
      <c r="G82" s="58">
        <f>'Your Model Diet'!$Q88</f>
        <v>64.428664429999998</v>
      </c>
      <c r="H82" s="4">
        <f>'Nutrient Content_TFP'!$G82</f>
        <v>156.36026035</v>
      </c>
      <c r="I82" s="4">
        <f t="shared" si="3"/>
        <v>0.41205268068613826</v>
      </c>
      <c r="J82" s="4">
        <f t="shared" si="4"/>
        <v>41.205268068613826</v>
      </c>
      <c r="K82" s="4">
        <f>Calculation_TFP!$G80</f>
        <v>1.1402845062279998</v>
      </c>
      <c r="L82" s="5">
        <f t="shared" si="5"/>
        <v>0.46985728753611683</v>
      </c>
    </row>
    <row r="83" spans="1:12" x14ac:dyDescent="0.35">
      <c r="A83">
        <v>78</v>
      </c>
      <c r="B83" s="98">
        <v>0</v>
      </c>
      <c r="C83" s="9">
        <v>0</v>
      </c>
      <c r="D83" s="9">
        <v>0</v>
      </c>
      <c r="E83" s="9">
        <v>0</v>
      </c>
      <c r="F83" s="99">
        <v>0</v>
      </c>
      <c r="G83" s="58">
        <f>'Your Model Diet'!$Q89</f>
        <v>0</v>
      </c>
      <c r="H83" s="4">
        <f>'Nutrient Content_TFP'!$G83</f>
        <v>179.16468298000001</v>
      </c>
      <c r="I83" s="4">
        <f t="shared" si="3"/>
        <v>0</v>
      </c>
      <c r="J83" s="4">
        <f t="shared" si="4"/>
        <v>0</v>
      </c>
      <c r="K83" s="4">
        <f>Calculation_TFP!$G81</f>
        <v>2.0835729814616002</v>
      </c>
      <c r="L83" s="5">
        <f t="shared" si="5"/>
        <v>0</v>
      </c>
    </row>
    <row r="84" spans="1:12" x14ac:dyDescent="0.35">
      <c r="A84">
        <v>79</v>
      </c>
      <c r="B84" s="98">
        <v>0</v>
      </c>
      <c r="C84" s="9">
        <v>0</v>
      </c>
      <c r="D84" s="9">
        <v>0</v>
      </c>
      <c r="E84" s="9">
        <v>0</v>
      </c>
      <c r="F84" s="99">
        <v>0</v>
      </c>
      <c r="G84" s="58">
        <f>'Your Model Diet'!$Q90</f>
        <v>0</v>
      </c>
      <c r="H84" s="4">
        <f>'Nutrient Content_TFP'!$G84</f>
        <v>400.37388692000002</v>
      </c>
      <c r="I84" s="4">
        <f t="shared" si="3"/>
        <v>0</v>
      </c>
      <c r="J84" s="4">
        <f t="shared" si="4"/>
        <v>0</v>
      </c>
      <c r="K84" s="4">
        <f>Calculation_TFP!$G82</f>
        <v>0.89676722459720004</v>
      </c>
      <c r="L84" s="5">
        <f t="shared" si="5"/>
        <v>0</v>
      </c>
    </row>
    <row r="85" spans="1:12" x14ac:dyDescent="0.35">
      <c r="A85">
        <v>80</v>
      </c>
      <c r="B85" s="98">
        <v>0</v>
      </c>
      <c r="C85" s="9">
        <v>0</v>
      </c>
      <c r="D85" s="9">
        <v>20.552131459999998</v>
      </c>
      <c r="E85" s="9">
        <v>0</v>
      </c>
      <c r="F85" s="99">
        <v>20.552131459999998</v>
      </c>
      <c r="G85" s="58">
        <f>'Your Model Diet'!$Q91</f>
        <v>20.552131459999998</v>
      </c>
      <c r="H85" s="4">
        <f>'Nutrient Content_TFP'!$G85</f>
        <v>418.54510512000002</v>
      </c>
      <c r="I85" s="4">
        <f t="shared" si="3"/>
        <v>4.9103743440285959E-2</v>
      </c>
      <c r="J85" s="4">
        <f t="shared" si="4"/>
        <v>4.9103743440285958</v>
      </c>
      <c r="K85" s="4">
        <f>Calculation_TFP!$G83</f>
        <v>1.5305736950958</v>
      </c>
      <c r="L85" s="5">
        <f t="shared" si="5"/>
        <v>7.5156898040434628E-2</v>
      </c>
    </row>
    <row r="86" spans="1:12" x14ac:dyDescent="0.35">
      <c r="A86">
        <v>81</v>
      </c>
      <c r="B86" s="98">
        <v>0</v>
      </c>
      <c r="C86" s="9">
        <v>0</v>
      </c>
      <c r="D86" s="9">
        <v>0</v>
      </c>
      <c r="E86" s="9">
        <v>0</v>
      </c>
      <c r="F86" s="99">
        <v>0</v>
      </c>
      <c r="G86" s="58">
        <f>'Your Model Diet'!$Q92</f>
        <v>0</v>
      </c>
      <c r="H86" s="4">
        <f>'Nutrient Content_TFP'!$G86</f>
        <v>442.72072774999998</v>
      </c>
      <c r="I86" s="4">
        <f t="shared" si="3"/>
        <v>0</v>
      </c>
      <c r="J86" s="4">
        <f t="shared" si="4"/>
        <v>0</v>
      </c>
      <c r="K86" s="4">
        <f>Calculation_TFP!$G84</f>
        <v>1.2115529565314</v>
      </c>
      <c r="L86" s="5">
        <f t="shared" si="5"/>
        <v>0</v>
      </c>
    </row>
    <row r="87" spans="1:12" x14ac:dyDescent="0.35">
      <c r="A87">
        <v>82</v>
      </c>
      <c r="B87" s="98">
        <v>0</v>
      </c>
      <c r="C87" s="9">
        <v>0</v>
      </c>
      <c r="D87" s="9">
        <v>42.655714269999997</v>
      </c>
      <c r="E87" s="9">
        <v>0</v>
      </c>
      <c r="F87" s="99">
        <v>42.655714269999997</v>
      </c>
      <c r="G87" s="58">
        <f>'Your Model Diet'!$Q93</f>
        <v>42.655714269999997</v>
      </c>
      <c r="H87" s="4">
        <f>'Nutrient Content_TFP'!$G87</f>
        <v>512.45136730000002</v>
      </c>
      <c r="I87" s="4">
        <f t="shared" si="3"/>
        <v>8.323856075308006E-2</v>
      </c>
      <c r="J87" s="4">
        <f t="shared" si="4"/>
        <v>8.3238560753080062</v>
      </c>
      <c r="K87" s="4">
        <f>Calculation_TFP!$G85</f>
        <v>1.1267989087028001</v>
      </c>
      <c r="L87" s="5">
        <f t="shared" si="5"/>
        <v>9.3793119418562332E-2</v>
      </c>
    </row>
    <row r="88" spans="1:12" x14ac:dyDescent="0.35">
      <c r="A88">
        <v>83</v>
      </c>
      <c r="B88" s="98">
        <v>0</v>
      </c>
      <c r="C88" s="9">
        <v>0</v>
      </c>
      <c r="D88" s="9">
        <v>0</v>
      </c>
      <c r="E88" s="9">
        <v>0</v>
      </c>
      <c r="F88" s="99">
        <v>0</v>
      </c>
      <c r="G88" s="58">
        <f>'Your Model Diet'!$Q94</f>
        <v>0</v>
      </c>
      <c r="H88" s="4">
        <f>'Nutrient Content_TFP'!$G88</f>
        <v>417.93666839999997</v>
      </c>
      <c r="I88" s="4">
        <f t="shared" si="3"/>
        <v>0</v>
      </c>
      <c r="J88" s="4">
        <f t="shared" si="4"/>
        <v>0</v>
      </c>
      <c r="K88" s="4">
        <f>Calculation_TFP!$G86</f>
        <v>1.1456546609079998</v>
      </c>
      <c r="L88" s="5">
        <f t="shared" si="5"/>
        <v>0</v>
      </c>
    </row>
    <row r="89" spans="1:12" x14ac:dyDescent="0.35">
      <c r="A89">
        <v>84</v>
      </c>
      <c r="B89" s="98">
        <v>0</v>
      </c>
      <c r="C89" s="9">
        <v>0</v>
      </c>
      <c r="D89" s="9">
        <v>0</v>
      </c>
      <c r="E89" s="9">
        <v>0</v>
      </c>
      <c r="F89" s="99">
        <v>0</v>
      </c>
      <c r="G89" s="58">
        <f>'Your Model Diet'!$Q95</f>
        <v>0</v>
      </c>
      <c r="H89" s="4">
        <f>'Nutrient Content_TFP'!$G89</f>
        <v>474.50482731</v>
      </c>
      <c r="I89" s="4">
        <f t="shared" si="3"/>
        <v>0</v>
      </c>
      <c r="J89" s="4">
        <f t="shared" si="4"/>
        <v>0</v>
      </c>
      <c r="K89" s="4">
        <f>Calculation_TFP!$G87</f>
        <v>0.89222008312079992</v>
      </c>
      <c r="L89" s="5">
        <f t="shared" si="5"/>
        <v>0</v>
      </c>
    </row>
    <row r="90" spans="1:12" x14ac:dyDescent="0.35">
      <c r="A90">
        <v>85</v>
      </c>
      <c r="B90" s="98">
        <v>0</v>
      </c>
      <c r="C90" s="9">
        <v>0</v>
      </c>
      <c r="D90" s="9">
        <v>0</v>
      </c>
      <c r="E90" s="9">
        <v>43.867691209999997</v>
      </c>
      <c r="F90" s="99">
        <v>43.867691209999997</v>
      </c>
      <c r="G90" s="58">
        <f>'Your Model Diet'!$Q96</f>
        <v>0</v>
      </c>
      <c r="H90" s="4">
        <f>'Nutrient Content_TFP'!$G90</f>
        <v>185.18334393000001</v>
      </c>
      <c r="I90" s="4">
        <f t="shared" si="3"/>
        <v>0</v>
      </c>
      <c r="J90" s="4">
        <f t="shared" si="4"/>
        <v>0</v>
      </c>
      <c r="K90" s="4">
        <f>Calculation_TFP!$G88</f>
        <v>0.45713767598460003</v>
      </c>
      <c r="L90" s="5">
        <f t="shared" si="5"/>
        <v>0</v>
      </c>
    </row>
    <row r="91" spans="1:12" x14ac:dyDescent="0.35">
      <c r="A91">
        <v>86</v>
      </c>
      <c r="B91" s="98">
        <v>0</v>
      </c>
      <c r="C91" s="9">
        <v>0</v>
      </c>
      <c r="D91" s="9">
        <v>0</v>
      </c>
      <c r="E91" s="9">
        <v>0</v>
      </c>
      <c r="F91" s="99">
        <v>0</v>
      </c>
      <c r="G91" s="58">
        <f>'Your Model Diet'!$Q97</f>
        <v>0</v>
      </c>
      <c r="H91" s="4">
        <f>'Nutrient Content_TFP'!$G91</f>
        <v>400.41301952999999</v>
      </c>
      <c r="I91" s="4">
        <f t="shared" si="3"/>
        <v>0</v>
      </c>
      <c r="J91" s="4">
        <f t="shared" si="4"/>
        <v>0</v>
      </c>
      <c r="K91" s="4">
        <f>Calculation_TFP!$G89</f>
        <v>0.83573470510140002</v>
      </c>
      <c r="L91" s="5">
        <f t="shared" si="5"/>
        <v>0</v>
      </c>
    </row>
    <row r="92" spans="1:12" x14ac:dyDescent="0.35">
      <c r="A92">
        <v>87</v>
      </c>
      <c r="B92" s="98">
        <v>0</v>
      </c>
      <c r="C92" s="9">
        <v>0</v>
      </c>
      <c r="D92" s="9">
        <v>0</v>
      </c>
      <c r="E92" s="9">
        <v>0</v>
      </c>
      <c r="F92" s="99">
        <v>0</v>
      </c>
      <c r="G92" s="58">
        <f>'Your Model Diet'!$Q98</f>
        <v>0</v>
      </c>
      <c r="H92" s="4">
        <f>'Nutrient Content_TFP'!$G92</f>
        <v>471.54441355</v>
      </c>
      <c r="I92" s="4">
        <f t="shared" si="3"/>
        <v>0</v>
      </c>
      <c r="J92" s="4">
        <f t="shared" si="4"/>
        <v>0</v>
      </c>
      <c r="K92" s="4">
        <f>Calculation_TFP!$G90</f>
        <v>1.0911652166930002</v>
      </c>
      <c r="L92" s="5">
        <f t="shared" si="5"/>
        <v>0</v>
      </c>
    </row>
    <row r="93" spans="1:12" x14ac:dyDescent="0.35">
      <c r="A93">
        <v>88</v>
      </c>
      <c r="B93" s="98">
        <v>15.563872269999999</v>
      </c>
      <c r="C93" s="9">
        <v>20.219903219999999</v>
      </c>
      <c r="D93" s="9">
        <v>15.40227389</v>
      </c>
      <c r="E93" s="9">
        <v>17.467694730000002</v>
      </c>
      <c r="F93" s="99">
        <v>68.653744110000005</v>
      </c>
      <c r="G93" s="58">
        <f>'Your Model Diet'!$Q99</f>
        <v>15.40227389</v>
      </c>
      <c r="H93" s="4">
        <f>'Nutrient Content_TFP'!$G93</f>
        <v>533.02997320999998</v>
      </c>
      <c r="I93" s="4">
        <f t="shared" si="3"/>
        <v>2.8895699424264655E-2</v>
      </c>
      <c r="J93" s="4">
        <f t="shared" si="4"/>
        <v>2.8895699424264656</v>
      </c>
      <c r="K93" s="4">
        <f>Calculation_TFP!$G91</f>
        <v>0.78088681164019991</v>
      </c>
      <c r="L93" s="5">
        <f t="shared" si="5"/>
        <v>2.2564270593527586E-2</v>
      </c>
    </row>
    <row r="94" spans="1:12" x14ac:dyDescent="0.35">
      <c r="A94">
        <v>89</v>
      </c>
      <c r="B94" s="98">
        <v>14.80239858</v>
      </c>
      <c r="C94" s="9">
        <v>18.94620201</v>
      </c>
      <c r="D94" s="9">
        <v>0</v>
      </c>
      <c r="E94" s="9">
        <v>26.86189121</v>
      </c>
      <c r="F94" s="99">
        <v>60.610491799999998</v>
      </c>
      <c r="G94" s="58">
        <f>'Your Model Diet'!$Q100</f>
        <v>0</v>
      </c>
      <c r="H94" s="4">
        <f>'Nutrient Content_TFP'!$G94</f>
        <v>327.14056902999999</v>
      </c>
      <c r="I94" s="4">
        <f t="shared" si="3"/>
        <v>0</v>
      </c>
      <c r="J94" s="4">
        <f t="shared" si="4"/>
        <v>0</v>
      </c>
      <c r="K94" s="4">
        <f>Calculation_TFP!$G92</f>
        <v>0.44789516800500001</v>
      </c>
      <c r="L94" s="5">
        <f t="shared" si="5"/>
        <v>0</v>
      </c>
    </row>
    <row r="95" spans="1:12" x14ac:dyDescent="0.35">
      <c r="A95">
        <v>90</v>
      </c>
      <c r="B95" s="98">
        <v>8.0767734719999993</v>
      </c>
      <c r="C95" s="9">
        <v>11.244403699999999</v>
      </c>
      <c r="D95" s="9">
        <v>11.231240440000001</v>
      </c>
      <c r="E95" s="9">
        <v>13.84443111</v>
      </c>
      <c r="F95" s="99">
        <v>44.396848720000001</v>
      </c>
      <c r="G95" s="58">
        <f>'Your Model Diet'!$Q101</f>
        <v>11.231240440000001</v>
      </c>
      <c r="H95" s="4">
        <f>'Nutrient Content_TFP'!$G95</f>
        <v>27.788386170999999</v>
      </c>
      <c r="I95" s="4">
        <f t="shared" si="3"/>
        <v>0.404170302330149</v>
      </c>
      <c r="J95" s="4">
        <f t="shared" si="4"/>
        <v>40.417030233014898</v>
      </c>
      <c r="K95" s="4">
        <f>Calculation_TFP!$G93</f>
        <v>0.51711716707220001</v>
      </c>
      <c r="L95" s="5">
        <f t="shared" si="5"/>
        <v>0.20900340175568125</v>
      </c>
    </row>
    <row r="96" spans="1:12" x14ac:dyDescent="0.35">
      <c r="A96">
        <v>91</v>
      </c>
      <c r="B96" s="98">
        <v>0</v>
      </c>
      <c r="C96" s="9">
        <v>0</v>
      </c>
      <c r="D96" s="9">
        <v>0</v>
      </c>
      <c r="E96" s="9">
        <v>0</v>
      </c>
      <c r="F96" s="99">
        <v>0</v>
      </c>
      <c r="G96" s="58">
        <f>'Your Model Diet'!$Q102</f>
        <v>0</v>
      </c>
      <c r="H96" s="4">
        <f>'Nutrient Content_TFP'!$G96</f>
        <v>32.768511011000001</v>
      </c>
      <c r="I96" s="4">
        <f t="shared" si="3"/>
        <v>0</v>
      </c>
      <c r="J96" s="4">
        <f t="shared" si="4"/>
        <v>0</v>
      </c>
      <c r="K96" s="4">
        <f>Calculation_TFP!$G94</f>
        <v>0.91612619959999997</v>
      </c>
      <c r="L96" s="5">
        <f t="shared" si="5"/>
        <v>0</v>
      </c>
    </row>
    <row r="97" spans="1:12" x14ac:dyDescent="0.35">
      <c r="A97">
        <v>92</v>
      </c>
      <c r="B97" s="98">
        <v>17.245667730000001</v>
      </c>
      <c r="C97" s="9">
        <v>21.727590299999999</v>
      </c>
      <c r="D97" s="9">
        <v>21.692071469999998</v>
      </c>
      <c r="E97" s="9">
        <v>30.83213018</v>
      </c>
      <c r="F97" s="99">
        <v>91.497459680000006</v>
      </c>
      <c r="G97" s="58">
        <f>'Your Model Diet'!$Q103</f>
        <v>21.692071469999998</v>
      </c>
      <c r="H97" s="4">
        <f>'Nutrient Content_TFP'!$G97</f>
        <v>24.345206678</v>
      </c>
      <c r="I97" s="4">
        <f t="shared" si="3"/>
        <v>0.89102022245727919</v>
      </c>
      <c r="J97" s="4">
        <f t="shared" si="4"/>
        <v>89.102022245727923</v>
      </c>
      <c r="K97" s="4">
        <f>Calculation_TFP!$G95</f>
        <v>0.35158105225200004</v>
      </c>
      <c r="L97" s="5">
        <f t="shared" si="5"/>
        <v>0.31326582738934139</v>
      </c>
    </row>
    <row r="98" spans="1:12" x14ac:dyDescent="0.35">
      <c r="A98">
        <v>93</v>
      </c>
      <c r="B98" s="98">
        <v>0</v>
      </c>
      <c r="C98" s="9">
        <v>0</v>
      </c>
      <c r="D98" s="9">
        <v>0</v>
      </c>
      <c r="E98" s="9">
        <v>0</v>
      </c>
      <c r="F98" s="99">
        <v>0</v>
      </c>
      <c r="G98" s="58">
        <f>'Your Model Diet'!$Q104</f>
        <v>0</v>
      </c>
      <c r="H98" s="4">
        <f>'Nutrient Content_TFP'!$G98</f>
        <v>78.046435736999996</v>
      </c>
      <c r="I98" s="4">
        <f t="shared" si="3"/>
        <v>0</v>
      </c>
      <c r="J98" s="4">
        <f t="shared" si="4"/>
        <v>0</v>
      </c>
      <c r="K98" s="4">
        <f>Calculation_TFP!$G96</f>
        <v>0.67335154832120003</v>
      </c>
      <c r="L98" s="5">
        <f t="shared" si="5"/>
        <v>0</v>
      </c>
    </row>
    <row r="99" spans="1:12" x14ac:dyDescent="0.35">
      <c r="A99">
        <v>94</v>
      </c>
      <c r="B99" s="98">
        <v>19.92921119</v>
      </c>
      <c r="C99" s="9">
        <v>0</v>
      </c>
      <c r="D99" s="9">
        <v>0</v>
      </c>
      <c r="E99" s="9">
        <v>0</v>
      </c>
      <c r="F99" s="99">
        <v>19.92921119</v>
      </c>
      <c r="G99" s="58">
        <f>'Your Model Diet'!$Q105</f>
        <v>0</v>
      </c>
      <c r="H99" s="4">
        <f>'Nutrient Content_TFP'!$G99</f>
        <v>25.012114148999999</v>
      </c>
      <c r="I99" s="4">
        <f t="shared" si="3"/>
        <v>0</v>
      </c>
      <c r="J99" s="4">
        <f t="shared" si="4"/>
        <v>0</v>
      </c>
      <c r="K99" s="4">
        <f>Calculation_TFP!$G97</f>
        <v>0.58666249328140008</v>
      </c>
      <c r="L99" s="5">
        <f t="shared" si="5"/>
        <v>0</v>
      </c>
    </row>
    <row r="100" spans="1:12" x14ac:dyDescent="0.35">
      <c r="A100">
        <v>95</v>
      </c>
      <c r="B100" s="98">
        <v>11.82759568</v>
      </c>
      <c r="C100" s="9">
        <v>50.244758920000002</v>
      </c>
      <c r="D100" s="9">
        <v>50.77644626</v>
      </c>
      <c r="E100" s="9">
        <v>63.535554609999998</v>
      </c>
      <c r="F100" s="99">
        <v>176.3843555</v>
      </c>
      <c r="G100" s="58">
        <f>'Your Model Diet'!$Q106</f>
        <v>50.77644626</v>
      </c>
      <c r="H100" s="4">
        <f>'Nutrient Content_TFP'!$G100</f>
        <v>49.532885385999997</v>
      </c>
      <c r="I100" s="4">
        <f t="shared" si="3"/>
        <v>1.0251057628544993</v>
      </c>
      <c r="J100" s="4">
        <f t="shared" si="4"/>
        <v>102.51057628544993</v>
      </c>
      <c r="K100" s="4">
        <f>Calculation_TFP!$G98</f>
        <v>0.3632339142346</v>
      </c>
      <c r="L100" s="5">
        <f t="shared" si="5"/>
        <v>0.37235317874608542</v>
      </c>
    </row>
    <row r="101" spans="1:12" x14ac:dyDescent="0.35">
      <c r="A101">
        <v>96</v>
      </c>
      <c r="B101" s="98">
        <v>49.58725948</v>
      </c>
      <c r="C101" s="9">
        <v>63.339709550000002</v>
      </c>
      <c r="D101" s="9">
        <v>66.411213430000004</v>
      </c>
      <c r="E101" s="9">
        <v>106.1939252</v>
      </c>
      <c r="F101" s="99">
        <v>285.53210769999998</v>
      </c>
      <c r="G101" s="58">
        <f>'Your Model Diet'!$Q107</f>
        <v>66.411213430000004</v>
      </c>
      <c r="H101" s="4">
        <f>'Nutrient Content_TFP'!$G101</f>
        <v>96.25990856</v>
      </c>
      <c r="I101" s="4">
        <f t="shared" si="3"/>
        <v>0.68991560893292425</v>
      </c>
      <c r="J101" s="4">
        <f t="shared" si="4"/>
        <v>68.99156089329243</v>
      </c>
      <c r="K101" s="4">
        <f>Calculation_TFP!$G99</f>
        <v>0.30649631325580001</v>
      </c>
      <c r="L101" s="5">
        <f t="shared" si="5"/>
        <v>0.21145659059557156</v>
      </c>
    </row>
    <row r="102" spans="1:12" ht="15" thickBot="1" x14ac:dyDescent="0.4">
      <c r="A102">
        <v>97</v>
      </c>
      <c r="B102" s="100">
        <v>0</v>
      </c>
      <c r="C102" s="18">
        <v>0</v>
      </c>
      <c r="D102" s="18">
        <v>0</v>
      </c>
      <c r="E102" s="18">
        <v>0</v>
      </c>
      <c r="F102" s="101">
        <v>0</v>
      </c>
      <c r="G102" s="59">
        <f>'Your Model Diet'!$Q108</f>
        <v>0</v>
      </c>
      <c r="H102" s="17">
        <f>'Nutrient Content_TFP'!$G102</f>
        <v>88.133998750000003</v>
      </c>
      <c r="I102" s="17">
        <f t="shared" si="3"/>
        <v>0</v>
      </c>
      <c r="J102" s="17">
        <f t="shared" si="4"/>
        <v>0</v>
      </c>
      <c r="K102" s="17">
        <f>Calculation_TFP!$G100</f>
        <v>0.47988254519700002</v>
      </c>
      <c r="L102" s="60">
        <f t="shared" si="5"/>
        <v>0</v>
      </c>
    </row>
  </sheetData>
  <sheetProtection sheet="1" objects="1" scenarios="1" selectLockedCells="1"/>
  <mergeCells count="4">
    <mergeCell ref="B3:F3"/>
    <mergeCell ref="B2:F2"/>
    <mergeCell ref="G2:K2"/>
    <mergeCell ref="G3:K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6AC82-497C-4529-887E-BF342E48321C}">
  <sheetPr>
    <tabColor theme="0"/>
  </sheetPr>
  <dimension ref="A1:BA102"/>
  <sheetViews>
    <sheetView zoomScale="103" workbookViewId="0">
      <pane xSplit="2" ySplit="5" topLeftCell="G18" activePane="bottomRight" state="frozen"/>
      <selection pane="topRight" activeCell="B1" sqref="B1"/>
      <selection pane="bottomLeft" activeCell="A4" sqref="A4"/>
      <selection pane="bottomRight" activeCell="H30" sqref="H30"/>
    </sheetView>
  </sheetViews>
  <sheetFormatPr defaultRowHeight="14.5" x14ac:dyDescent="0.35"/>
  <cols>
    <col min="2" max="2" width="19.54296875" customWidth="1"/>
    <col min="5" max="5" width="11.1796875" customWidth="1"/>
    <col min="7" max="7" width="13.1796875" customWidth="1"/>
    <col min="12" max="12" width="10.81640625" customWidth="1"/>
    <col min="13" max="13" width="8.1796875" customWidth="1"/>
    <col min="14" max="15" width="10.453125" customWidth="1"/>
    <col min="28" max="30" width="11.1796875" customWidth="1"/>
    <col min="35" max="35" width="9.81640625" customWidth="1"/>
    <col min="36" max="36" width="10" customWidth="1"/>
    <col min="37" max="37" width="10.1796875" customWidth="1"/>
    <col min="38" max="38" width="12.26953125" customWidth="1"/>
    <col min="43" max="45" width="11.54296875" customWidth="1"/>
    <col min="46" max="46" width="10.1796875" customWidth="1"/>
    <col min="47" max="47" width="8.81640625" customWidth="1"/>
    <col min="48" max="51" width="9.81640625" customWidth="1"/>
    <col min="53" max="53" width="12.54296875" customWidth="1"/>
  </cols>
  <sheetData>
    <row r="1" spans="1:53" ht="18.5" x14ac:dyDescent="0.45">
      <c r="B1" s="8" t="s">
        <v>574</v>
      </c>
    </row>
    <row r="2" spans="1:53" x14ac:dyDescent="0.35">
      <c r="B2" s="1" t="s">
        <v>575</v>
      </c>
      <c r="AC2" s="1"/>
      <c r="AD2" s="1"/>
    </row>
    <row r="3" spans="1:53" ht="48.5" x14ac:dyDescent="0.35">
      <c r="B3" s="1"/>
      <c r="C3" s="29" t="s">
        <v>482</v>
      </c>
      <c r="D3" s="29" t="s">
        <v>576</v>
      </c>
      <c r="E3" s="29" t="s">
        <v>577</v>
      </c>
      <c r="F3" s="29" t="s">
        <v>578</v>
      </c>
      <c r="G3" s="29" t="s">
        <v>579</v>
      </c>
      <c r="H3" s="29" t="s">
        <v>483</v>
      </c>
      <c r="I3" s="29" t="s">
        <v>580</v>
      </c>
      <c r="J3" s="29" t="s">
        <v>484</v>
      </c>
      <c r="K3" s="29" t="s">
        <v>485</v>
      </c>
      <c r="L3" s="29" t="s">
        <v>581</v>
      </c>
      <c r="M3" s="29" t="s">
        <v>582</v>
      </c>
      <c r="N3" s="29" t="s">
        <v>583</v>
      </c>
      <c r="O3" s="29" t="s">
        <v>486</v>
      </c>
      <c r="P3" s="29" t="s">
        <v>584</v>
      </c>
      <c r="Q3" s="29" t="s">
        <v>491</v>
      </c>
      <c r="R3" s="29" t="s">
        <v>585</v>
      </c>
      <c r="S3" s="29" t="s">
        <v>489</v>
      </c>
      <c r="T3" s="29" t="s">
        <v>488</v>
      </c>
      <c r="U3" s="29" t="s">
        <v>490</v>
      </c>
      <c r="V3" s="29" t="s">
        <v>487</v>
      </c>
      <c r="W3" s="29" t="s">
        <v>586</v>
      </c>
      <c r="X3" s="29" t="s">
        <v>587</v>
      </c>
      <c r="Y3" s="29" t="s">
        <v>588</v>
      </c>
      <c r="Z3" s="29" t="s">
        <v>589</v>
      </c>
      <c r="AA3" s="29" t="s">
        <v>590</v>
      </c>
      <c r="AB3" s="29" t="s">
        <v>591</v>
      </c>
      <c r="AC3" s="29" t="s">
        <v>592</v>
      </c>
      <c r="AD3" s="29" t="s">
        <v>593</v>
      </c>
      <c r="AE3" s="29" t="s">
        <v>594</v>
      </c>
      <c r="AF3" s="29" t="s">
        <v>595</v>
      </c>
      <c r="AG3" s="29" t="s">
        <v>596</v>
      </c>
      <c r="AH3" s="29" t="s">
        <v>597</v>
      </c>
      <c r="AI3" s="29" t="s">
        <v>598</v>
      </c>
      <c r="AJ3" s="29" t="s">
        <v>599</v>
      </c>
      <c r="AK3" s="29" t="s">
        <v>600</v>
      </c>
      <c r="AL3" s="29" t="s">
        <v>601</v>
      </c>
      <c r="AM3" s="30" t="s">
        <v>602</v>
      </c>
      <c r="AN3" s="30" t="s">
        <v>603</v>
      </c>
      <c r="AO3" s="29" t="s">
        <v>604</v>
      </c>
      <c r="AP3" s="29" t="s">
        <v>605</v>
      </c>
      <c r="AQ3" s="29" t="s">
        <v>606</v>
      </c>
      <c r="AR3" s="29" t="s">
        <v>607</v>
      </c>
      <c r="AS3" s="29" t="s">
        <v>608</v>
      </c>
      <c r="AT3" s="29" t="s">
        <v>609</v>
      </c>
      <c r="AU3" s="29" t="s">
        <v>610</v>
      </c>
      <c r="AV3" s="29" t="s">
        <v>611</v>
      </c>
      <c r="AW3" s="29" t="s">
        <v>612</v>
      </c>
      <c r="AX3" s="29" t="s">
        <v>613</v>
      </c>
      <c r="AY3" s="29" t="s">
        <v>614</v>
      </c>
      <c r="AZ3" s="29" t="s">
        <v>615</v>
      </c>
      <c r="BA3" s="30" t="s">
        <v>616</v>
      </c>
    </row>
    <row r="4" spans="1:53" s="7" customFormat="1" x14ac:dyDescent="0.35">
      <c r="B4" s="79"/>
      <c r="C4" s="7" t="s">
        <v>617</v>
      </c>
      <c r="D4" s="79" t="s">
        <v>618</v>
      </c>
      <c r="E4" s="7" t="s">
        <v>619</v>
      </c>
      <c r="F4" s="7" t="s">
        <v>620</v>
      </c>
      <c r="G4" s="7" t="s">
        <v>621</v>
      </c>
      <c r="H4" s="7" t="s">
        <v>622</v>
      </c>
      <c r="I4" s="7" t="s">
        <v>623</v>
      </c>
      <c r="J4" s="7" t="s">
        <v>624</v>
      </c>
      <c r="K4" s="7" t="s">
        <v>625</v>
      </c>
      <c r="L4" s="7" t="s">
        <v>626</v>
      </c>
      <c r="M4" s="7" t="s">
        <v>627</v>
      </c>
      <c r="N4" s="7" t="s">
        <v>628</v>
      </c>
      <c r="O4" s="7" t="s">
        <v>629</v>
      </c>
      <c r="P4" s="7" t="s">
        <v>630</v>
      </c>
      <c r="Q4" s="7" t="s">
        <v>631</v>
      </c>
      <c r="R4" s="7" t="s">
        <v>632</v>
      </c>
      <c r="S4" s="7" t="s">
        <v>633</v>
      </c>
      <c r="T4" s="7" t="s">
        <v>634</v>
      </c>
      <c r="U4" s="7" t="s">
        <v>635</v>
      </c>
      <c r="V4" s="7" t="s">
        <v>636</v>
      </c>
      <c r="W4" s="7" t="s">
        <v>637</v>
      </c>
      <c r="X4" s="79" t="s">
        <v>638</v>
      </c>
      <c r="Y4" s="7" t="s">
        <v>639</v>
      </c>
      <c r="Z4" s="7" t="s">
        <v>640</v>
      </c>
      <c r="AA4" s="7" t="s">
        <v>641</v>
      </c>
      <c r="AB4" s="7" t="s">
        <v>642</v>
      </c>
      <c r="AC4" s="7" t="s">
        <v>643</v>
      </c>
      <c r="AD4" s="7" t="s">
        <v>644</v>
      </c>
      <c r="AE4" s="7" t="s">
        <v>645</v>
      </c>
      <c r="AF4" s="7" t="s">
        <v>646</v>
      </c>
      <c r="AG4" s="7" t="s">
        <v>647</v>
      </c>
      <c r="AH4" s="7" t="s">
        <v>648</v>
      </c>
      <c r="AI4" s="7" t="s">
        <v>649</v>
      </c>
      <c r="AJ4" s="7" t="s">
        <v>650</v>
      </c>
      <c r="AK4" s="7" t="s">
        <v>651</v>
      </c>
      <c r="AL4" s="7" t="s">
        <v>652</v>
      </c>
      <c r="AM4" s="7" t="s">
        <v>653</v>
      </c>
      <c r="AN4" s="7" t="s">
        <v>654</v>
      </c>
      <c r="AO4" s="7" t="s">
        <v>655</v>
      </c>
      <c r="AP4" s="7" t="s">
        <v>656</v>
      </c>
      <c r="AQ4" s="7" t="s">
        <v>657</v>
      </c>
      <c r="AR4" s="7" t="s">
        <v>658</v>
      </c>
      <c r="AS4" s="7" t="s">
        <v>659</v>
      </c>
      <c r="AT4" s="7" t="s">
        <v>660</v>
      </c>
      <c r="AU4" s="7" t="s">
        <v>661</v>
      </c>
      <c r="AV4" s="7" t="s">
        <v>662</v>
      </c>
      <c r="AW4" s="7" t="s">
        <v>663</v>
      </c>
      <c r="AX4" s="7" t="s">
        <v>664</v>
      </c>
      <c r="AY4" s="7" t="s">
        <v>665</v>
      </c>
      <c r="AZ4" s="7" t="s">
        <v>666</v>
      </c>
      <c r="BA4" s="7" t="s">
        <v>667</v>
      </c>
    </row>
    <row r="5" spans="1:53" s="17" customFormat="1" ht="15" thickBot="1" x14ac:dyDescent="0.4">
      <c r="A5" s="18" t="s">
        <v>500</v>
      </c>
      <c r="B5" s="19" t="s">
        <v>501</v>
      </c>
      <c r="C5" s="22" t="s">
        <v>668</v>
      </c>
      <c r="D5" s="22" t="s">
        <v>668</v>
      </c>
      <c r="E5" s="22" t="s">
        <v>668</v>
      </c>
      <c r="F5" s="22" t="s">
        <v>668</v>
      </c>
      <c r="G5" s="22" t="s">
        <v>669</v>
      </c>
      <c r="H5" s="22" t="s">
        <v>670</v>
      </c>
      <c r="I5" s="22" t="s">
        <v>671</v>
      </c>
      <c r="J5" s="22" t="s">
        <v>672</v>
      </c>
      <c r="K5" s="22" t="s">
        <v>668</v>
      </c>
      <c r="L5" s="22" t="s">
        <v>668</v>
      </c>
      <c r="M5" s="22" t="s">
        <v>668</v>
      </c>
      <c r="N5" s="22" t="s">
        <v>668</v>
      </c>
      <c r="O5" s="22" t="s">
        <v>668</v>
      </c>
      <c r="P5" s="22" t="s">
        <v>668</v>
      </c>
      <c r="Q5" s="22" t="s">
        <v>668</v>
      </c>
      <c r="R5" s="22" t="s">
        <v>668</v>
      </c>
      <c r="S5" s="22" t="s">
        <v>671</v>
      </c>
      <c r="T5" s="22" t="s">
        <v>668</v>
      </c>
      <c r="U5" s="22" t="s">
        <v>668</v>
      </c>
      <c r="V5" s="22" t="s">
        <v>671</v>
      </c>
      <c r="W5" s="22" t="s">
        <v>668</v>
      </c>
      <c r="X5" s="22" t="s">
        <v>671</v>
      </c>
      <c r="Y5" s="22" t="s">
        <v>668</v>
      </c>
      <c r="Z5" s="22" t="s">
        <v>669</v>
      </c>
      <c r="AA5" s="22" t="s">
        <v>669</v>
      </c>
      <c r="AB5" s="22" t="s">
        <v>669</v>
      </c>
      <c r="AC5" s="22" t="s">
        <v>669</v>
      </c>
      <c r="AD5" s="22" t="s">
        <v>669</v>
      </c>
      <c r="AE5" s="22" t="s">
        <v>669</v>
      </c>
      <c r="AF5" s="22" t="s">
        <v>673</v>
      </c>
      <c r="AG5" s="22" t="s">
        <v>673</v>
      </c>
      <c r="AH5" s="22" t="s">
        <v>673</v>
      </c>
      <c r="AI5" s="22" t="s">
        <v>674</v>
      </c>
      <c r="AJ5" s="22" t="s">
        <v>674</v>
      </c>
      <c r="AK5" s="22" t="s">
        <v>674</v>
      </c>
      <c r="AL5" s="22" t="s">
        <v>674</v>
      </c>
      <c r="AM5" s="23" t="s">
        <v>674</v>
      </c>
      <c r="AN5" s="23" t="s">
        <v>674</v>
      </c>
      <c r="AO5" s="22" t="s">
        <v>674</v>
      </c>
      <c r="AP5" s="22" t="s">
        <v>674</v>
      </c>
      <c r="AQ5" s="22" t="s">
        <v>673</v>
      </c>
      <c r="AR5" s="22" t="s">
        <v>673</v>
      </c>
      <c r="AS5" s="22" t="s">
        <v>673</v>
      </c>
      <c r="AT5" s="22" t="s">
        <v>673</v>
      </c>
      <c r="AU5" s="22" t="s">
        <v>673</v>
      </c>
      <c r="AV5" s="22" t="s">
        <v>673</v>
      </c>
      <c r="AW5" s="22" t="s">
        <v>673</v>
      </c>
      <c r="AX5" s="22" t="s">
        <v>673</v>
      </c>
      <c r="AY5" s="22" t="s">
        <v>673</v>
      </c>
      <c r="AZ5" s="22" t="s">
        <v>670</v>
      </c>
      <c r="BA5" s="23" t="s">
        <v>669</v>
      </c>
    </row>
    <row r="6" spans="1:53" x14ac:dyDescent="0.35">
      <c r="A6" s="13">
        <v>1</v>
      </c>
      <c r="B6" s="10" t="s">
        <v>41</v>
      </c>
      <c r="C6">
        <v>43.489620832999996</v>
      </c>
      <c r="D6">
        <v>33.443784149999999</v>
      </c>
      <c r="E6">
        <v>9.1330461500000001E-2</v>
      </c>
      <c r="F6">
        <v>0.2290817171</v>
      </c>
      <c r="G6">
        <v>157.30952464999999</v>
      </c>
      <c r="H6">
        <v>8.1914492899999996</v>
      </c>
      <c r="I6">
        <v>0</v>
      </c>
      <c r="J6">
        <v>145.28885589999999</v>
      </c>
      <c r="K6">
        <v>2.3478464147000002</v>
      </c>
      <c r="L6">
        <v>52.583270937999998</v>
      </c>
      <c r="M6">
        <v>0.41230049050000001</v>
      </c>
      <c r="N6">
        <v>141.51507935999999</v>
      </c>
      <c r="O6">
        <v>407.59374658000002</v>
      </c>
      <c r="P6">
        <v>6.1158134099999997E-2</v>
      </c>
      <c r="Q6">
        <v>133.64382990999999</v>
      </c>
      <c r="R6">
        <v>0.1808226235</v>
      </c>
      <c r="S6">
        <v>1.5221740000000001E-4</v>
      </c>
      <c r="T6">
        <v>0.1623770863</v>
      </c>
      <c r="U6">
        <v>0.77186661759999997</v>
      </c>
      <c r="V6">
        <v>5.9454547000000003E-2</v>
      </c>
      <c r="W6">
        <v>1.0596667259999999</v>
      </c>
      <c r="X6">
        <v>6.7503188119999997</v>
      </c>
      <c r="Y6">
        <v>1.0378661066999999</v>
      </c>
      <c r="Z6">
        <v>34.625166622999998</v>
      </c>
      <c r="AA6">
        <v>97.035102319000003</v>
      </c>
      <c r="AB6">
        <v>29.587106056</v>
      </c>
      <c r="AC6">
        <v>9.6066416970000006</v>
      </c>
      <c r="AD6">
        <v>2.2538075219999998</v>
      </c>
      <c r="AE6">
        <v>4.6338972558</v>
      </c>
      <c r="AF6">
        <v>0</v>
      </c>
      <c r="AG6">
        <v>0</v>
      </c>
      <c r="AH6">
        <v>0</v>
      </c>
      <c r="AI6">
        <v>0.56999999999999995</v>
      </c>
      <c r="AJ6">
        <v>0</v>
      </c>
      <c r="AK6">
        <v>0</v>
      </c>
      <c r="AL6">
        <v>0.56999999999999995</v>
      </c>
      <c r="AM6">
        <v>0</v>
      </c>
      <c r="AN6">
        <v>0</v>
      </c>
      <c r="AO6">
        <v>0</v>
      </c>
      <c r="AP6">
        <v>0</v>
      </c>
      <c r="AQ6">
        <v>0</v>
      </c>
      <c r="AR6">
        <v>0</v>
      </c>
      <c r="AS6">
        <v>0</v>
      </c>
      <c r="AT6">
        <v>0</v>
      </c>
      <c r="AU6">
        <v>0</v>
      </c>
      <c r="AV6">
        <v>0</v>
      </c>
      <c r="AW6">
        <v>0</v>
      </c>
      <c r="AX6">
        <v>0</v>
      </c>
      <c r="AY6">
        <v>0</v>
      </c>
      <c r="AZ6">
        <v>2.5321419193999999</v>
      </c>
      <c r="BA6">
        <v>0</v>
      </c>
    </row>
    <row r="7" spans="1:53" x14ac:dyDescent="0.35">
      <c r="A7" s="13">
        <v>2</v>
      </c>
      <c r="B7" s="10" t="s">
        <v>43</v>
      </c>
      <c r="C7">
        <v>5.0289715936999997</v>
      </c>
      <c r="D7">
        <v>0.70373629400000004</v>
      </c>
      <c r="E7">
        <v>0.28349051889999999</v>
      </c>
      <c r="F7">
        <v>9.5473673999999994E-3</v>
      </c>
      <c r="G7">
        <v>34.202256450999997</v>
      </c>
      <c r="H7">
        <v>6.496127E-3</v>
      </c>
      <c r="I7">
        <v>0</v>
      </c>
      <c r="J7">
        <v>3.2375955360000002</v>
      </c>
      <c r="K7">
        <v>1.84558719E-2</v>
      </c>
      <c r="L7">
        <v>3.9217337064</v>
      </c>
      <c r="M7">
        <v>0.115058243</v>
      </c>
      <c r="N7">
        <v>5.7720144795000001</v>
      </c>
      <c r="O7">
        <v>33.966969515000002</v>
      </c>
      <c r="P7">
        <v>1.9888041200000001E-2</v>
      </c>
      <c r="Q7">
        <v>5.6063381901999998</v>
      </c>
      <c r="R7">
        <v>1.7948249000000001E-3</v>
      </c>
      <c r="S7">
        <v>1.9314141E-2</v>
      </c>
      <c r="T7">
        <v>1.1651636999999999E-3</v>
      </c>
      <c r="U7">
        <v>5.0310592100000003E-2</v>
      </c>
      <c r="V7">
        <v>1.3462622260999999</v>
      </c>
      <c r="W7">
        <v>2.089587E-3</v>
      </c>
      <c r="X7">
        <v>7.0198500000000002E-3</v>
      </c>
      <c r="Y7">
        <v>3.1251369299999998E-2</v>
      </c>
      <c r="Z7">
        <v>0.47138199450000001</v>
      </c>
      <c r="AA7">
        <v>33.137806435999998</v>
      </c>
      <c r="AB7">
        <v>1.2020124872</v>
      </c>
      <c r="AC7">
        <v>4.4206092000000002E-2</v>
      </c>
      <c r="AD7">
        <v>2.4694857000000001E-2</v>
      </c>
      <c r="AE7">
        <v>0.34235128889999999</v>
      </c>
      <c r="AF7">
        <v>0</v>
      </c>
      <c r="AG7">
        <v>0</v>
      </c>
      <c r="AH7">
        <v>0</v>
      </c>
      <c r="AI7">
        <v>0</v>
      </c>
      <c r="AJ7">
        <v>0</v>
      </c>
      <c r="AK7">
        <v>0</v>
      </c>
      <c r="AL7">
        <v>0</v>
      </c>
      <c r="AM7">
        <v>0</v>
      </c>
      <c r="AN7">
        <v>0</v>
      </c>
      <c r="AO7">
        <v>1.1934361E-3</v>
      </c>
      <c r="AP7">
        <v>1.3501629899999999E-2</v>
      </c>
      <c r="AQ7">
        <v>0</v>
      </c>
      <c r="AR7">
        <v>0</v>
      </c>
      <c r="AS7">
        <v>0</v>
      </c>
      <c r="AT7">
        <v>0</v>
      </c>
      <c r="AU7">
        <v>0</v>
      </c>
      <c r="AV7">
        <v>0</v>
      </c>
      <c r="AW7">
        <v>0</v>
      </c>
      <c r="AX7">
        <v>0</v>
      </c>
      <c r="AY7">
        <v>0</v>
      </c>
      <c r="AZ7">
        <v>0</v>
      </c>
      <c r="BA7">
        <v>30.228151902</v>
      </c>
    </row>
    <row r="8" spans="1:53" x14ac:dyDescent="0.35">
      <c r="A8" s="13">
        <v>3</v>
      </c>
      <c r="B8" s="10" t="s">
        <v>45</v>
      </c>
      <c r="C8">
        <v>1.7898842478999999</v>
      </c>
      <c r="D8">
        <v>1.8277479409999999</v>
      </c>
      <c r="E8">
        <v>0</v>
      </c>
      <c r="F8">
        <v>4.9973502000000003E-3</v>
      </c>
      <c r="G8">
        <v>1.1593526827</v>
      </c>
      <c r="H8">
        <v>0</v>
      </c>
      <c r="I8">
        <v>0</v>
      </c>
      <c r="J8">
        <v>1.953933369</v>
      </c>
      <c r="K8">
        <v>1.8769126300000001E-2</v>
      </c>
      <c r="L8">
        <v>3.6123862894999998</v>
      </c>
      <c r="M8">
        <v>0.19341327359999999</v>
      </c>
      <c r="N8">
        <v>2.5695831663000002</v>
      </c>
      <c r="O8">
        <v>42.639022343999997</v>
      </c>
      <c r="P8">
        <v>5.3640821300000002E-2</v>
      </c>
      <c r="Q8">
        <v>2.4788578986999998</v>
      </c>
      <c r="R8">
        <v>9.2614229999999995E-3</v>
      </c>
      <c r="S8">
        <v>0</v>
      </c>
      <c r="T8">
        <v>8.7217659999999999E-4</v>
      </c>
      <c r="U8">
        <v>0.1073310918</v>
      </c>
      <c r="V8">
        <v>2.8360712E-3</v>
      </c>
      <c r="W8">
        <v>6.1616270000000002E-3</v>
      </c>
      <c r="X8">
        <v>6.8590110999999995E-2</v>
      </c>
      <c r="Y8">
        <v>1.9055227800000001E-2</v>
      </c>
      <c r="Z8">
        <v>0.39293943310000001</v>
      </c>
      <c r="AA8">
        <v>0.47954771800000001</v>
      </c>
      <c r="AB8">
        <v>0.12527225359999999</v>
      </c>
      <c r="AC8">
        <v>1.6025265E-2</v>
      </c>
      <c r="AD8">
        <v>3.7276290000000001E-3</v>
      </c>
      <c r="AE8">
        <v>2.30487318E-2</v>
      </c>
      <c r="AF8">
        <v>0</v>
      </c>
      <c r="AG8">
        <v>0</v>
      </c>
      <c r="AH8">
        <v>0</v>
      </c>
      <c r="AI8">
        <v>0</v>
      </c>
      <c r="AJ8">
        <v>0</v>
      </c>
      <c r="AK8">
        <v>0</v>
      </c>
      <c r="AL8">
        <v>0</v>
      </c>
      <c r="AM8">
        <v>0</v>
      </c>
      <c r="AN8">
        <v>0</v>
      </c>
      <c r="AO8">
        <v>0</v>
      </c>
      <c r="AP8">
        <v>0</v>
      </c>
      <c r="AQ8">
        <v>0</v>
      </c>
      <c r="AR8">
        <v>0</v>
      </c>
      <c r="AS8">
        <v>0</v>
      </c>
      <c r="AT8">
        <v>0</v>
      </c>
      <c r="AU8">
        <v>0</v>
      </c>
      <c r="AV8">
        <v>0</v>
      </c>
      <c r="AW8">
        <v>0</v>
      </c>
      <c r="AX8">
        <v>0</v>
      </c>
      <c r="AY8">
        <v>0</v>
      </c>
      <c r="AZ8">
        <v>0</v>
      </c>
      <c r="BA8">
        <v>0</v>
      </c>
    </row>
    <row r="9" spans="1:53" x14ac:dyDescent="0.35">
      <c r="A9" s="13">
        <v>4</v>
      </c>
      <c r="B9" s="10" t="s">
        <v>47</v>
      </c>
      <c r="C9">
        <v>4.8378245117000001</v>
      </c>
      <c r="D9">
        <v>1.8705999999999999E-4</v>
      </c>
      <c r="E9">
        <v>0</v>
      </c>
      <c r="F9">
        <v>5.4204611999999998E-3</v>
      </c>
      <c r="G9">
        <v>1.6578389487</v>
      </c>
      <c r="H9">
        <v>0</v>
      </c>
      <c r="I9">
        <v>0</v>
      </c>
      <c r="J9">
        <v>0</v>
      </c>
      <c r="K9">
        <v>5.5551530199999997E-2</v>
      </c>
      <c r="L9">
        <v>0.78229178310000003</v>
      </c>
      <c r="M9">
        <v>0.16834926</v>
      </c>
      <c r="N9">
        <v>7.8542993063999997</v>
      </c>
      <c r="O9">
        <v>6.4013075192000004</v>
      </c>
      <c r="P9">
        <v>1.19231179E-2</v>
      </c>
      <c r="Q9">
        <v>10.568870984</v>
      </c>
      <c r="R9">
        <v>2.5927140999999999E-3</v>
      </c>
      <c r="S9">
        <v>5.1776556E-3</v>
      </c>
      <c r="T9">
        <v>2.2236360199999999E-2</v>
      </c>
      <c r="U9">
        <v>1.3581220158</v>
      </c>
      <c r="V9">
        <v>9.8206591300000007E-2</v>
      </c>
      <c r="W9">
        <v>6.2671591999999998E-2</v>
      </c>
      <c r="X9" s="14">
        <v>9.3530100000000001E-5</v>
      </c>
      <c r="Y9">
        <v>1.4431219299999999E-2</v>
      </c>
      <c r="Z9">
        <v>0.26618022520000001</v>
      </c>
      <c r="AA9">
        <v>1.4037533835</v>
      </c>
      <c r="AB9">
        <v>0.1190464318</v>
      </c>
      <c r="AC9">
        <v>0</v>
      </c>
      <c r="AD9">
        <v>0</v>
      </c>
      <c r="AE9">
        <v>0</v>
      </c>
      <c r="AF9">
        <v>0</v>
      </c>
      <c r="AG9">
        <v>0</v>
      </c>
      <c r="AH9">
        <v>0</v>
      </c>
      <c r="AI9">
        <v>3.7412E-5</v>
      </c>
      <c r="AJ9">
        <v>0</v>
      </c>
      <c r="AK9">
        <v>3.7412E-5</v>
      </c>
      <c r="AL9">
        <v>0</v>
      </c>
      <c r="AM9">
        <v>0</v>
      </c>
      <c r="AN9">
        <v>0</v>
      </c>
      <c r="AO9">
        <v>3.7412E-5</v>
      </c>
      <c r="AP9">
        <v>0</v>
      </c>
      <c r="AQ9">
        <v>0</v>
      </c>
      <c r="AR9">
        <v>0</v>
      </c>
      <c r="AS9">
        <v>0</v>
      </c>
      <c r="AT9">
        <v>0</v>
      </c>
      <c r="AU9">
        <v>0</v>
      </c>
      <c r="AV9">
        <v>0</v>
      </c>
      <c r="AW9">
        <v>0</v>
      </c>
      <c r="AX9">
        <v>0</v>
      </c>
      <c r="AY9">
        <v>0</v>
      </c>
      <c r="AZ9">
        <v>0</v>
      </c>
      <c r="BA9">
        <v>0</v>
      </c>
    </row>
    <row r="10" spans="1:53" x14ac:dyDescent="0.35">
      <c r="A10" s="13">
        <v>5</v>
      </c>
      <c r="B10" s="10" t="s">
        <v>49</v>
      </c>
      <c r="C10">
        <v>4.4772097346999997</v>
      </c>
      <c r="D10">
        <v>1.051070046</v>
      </c>
      <c r="E10">
        <v>0</v>
      </c>
      <c r="F10">
        <v>1.1596270400000001E-2</v>
      </c>
      <c r="G10">
        <v>20.104912886000001</v>
      </c>
      <c r="H10">
        <v>7.3116711999999997E-3</v>
      </c>
      <c r="I10">
        <v>0</v>
      </c>
      <c r="J10">
        <v>2.0360143430000002</v>
      </c>
      <c r="K10">
        <v>0.11572029070000001</v>
      </c>
      <c r="L10">
        <v>5.6994766559999999</v>
      </c>
      <c r="M10">
        <v>0.11753157240000001</v>
      </c>
      <c r="N10">
        <v>7.0427257386999997</v>
      </c>
      <c r="O10">
        <v>94.001481282</v>
      </c>
      <c r="P10">
        <v>1.4396905999999999E-2</v>
      </c>
      <c r="Q10">
        <v>13.291679237</v>
      </c>
      <c r="R10">
        <v>1.80796329E-2</v>
      </c>
      <c r="S10">
        <v>0</v>
      </c>
      <c r="T10">
        <v>2.08095591E-2</v>
      </c>
      <c r="U10">
        <v>19.823803195</v>
      </c>
      <c r="V10">
        <v>5.7084999269000001</v>
      </c>
      <c r="W10">
        <v>0.23663870300000001</v>
      </c>
      <c r="X10">
        <v>0.29391112600000002</v>
      </c>
      <c r="Y10">
        <v>3.2812712600000002E-2</v>
      </c>
      <c r="Z10">
        <v>0.36013545870000002</v>
      </c>
      <c r="AA10">
        <v>19.356524539999999</v>
      </c>
      <c r="AB10">
        <v>0.51641318000000003</v>
      </c>
      <c r="AC10">
        <v>1.6859115000000001E-2</v>
      </c>
      <c r="AD10">
        <v>3.6670679999999999E-3</v>
      </c>
      <c r="AE10">
        <v>2.0874991999999998E-2</v>
      </c>
      <c r="AF10">
        <v>0</v>
      </c>
      <c r="AG10">
        <v>0</v>
      </c>
      <c r="AH10">
        <v>0</v>
      </c>
      <c r="AI10">
        <v>8.2660860000000004E-4</v>
      </c>
      <c r="AJ10">
        <v>0</v>
      </c>
      <c r="AK10">
        <v>8.2660860000000004E-4</v>
      </c>
      <c r="AL10">
        <v>0</v>
      </c>
      <c r="AM10">
        <v>0</v>
      </c>
      <c r="AN10">
        <v>0</v>
      </c>
      <c r="AO10">
        <v>0.14130055629999999</v>
      </c>
      <c r="AP10">
        <v>0</v>
      </c>
      <c r="AQ10">
        <v>0</v>
      </c>
      <c r="AR10">
        <v>0</v>
      </c>
      <c r="AS10">
        <v>0</v>
      </c>
      <c r="AT10">
        <v>0</v>
      </c>
      <c r="AU10">
        <v>0</v>
      </c>
      <c r="AV10">
        <v>0</v>
      </c>
      <c r="AW10">
        <v>0</v>
      </c>
      <c r="AX10">
        <v>0</v>
      </c>
      <c r="AY10">
        <v>0</v>
      </c>
      <c r="AZ10">
        <v>0</v>
      </c>
      <c r="BA10">
        <v>0</v>
      </c>
    </row>
    <row r="11" spans="1:53" x14ac:dyDescent="0.35">
      <c r="A11" s="13">
        <v>6</v>
      </c>
      <c r="B11" s="10" t="s">
        <v>52</v>
      </c>
      <c r="C11">
        <v>5.5196246381999998</v>
      </c>
      <c r="D11">
        <v>0.71802982000000004</v>
      </c>
      <c r="E11">
        <v>0</v>
      </c>
      <c r="F11">
        <v>1.0635871999999999E-2</v>
      </c>
      <c r="G11">
        <v>35.812749676999999</v>
      </c>
      <c r="H11">
        <v>4.7652111800000001E-2</v>
      </c>
      <c r="I11">
        <v>7.6209367799999997E-2</v>
      </c>
      <c r="J11">
        <v>0.63374951199999996</v>
      </c>
      <c r="K11">
        <v>8.5637181100000001E-2</v>
      </c>
      <c r="L11">
        <v>5.4382474728999997</v>
      </c>
      <c r="M11">
        <v>3.4314215199999998E-2</v>
      </c>
      <c r="N11">
        <v>4.2844431908000002</v>
      </c>
      <c r="O11">
        <v>36.172552420999999</v>
      </c>
      <c r="P11">
        <v>4.981414E-3</v>
      </c>
      <c r="Q11">
        <v>13.769143137</v>
      </c>
      <c r="R11">
        <v>7.0225777000000001E-3</v>
      </c>
      <c r="S11">
        <v>2.3815427000000002E-3</v>
      </c>
      <c r="T11">
        <v>1.0410365099999999E-2</v>
      </c>
      <c r="U11">
        <v>11.244791371</v>
      </c>
      <c r="V11">
        <v>5.8585318259000001</v>
      </c>
      <c r="W11">
        <v>0.12950567800000001</v>
      </c>
      <c r="X11">
        <v>0.12418901</v>
      </c>
      <c r="Y11">
        <v>2.04442718E-2</v>
      </c>
      <c r="Z11">
        <v>0.15881151569999999</v>
      </c>
      <c r="AA11">
        <v>36.429796615000001</v>
      </c>
      <c r="AB11">
        <v>0.45245856740000001</v>
      </c>
      <c r="AC11">
        <v>0.118006047</v>
      </c>
      <c r="AD11">
        <v>2.4880905000000002E-2</v>
      </c>
      <c r="AE11">
        <v>7.2882837399999997E-2</v>
      </c>
      <c r="AF11">
        <v>0</v>
      </c>
      <c r="AG11">
        <v>0</v>
      </c>
      <c r="AH11">
        <v>0</v>
      </c>
      <c r="AI11">
        <v>4.7068130000000002E-4</v>
      </c>
      <c r="AJ11">
        <v>0</v>
      </c>
      <c r="AK11">
        <v>4.7068130000000002E-4</v>
      </c>
      <c r="AL11">
        <v>0</v>
      </c>
      <c r="AM11">
        <v>0</v>
      </c>
      <c r="AN11">
        <v>0</v>
      </c>
      <c r="AO11">
        <v>2.05368849E-2</v>
      </c>
      <c r="AP11">
        <v>0</v>
      </c>
      <c r="AQ11">
        <v>0</v>
      </c>
      <c r="AR11">
        <v>0</v>
      </c>
      <c r="AS11">
        <v>0</v>
      </c>
      <c r="AT11">
        <v>0</v>
      </c>
      <c r="AU11">
        <v>0</v>
      </c>
      <c r="AV11">
        <v>0</v>
      </c>
      <c r="AW11">
        <v>0</v>
      </c>
      <c r="AX11">
        <v>0</v>
      </c>
      <c r="AY11">
        <v>0</v>
      </c>
      <c r="AZ11">
        <v>0</v>
      </c>
      <c r="BA11">
        <v>31.503398194999999</v>
      </c>
    </row>
    <row r="12" spans="1:53" x14ac:dyDescent="0.35">
      <c r="A12" s="13">
        <v>7</v>
      </c>
      <c r="B12" s="10" t="s">
        <v>55</v>
      </c>
      <c r="C12">
        <v>106.98481142999999</v>
      </c>
      <c r="D12">
        <v>11.90630352</v>
      </c>
      <c r="E12">
        <v>1.89769681</v>
      </c>
      <c r="F12">
        <v>6.6360987199999999E-2</v>
      </c>
      <c r="G12">
        <v>65.028251931</v>
      </c>
      <c r="H12">
        <v>0.71361929810000002</v>
      </c>
      <c r="I12">
        <v>9.6687341720000006</v>
      </c>
      <c r="J12">
        <v>27.499652879999999</v>
      </c>
      <c r="K12">
        <v>0.62219868300000003</v>
      </c>
      <c r="L12">
        <v>19.777468091999999</v>
      </c>
      <c r="M12">
        <v>0.63684458119999998</v>
      </c>
      <c r="N12">
        <v>60.538546574999998</v>
      </c>
      <c r="O12">
        <v>151.60362479</v>
      </c>
      <c r="P12">
        <v>0.12573832039999999</v>
      </c>
      <c r="Q12">
        <v>44.380889865999997</v>
      </c>
      <c r="R12">
        <v>6.72481984E-2</v>
      </c>
      <c r="S12">
        <v>0.39566814620000001</v>
      </c>
      <c r="T12">
        <v>0.10712663779999999</v>
      </c>
      <c r="U12">
        <v>9.0254907106999998</v>
      </c>
      <c r="V12">
        <v>60.279033966999997</v>
      </c>
      <c r="W12">
        <v>1.230936832</v>
      </c>
      <c r="X12">
        <v>12.079436510000001</v>
      </c>
      <c r="Y12">
        <v>0.56992115789999997</v>
      </c>
      <c r="Z12">
        <v>10.052483135999999</v>
      </c>
      <c r="AA12">
        <v>43.743852926000002</v>
      </c>
      <c r="AB12">
        <v>12.919470431000001</v>
      </c>
      <c r="AC12">
        <v>1.6447172130000001</v>
      </c>
      <c r="AD12">
        <v>0.31053362400000001</v>
      </c>
      <c r="AE12">
        <v>4.3446016927000004</v>
      </c>
      <c r="AF12">
        <v>2.3486669799999998E-2</v>
      </c>
      <c r="AG12">
        <v>5.2133789999999995E-4</v>
      </c>
      <c r="AH12">
        <v>2.2965332000000001E-2</v>
      </c>
      <c r="AI12">
        <v>2.6748288200000001E-2</v>
      </c>
      <c r="AJ12">
        <v>2.6748288200000001E-2</v>
      </c>
      <c r="AK12">
        <v>0</v>
      </c>
      <c r="AL12">
        <v>0</v>
      </c>
      <c r="AM12">
        <v>0</v>
      </c>
      <c r="AN12">
        <v>0</v>
      </c>
      <c r="AO12">
        <v>0.16661438219999999</v>
      </c>
      <c r="AP12">
        <v>0.124527473</v>
      </c>
      <c r="AQ12">
        <v>5.39846348E-2</v>
      </c>
      <c r="AR12">
        <v>0</v>
      </c>
      <c r="AS12">
        <v>0</v>
      </c>
      <c r="AT12">
        <v>0</v>
      </c>
      <c r="AU12">
        <v>2.3777075000000002E-2</v>
      </c>
      <c r="AV12">
        <v>3.0207560000000001E-2</v>
      </c>
      <c r="AW12">
        <v>0</v>
      </c>
      <c r="AX12">
        <v>0</v>
      </c>
      <c r="AY12">
        <v>5.3984635000000003E-2</v>
      </c>
      <c r="AZ12">
        <v>0.61350219859999999</v>
      </c>
      <c r="BA12">
        <v>10.676015591000001</v>
      </c>
    </row>
    <row r="13" spans="1:53" x14ac:dyDescent="0.35">
      <c r="A13" s="13">
        <v>8</v>
      </c>
      <c r="B13" s="10" t="s">
        <v>58</v>
      </c>
      <c r="C13">
        <v>1.7211194313</v>
      </c>
      <c r="D13">
        <v>0.264219855</v>
      </c>
      <c r="E13">
        <v>0</v>
      </c>
      <c r="F13">
        <v>4.6007473999999998E-3</v>
      </c>
      <c r="G13">
        <v>39.564153843</v>
      </c>
      <c r="H13">
        <v>0</v>
      </c>
      <c r="I13">
        <v>0.1025074656</v>
      </c>
      <c r="J13">
        <v>0.17938806500000001</v>
      </c>
      <c r="K13">
        <v>5.4009282200000001E-2</v>
      </c>
      <c r="L13">
        <v>0.71543497330000005</v>
      </c>
      <c r="M13">
        <v>0.61656322819999998</v>
      </c>
      <c r="N13">
        <v>5.3234700975999996</v>
      </c>
      <c r="O13">
        <v>5.0594328665999999</v>
      </c>
      <c r="P13">
        <v>3.3538211599999999E-2</v>
      </c>
      <c r="Q13">
        <v>15.154126210999999</v>
      </c>
      <c r="R13">
        <v>3.1404828999999999E-3</v>
      </c>
      <c r="S13">
        <v>0.16863792059999999</v>
      </c>
      <c r="T13">
        <v>8.6738366400000003E-2</v>
      </c>
      <c r="U13">
        <v>0.2361523606</v>
      </c>
      <c r="V13">
        <v>0.41002986219999998</v>
      </c>
      <c r="W13">
        <v>2.4345523000000001E-2</v>
      </c>
      <c r="X13">
        <v>2.4117874000000001E-2</v>
      </c>
      <c r="Y13">
        <v>5.9239520300000001E-2</v>
      </c>
      <c r="Z13">
        <v>0.1158525787</v>
      </c>
      <c r="AA13">
        <v>39.654500927000001</v>
      </c>
      <c r="AB13">
        <v>1.0154161674</v>
      </c>
      <c r="AC13">
        <v>2.1895020000000003E-3</v>
      </c>
      <c r="AD13">
        <v>0</v>
      </c>
      <c r="AE13">
        <v>1.5923652E-3</v>
      </c>
      <c r="AF13">
        <v>0</v>
      </c>
      <c r="AG13">
        <v>0</v>
      </c>
      <c r="AH13">
        <v>0</v>
      </c>
      <c r="AI13">
        <v>0</v>
      </c>
      <c r="AJ13">
        <v>0</v>
      </c>
      <c r="AK13">
        <v>0</v>
      </c>
      <c r="AL13">
        <v>0</v>
      </c>
      <c r="AM13">
        <v>0</v>
      </c>
      <c r="AN13">
        <v>0</v>
      </c>
      <c r="AO13">
        <v>1.17024E-5</v>
      </c>
      <c r="AP13">
        <v>0</v>
      </c>
      <c r="AQ13">
        <v>0</v>
      </c>
      <c r="AR13">
        <v>0</v>
      </c>
      <c r="AS13">
        <v>0</v>
      </c>
      <c r="AT13">
        <v>0</v>
      </c>
      <c r="AU13">
        <v>0</v>
      </c>
      <c r="AV13">
        <v>0</v>
      </c>
      <c r="AW13">
        <v>0</v>
      </c>
      <c r="AX13">
        <v>0</v>
      </c>
      <c r="AY13">
        <v>0</v>
      </c>
      <c r="AZ13">
        <v>0</v>
      </c>
      <c r="BA13">
        <v>37.513700335999999</v>
      </c>
    </row>
    <row r="14" spans="1:53" x14ac:dyDescent="0.35">
      <c r="A14" s="13">
        <v>9</v>
      </c>
      <c r="B14" s="10" t="s">
        <v>61</v>
      </c>
      <c r="C14">
        <v>159.45028242999999</v>
      </c>
      <c r="D14">
        <v>38.409855540000002</v>
      </c>
      <c r="E14">
        <v>37.669180570999998</v>
      </c>
      <c r="F14">
        <v>8.4223028699999994E-2</v>
      </c>
      <c r="G14">
        <v>301.38697301000002</v>
      </c>
      <c r="H14">
        <v>2.1545403482999999</v>
      </c>
      <c r="I14">
        <v>41.381937950000001</v>
      </c>
      <c r="J14">
        <v>84.132330339999996</v>
      </c>
      <c r="K14">
        <v>2.8771690371999998</v>
      </c>
      <c r="L14">
        <v>22.297416148</v>
      </c>
      <c r="M14">
        <v>3.0906725492999998</v>
      </c>
      <c r="N14">
        <v>292.21417995000002</v>
      </c>
      <c r="O14">
        <v>152.12432337999999</v>
      </c>
      <c r="P14">
        <v>0.3310508083</v>
      </c>
      <c r="Q14">
        <v>585.02375946999996</v>
      </c>
      <c r="R14">
        <v>0.30007504000000002</v>
      </c>
      <c r="S14">
        <v>0.52465851610000003</v>
      </c>
      <c r="T14">
        <v>0.24132248670000001</v>
      </c>
      <c r="U14">
        <v>0.12692762399999999</v>
      </c>
      <c r="V14">
        <v>108.26586876</v>
      </c>
      <c r="W14">
        <v>1.036284395</v>
      </c>
      <c r="X14">
        <v>10.724746530000001</v>
      </c>
      <c r="Y14">
        <v>0.66344189689999999</v>
      </c>
      <c r="Z14">
        <v>27.589873141999998</v>
      </c>
      <c r="AA14">
        <v>170.27496674</v>
      </c>
      <c r="AB14">
        <v>103.85740867</v>
      </c>
      <c r="AC14">
        <v>27.741254679000001</v>
      </c>
      <c r="AD14">
        <v>3.2838460830000002</v>
      </c>
      <c r="AE14">
        <v>29.511084856</v>
      </c>
      <c r="AF14">
        <v>2.5326471708999998</v>
      </c>
      <c r="AG14">
        <v>0.14396378000000001</v>
      </c>
      <c r="AH14">
        <v>2.3886833909999998</v>
      </c>
      <c r="AI14">
        <v>3.0083064999999998E-3</v>
      </c>
      <c r="AJ14">
        <v>0</v>
      </c>
      <c r="AK14">
        <v>1.7806435999999999E-3</v>
      </c>
      <c r="AL14">
        <v>1.1624828999999999E-3</v>
      </c>
      <c r="AM14">
        <v>0</v>
      </c>
      <c r="AN14">
        <v>6.5180100000000003E-5</v>
      </c>
      <c r="AO14">
        <v>1.08713105E-2</v>
      </c>
      <c r="AP14">
        <v>0.1368512221</v>
      </c>
      <c r="AQ14">
        <v>0.2302721116</v>
      </c>
      <c r="AR14">
        <v>0</v>
      </c>
      <c r="AS14">
        <v>0</v>
      </c>
      <c r="AT14">
        <v>0.219455283</v>
      </c>
      <c r="AU14">
        <v>7.6264900000000001E-4</v>
      </c>
      <c r="AV14">
        <v>1.0054179999999999E-2</v>
      </c>
      <c r="AW14">
        <v>0.219455283</v>
      </c>
      <c r="AX14">
        <v>0</v>
      </c>
      <c r="AY14">
        <v>1.0816829E-2</v>
      </c>
      <c r="AZ14">
        <v>6.3325038627000003</v>
      </c>
      <c r="BA14">
        <v>29.557554234000001</v>
      </c>
    </row>
    <row r="15" spans="1:53" x14ac:dyDescent="0.35">
      <c r="A15" s="13">
        <v>10</v>
      </c>
      <c r="B15" s="10" t="s">
        <v>63</v>
      </c>
      <c r="C15">
        <v>58.563334501</v>
      </c>
      <c r="D15">
        <v>11.97569013</v>
      </c>
      <c r="E15">
        <v>13.698909337</v>
      </c>
      <c r="F15">
        <v>6.2755718899999993E-2</v>
      </c>
      <c r="G15">
        <v>171.28659228000001</v>
      </c>
      <c r="H15">
        <v>0.80290339399999999</v>
      </c>
      <c r="I15">
        <v>2.3932867824000001</v>
      </c>
      <c r="J15">
        <v>16.107340390000001</v>
      </c>
      <c r="K15">
        <v>0.56991180730000002</v>
      </c>
      <c r="L15">
        <v>22.479306715</v>
      </c>
      <c r="M15">
        <v>0.58504201199999994</v>
      </c>
      <c r="N15">
        <v>59.926689574000001</v>
      </c>
      <c r="O15">
        <v>135.07310021000001</v>
      </c>
      <c r="P15">
        <v>7.7944447700000002E-2</v>
      </c>
      <c r="Q15">
        <v>1236.4657829</v>
      </c>
      <c r="R15">
        <v>4.1935083800000002E-2</v>
      </c>
      <c r="S15">
        <v>0.13471138169999999</v>
      </c>
      <c r="T15">
        <v>7.4381092499999996E-2</v>
      </c>
      <c r="U15">
        <v>5.0803390457999997</v>
      </c>
      <c r="V15">
        <v>43.345850650999999</v>
      </c>
      <c r="W15">
        <v>1.1792634280000001</v>
      </c>
      <c r="X15">
        <v>28.996858110000002</v>
      </c>
      <c r="Y15">
        <v>0.34666268789999999</v>
      </c>
      <c r="Z15">
        <v>11.517411734</v>
      </c>
      <c r="AA15">
        <v>39.933351141999999</v>
      </c>
      <c r="AB15">
        <v>122.30755095000001</v>
      </c>
      <c r="AC15">
        <v>39.915719181</v>
      </c>
      <c r="AD15">
        <v>5.3564037389999992</v>
      </c>
      <c r="AE15">
        <v>30.018768131000002</v>
      </c>
      <c r="AF15">
        <v>0.11254084120000001</v>
      </c>
      <c r="AG15">
        <v>0</v>
      </c>
      <c r="AH15">
        <v>0.112540841</v>
      </c>
      <c r="AI15">
        <v>0.20446335369999999</v>
      </c>
      <c r="AJ15">
        <v>1.53447167E-2</v>
      </c>
      <c r="AK15">
        <v>4.8098191300000002E-2</v>
      </c>
      <c r="AL15">
        <v>0</v>
      </c>
      <c r="AM15">
        <v>1.24178256E-2</v>
      </c>
      <c r="AN15">
        <v>0.12860262019999999</v>
      </c>
      <c r="AO15">
        <v>1.8395333199999999E-2</v>
      </c>
      <c r="AP15">
        <v>0.1129765606</v>
      </c>
      <c r="AQ15">
        <v>6.2891212399999993E-2</v>
      </c>
      <c r="AR15">
        <v>0</v>
      </c>
      <c r="AS15">
        <v>0</v>
      </c>
      <c r="AT15">
        <v>1.2459649999999999E-2</v>
      </c>
      <c r="AU15">
        <v>0</v>
      </c>
      <c r="AV15">
        <v>4.6526032000000002E-2</v>
      </c>
      <c r="AW15">
        <v>1.4089585E-2</v>
      </c>
      <c r="AX15">
        <v>2.275595E-3</v>
      </c>
      <c r="AY15">
        <v>4.6526032000000002E-2</v>
      </c>
      <c r="AZ15">
        <v>9.8640530882000004</v>
      </c>
      <c r="BA15">
        <v>12.789550242000001</v>
      </c>
    </row>
    <row r="16" spans="1:53" x14ac:dyDescent="0.35">
      <c r="A16" s="13">
        <v>11</v>
      </c>
      <c r="B16" s="10" t="s">
        <v>66</v>
      </c>
      <c r="C16">
        <v>27.775440055000001</v>
      </c>
      <c r="D16">
        <v>8.9507395540000001</v>
      </c>
      <c r="E16">
        <v>2.1157494414000002</v>
      </c>
      <c r="F16">
        <v>5.9083932899999997E-2</v>
      </c>
      <c r="G16">
        <v>68.072817666000006</v>
      </c>
      <c r="H16">
        <v>1.0395820676</v>
      </c>
      <c r="I16">
        <v>0.95310137559999997</v>
      </c>
      <c r="J16">
        <v>7.6519481440000003</v>
      </c>
      <c r="K16">
        <v>0.49800074319999998</v>
      </c>
      <c r="L16">
        <v>11.656962797</v>
      </c>
      <c r="M16">
        <v>0.76251704919999996</v>
      </c>
      <c r="N16">
        <v>30.853599967000001</v>
      </c>
      <c r="O16">
        <v>170.93019658</v>
      </c>
      <c r="P16">
        <v>6.1639270500000003E-2</v>
      </c>
      <c r="Q16">
        <v>719.02585668999996</v>
      </c>
      <c r="R16">
        <v>5.8159548200000001E-2</v>
      </c>
      <c r="S16">
        <v>2.72548596E-2</v>
      </c>
      <c r="T16">
        <v>8.4326801699999995E-2</v>
      </c>
      <c r="U16">
        <v>4.5499984830000004</v>
      </c>
      <c r="V16">
        <v>14.189100456</v>
      </c>
      <c r="W16">
        <v>0.68460748400000004</v>
      </c>
      <c r="X16">
        <v>5.9177112689999998</v>
      </c>
      <c r="Y16">
        <v>0.29601607359999998</v>
      </c>
      <c r="Z16">
        <v>6.7681050424000002</v>
      </c>
      <c r="AA16">
        <v>42.2697632</v>
      </c>
      <c r="AB16">
        <v>23.202230605</v>
      </c>
      <c r="AC16">
        <v>4.5321472890000001</v>
      </c>
      <c r="AD16">
        <v>0.80154818999999988</v>
      </c>
      <c r="AE16">
        <v>6.8922490675999999</v>
      </c>
      <c r="AF16">
        <v>7.6928173000000002E-2</v>
      </c>
      <c r="AG16">
        <v>0</v>
      </c>
      <c r="AH16">
        <v>7.6928173000000002E-2</v>
      </c>
      <c r="AI16">
        <v>0.31451007749999998</v>
      </c>
      <c r="AJ16">
        <v>1.6759623999999999E-3</v>
      </c>
      <c r="AK16">
        <v>0.1474919046</v>
      </c>
      <c r="AL16">
        <v>0</v>
      </c>
      <c r="AM16">
        <v>0</v>
      </c>
      <c r="AN16">
        <v>0.1653422105</v>
      </c>
      <c r="AO16">
        <v>1.5977835100000001E-2</v>
      </c>
      <c r="AP16">
        <v>1.2822965800000001E-2</v>
      </c>
      <c r="AQ16">
        <v>4.0836449999999999E-4</v>
      </c>
      <c r="AR16">
        <v>0</v>
      </c>
      <c r="AS16">
        <v>0</v>
      </c>
      <c r="AT16">
        <v>4.08365E-4</v>
      </c>
      <c r="AU16">
        <v>0</v>
      </c>
      <c r="AV16">
        <v>0</v>
      </c>
      <c r="AW16">
        <v>4.08365E-4</v>
      </c>
      <c r="AX16">
        <v>0</v>
      </c>
      <c r="AY16">
        <v>0</v>
      </c>
      <c r="AZ16">
        <v>0.87823849539999999</v>
      </c>
      <c r="BA16">
        <v>18.696155228999999</v>
      </c>
    </row>
    <row r="17" spans="1:53" x14ac:dyDescent="0.35">
      <c r="A17" s="13">
        <v>12</v>
      </c>
      <c r="B17" s="10" t="s">
        <v>68</v>
      </c>
      <c r="C17">
        <v>86.026619612000005</v>
      </c>
      <c r="D17">
        <v>13.20757298</v>
      </c>
      <c r="E17">
        <v>1.6763110725000001</v>
      </c>
      <c r="F17">
        <v>0.12618368150000001</v>
      </c>
      <c r="G17">
        <v>135.11385368000001</v>
      </c>
      <c r="H17">
        <v>3.4734768419000002</v>
      </c>
      <c r="I17">
        <v>102.75621242</v>
      </c>
      <c r="J17">
        <v>183.2470217</v>
      </c>
      <c r="K17">
        <v>5.9976862862000004</v>
      </c>
      <c r="L17">
        <v>39.555791311</v>
      </c>
      <c r="M17">
        <v>3.2351051837</v>
      </c>
      <c r="N17">
        <v>141.69153437</v>
      </c>
      <c r="O17">
        <v>159.85253638</v>
      </c>
      <c r="P17">
        <v>0.23548010120000001</v>
      </c>
      <c r="Q17">
        <v>135.03069930999999</v>
      </c>
      <c r="R17">
        <v>0.27840564950000002</v>
      </c>
      <c r="S17">
        <v>0.73418684339999996</v>
      </c>
      <c r="T17">
        <v>0.35758755399999997</v>
      </c>
      <c r="U17">
        <v>2.3930174498999999</v>
      </c>
      <c r="V17">
        <v>123.06804407</v>
      </c>
      <c r="W17">
        <v>0.53504057400000005</v>
      </c>
      <c r="X17">
        <v>0.73373079100000005</v>
      </c>
      <c r="Y17">
        <v>2.3354210287999999</v>
      </c>
      <c r="Z17">
        <v>17.300611084</v>
      </c>
      <c r="AA17">
        <v>104.61486784</v>
      </c>
      <c r="AB17">
        <v>20.742264157000001</v>
      </c>
      <c r="AC17">
        <v>5.924524194</v>
      </c>
      <c r="AD17">
        <v>0.35369364599999997</v>
      </c>
      <c r="AE17">
        <v>5.5653110919</v>
      </c>
      <c r="AF17">
        <v>1.0288454439000001</v>
      </c>
      <c r="AG17">
        <v>0.97075115150000002</v>
      </c>
      <c r="AH17">
        <v>5.8094291999999999E-2</v>
      </c>
      <c r="AI17">
        <v>0</v>
      </c>
      <c r="AJ17">
        <v>0</v>
      </c>
      <c r="AK17">
        <v>0</v>
      </c>
      <c r="AL17">
        <v>0</v>
      </c>
      <c r="AM17">
        <v>0</v>
      </c>
      <c r="AN17">
        <v>0</v>
      </c>
      <c r="AO17">
        <v>3.0148556000000001E-3</v>
      </c>
      <c r="AP17">
        <v>7.49583687E-2</v>
      </c>
      <c r="AQ17">
        <v>1.0492270200000001E-2</v>
      </c>
      <c r="AR17">
        <v>0</v>
      </c>
      <c r="AS17">
        <v>0</v>
      </c>
      <c r="AT17">
        <v>0</v>
      </c>
      <c r="AU17">
        <v>0</v>
      </c>
      <c r="AV17">
        <v>1.049227E-2</v>
      </c>
      <c r="AW17">
        <v>0</v>
      </c>
      <c r="AX17">
        <v>0</v>
      </c>
      <c r="AY17">
        <v>1.049227E-2</v>
      </c>
      <c r="AZ17">
        <v>0.16883934859999999</v>
      </c>
      <c r="BA17">
        <v>13.508135992</v>
      </c>
    </row>
    <row r="18" spans="1:53" x14ac:dyDescent="0.35">
      <c r="A18" s="13">
        <v>13</v>
      </c>
      <c r="B18" s="10" t="s">
        <v>70</v>
      </c>
      <c r="C18">
        <v>121.20032783000001</v>
      </c>
      <c r="D18">
        <v>11.87509869</v>
      </c>
      <c r="E18">
        <v>0.43954863960000001</v>
      </c>
      <c r="F18">
        <v>0.1885238917</v>
      </c>
      <c r="G18">
        <v>308.28829796999997</v>
      </c>
      <c r="H18">
        <v>4.7202640845000001</v>
      </c>
      <c r="I18">
        <v>381.04176121</v>
      </c>
      <c r="J18">
        <v>663.91791320000004</v>
      </c>
      <c r="K18">
        <v>16.08010251</v>
      </c>
      <c r="L18">
        <v>47.532395115</v>
      </c>
      <c r="M18">
        <v>15.277448960999999</v>
      </c>
      <c r="N18">
        <v>157.76271944999999</v>
      </c>
      <c r="O18">
        <v>215.53642062</v>
      </c>
      <c r="P18">
        <v>1.1693514117999999</v>
      </c>
      <c r="Q18">
        <v>420.24404414999998</v>
      </c>
      <c r="R18">
        <v>1.1850343263000001</v>
      </c>
      <c r="S18">
        <v>4.5826539360999998</v>
      </c>
      <c r="T18">
        <v>1.8190628467000001</v>
      </c>
      <c r="U18">
        <v>16.845728899000001</v>
      </c>
      <c r="V18">
        <v>469.13160199999999</v>
      </c>
      <c r="W18">
        <v>1.7583520260000001</v>
      </c>
      <c r="X18">
        <v>1.57050516</v>
      </c>
      <c r="Y18">
        <v>5.9491080926000004</v>
      </c>
      <c r="Z18">
        <v>22.628450858000001</v>
      </c>
      <c r="AA18">
        <v>269.06971315999999</v>
      </c>
      <c r="AB18">
        <v>32.131807072000001</v>
      </c>
      <c r="AC18">
        <v>7.7331859650000006</v>
      </c>
      <c r="AD18">
        <v>0.54076815899999997</v>
      </c>
      <c r="AE18">
        <v>8.2487216758000006</v>
      </c>
      <c r="AF18">
        <v>1.8524708008999999</v>
      </c>
      <c r="AG18">
        <v>0.82673464289999998</v>
      </c>
      <c r="AH18">
        <v>1.025736158</v>
      </c>
      <c r="AI18">
        <v>0</v>
      </c>
      <c r="AJ18">
        <v>0</v>
      </c>
      <c r="AK18">
        <v>0</v>
      </c>
      <c r="AL18">
        <v>0</v>
      </c>
      <c r="AM18">
        <v>0</v>
      </c>
      <c r="AN18">
        <v>0</v>
      </c>
      <c r="AO18">
        <v>4.1161511999999997E-2</v>
      </c>
      <c r="AP18">
        <v>7.5560931000000003E-3</v>
      </c>
      <c r="AQ18">
        <v>3.8770460100000001E-2</v>
      </c>
      <c r="AR18">
        <v>0</v>
      </c>
      <c r="AS18">
        <v>0</v>
      </c>
      <c r="AT18">
        <v>0</v>
      </c>
      <c r="AU18">
        <v>3.6788900000000002E-3</v>
      </c>
      <c r="AV18">
        <v>3.5091570000000002E-2</v>
      </c>
      <c r="AW18">
        <v>0</v>
      </c>
      <c r="AX18">
        <v>0</v>
      </c>
      <c r="AY18">
        <v>3.877046E-2</v>
      </c>
      <c r="AZ18">
        <v>0.89981633819999995</v>
      </c>
      <c r="BA18">
        <v>84.682849886</v>
      </c>
    </row>
    <row r="19" spans="1:53" x14ac:dyDescent="0.35">
      <c r="A19" s="13">
        <v>14</v>
      </c>
      <c r="B19" s="10" t="s">
        <v>73</v>
      </c>
      <c r="C19">
        <v>705.21516202999999</v>
      </c>
      <c r="D19">
        <v>17.352141530000001</v>
      </c>
      <c r="E19">
        <v>82.904220674000001</v>
      </c>
      <c r="F19">
        <v>3.3017738400000003E-2</v>
      </c>
      <c r="G19">
        <v>357.17574148</v>
      </c>
      <c r="H19">
        <v>2.4022068999999999E-3</v>
      </c>
      <c r="I19">
        <v>0</v>
      </c>
      <c r="J19">
        <v>20.915275770000001</v>
      </c>
      <c r="K19">
        <v>0.28889390199999998</v>
      </c>
      <c r="L19">
        <v>27.669803873999999</v>
      </c>
      <c r="M19">
        <v>0.1020131856</v>
      </c>
      <c r="N19">
        <v>517.54744024000001</v>
      </c>
      <c r="O19">
        <v>125.53145573</v>
      </c>
      <c r="P19">
        <v>0.39056456249999999</v>
      </c>
      <c r="Q19">
        <v>762.15242464000005</v>
      </c>
      <c r="R19">
        <v>2.8098764799999999E-2</v>
      </c>
      <c r="S19">
        <v>1.2764072659000001</v>
      </c>
      <c r="T19">
        <v>8.1690967200000006E-2</v>
      </c>
      <c r="U19">
        <v>1.11529253E-2</v>
      </c>
      <c r="V19">
        <v>261.75637519000003</v>
      </c>
      <c r="W19">
        <v>0.50075172700000004</v>
      </c>
      <c r="X19">
        <v>2.0319312169999999</v>
      </c>
      <c r="Y19">
        <v>3.4443012866</v>
      </c>
      <c r="Z19">
        <v>93.035262455999998</v>
      </c>
      <c r="AA19">
        <v>17.056563723</v>
      </c>
      <c r="AB19">
        <v>246.95803538999999</v>
      </c>
      <c r="AC19">
        <v>7.7897499660000005</v>
      </c>
      <c r="AD19">
        <v>1.3270862069999998</v>
      </c>
      <c r="AE19">
        <v>144.93547709000001</v>
      </c>
      <c r="AF19">
        <v>0</v>
      </c>
      <c r="AG19">
        <v>0</v>
      </c>
      <c r="AH19">
        <v>0</v>
      </c>
      <c r="AI19">
        <v>5.6479700000000001E-5</v>
      </c>
      <c r="AJ19">
        <v>0</v>
      </c>
      <c r="AK19">
        <v>4.3355400000000002E-5</v>
      </c>
      <c r="AL19">
        <v>0</v>
      </c>
      <c r="AM19">
        <v>0</v>
      </c>
      <c r="AN19">
        <v>1.3124399999999999E-5</v>
      </c>
      <c r="AO19">
        <v>0</v>
      </c>
      <c r="AP19">
        <v>2.3831220265000002</v>
      </c>
      <c r="AQ19">
        <v>2.1655186000000002E-3</v>
      </c>
      <c r="AR19">
        <v>0</v>
      </c>
      <c r="AS19">
        <v>0</v>
      </c>
      <c r="AT19">
        <v>0</v>
      </c>
      <c r="AU19">
        <v>0</v>
      </c>
      <c r="AV19">
        <v>1.9424049999999999E-3</v>
      </c>
      <c r="AW19">
        <v>2.2311400000000001E-4</v>
      </c>
      <c r="AX19">
        <v>0</v>
      </c>
      <c r="AY19">
        <v>1.9424049999999999E-3</v>
      </c>
      <c r="AZ19">
        <v>1.28487438E-2</v>
      </c>
      <c r="BA19">
        <v>0</v>
      </c>
    </row>
    <row r="20" spans="1:53" x14ac:dyDescent="0.35">
      <c r="A20" s="13">
        <v>15</v>
      </c>
      <c r="B20" s="10" t="s">
        <v>76</v>
      </c>
      <c r="C20">
        <v>770.70905794999999</v>
      </c>
      <c r="D20">
        <v>24.913189200000001</v>
      </c>
      <c r="E20">
        <v>55.753665466000001</v>
      </c>
      <c r="F20">
        <v>3.0631513999999999E-2</v>
      </c>
      <c r="G20">
        <v>241.41319142</v>
      </c>
      <c r="H20">
        <v>8.9319593799999999E-2</v>
      </c>
      <c r="I20">
        <v>0.61290321449999996</v>
      </c>
      <c r="J20">
        <v>15.72439348</v>
      </c>
      <c r="K20">
        <v>0.53166314390000002</v>
      </c>
      <c r="L20">
        <v>23.395220519999999</v>
      </c>
      <c r="M20">
        <v>0.15809966119999999</v>
      </c>
      <c r="N20">
        <v>484.62257224000001</v>
      </c>
      <c r="O20">
        <v>192.01576234000001</v>
      </c>
      <c r="P20">
        <v>0.32768756960000001</v>
      </c>
      <c r="Q20">
        <v>835.08979343999999</v>
      </c>
      <c r="R20">
        <v>3.5322129299999998E-2</v>
      </c>
      <c r="S20">
        <v>1.0796244194</v>
      </c>
      <c r="T20">
        <v>8.7504623399999995E-2</v>
      </c>
      <c r="U20">
        <v>3.1715850999999998E-3</v>
      </c>
      <c r="V20">
        <v>182.60809510000001</v>
      </c>
      <c r="W20">
        <v>0.51788969699999998</v>
      </c>
      <c r="X20">
        <v>2.7230040940000002</v>
      </c>
      <c r="Y20">
        <v>1.7607366980000001</v>
      </c>
      <c r="Z20">
        <v>60.352426768999997</v>
      </c>
      <c r="AA20">
        <v>28.02140829</v>
      </c>
      <c r="AB20">
        <v>153.01841816000001</v>
      </c>
      <c r="AC20">
        <v>7.133676318</v>
      </c>
      <c r="AD20">
        <v>0.88794304199999996</v>
      </c>
      <c r="AE20">
        <v>83.343382505999998</v>
      </c>
      <c r="AF20">
        <v>8.4055298000000001E-2</v>
      </c>
      <c r="AG20">
        <v>0</v>
      </c>
      <c r="AH20">
        <v>8.4055298000000001E-2</v>
      </c>
      <c r="AI20">
        <v>0</v>
      </c>
      <c r="AJ20">
        <v>0</v>
      </c>
      <c r="AK20">
        <v>0</v>
      </c>
      <c r="AL20">
        <v>0</v>
      </c>
      <c r="AM20">
        <v>0</v>
      </c>
      <c r="AN20">
        <v>0</v>
      </c>
      <c r="AO20">
        <v>3.1715850000000001E-4</v>
      </c>
      <c r="AP20">
        <v>1.5565772067999999</v>
      </c>
      <c r="AQ20">
        <v>0</v>
      </c>
      <c r="AR20">
        <v>0</v>
      </c>
      <c r="AS20">
        <v>0</v>
      </c>
      <c r="AT20">
        <v>0</v>
      </c>
      <c r="AU20">
        <v>0</v>
      </c>
      <c r="AV20">
        <v>0</v>
      </c>
      <c r="AW20">
        <v>0</v>
      </c>
      <c r="AX20">
        <v>0</v>
      </c>
      <c r="AY20">
        <v>0</v>
      </c>
      <c r="AZ20">
        <v>0.62028868979999996</v>
      </c>
      <c r="BA20">
        <v>4.2626104099999999E-2</v>
      </c>
    </row>
    <row r="21" spans="1:53" x14ac:dyDescent="0.35">
      <c r="A21" s="13">
        <v>16</v>
      </c>
      <c r="B21" s="10" t="s">
        <v>77</v>
      </c>
      <c r="C21">
        <v>124.6134928</v>
      </c>
      <c r="D21">
        <v>17.24497788</v>
      </c>
      <c r="E21">
        <v>3.5607974172999999</v>
      </c>
      <c r="F21">
        <v>2.41356125E-2</v>
      </c>
      <c r="G21">
        <v>40.233085768999999</v>
      </c>
      <c r="H21">
        <v>2.29233418E-2</v>
      </c>
      <c r="I21">
        <v>0</v>
      </c>
      <c r="J21">
        <v>5.5132303509999998</v>
      </c>
      <c r="K21">
        <v>6.82614837E-2</v>
      </c>
      <c r="L21">
        <v>11.593246702</v>
      </c>
      <c r="M21">
        <v>0.1225911797</v>
      </c>
      <c r="N21">
        <v>95.058870175999999</v>
      </c>
      <c r="O21">
        <v>152.83235252</v>
      </c>
      <c r="P21">
        <v>0.18629342400000001</v>
      </c>
      <c r="Q21">
        <v>44.946989176999999</v>
      </c>
      <c r="R21">
        <v>2.9655337100000002E-2</v>
      </c>
      <c r="S21">
        <v>0.51610894299999999</v>
      </c>
      <c r="T21">
        <v>3.7267343600000002E-2</v>
      </c>
      <c r="U21">
        <v>2.67235901E-2</v>
      </c>
      <c r="V21">
        <v>55.423014778000002</v>
      </c>
      <c r="W21">
        <v>1.8203629999999998E-2</v>
      </c>
      <c r="X21">
        <v>0.29933132000000001</v>
      </c>
      <c r="Y21">
        <v>0.42194243129999998</v>
      </c>
      <c r="Z21">
        <v>13.960035013000001</v>
      </c>
      <c r="AA21">
        <v>20.055067637000001</v>
      </c>
      <c r="AB21">
        <v>6.3369734676</v>
      </c>
      <c r="AC21">
        <v>0.57962412000000008</v>
      </c>
      <c r="AD21">
        <v>7.895054700000001E-2</v>
      </c>
      <c r="AE21">
        <v>3.5713233453000002</v>
      </c>
      <c r="AF21">
        <v>0</v>
      </c>
      <c r="AG21">
        <v>0</v>
      </c>
      <c r="AH21">
        <v>0</v>
      </c>
      <c r="AI21">
        <v>0</v>
      </c>
      <c r="AJ21">
        <v>0</v>
      </c>
      <c r="AK21">
        <v>0</v>
      </c>
      <c r="AL21">
        <v>0</v>
      </c>
      <c r="AM21">
        <v>0</v>
      </c>
      <c r="AN21">
        <v>0</v>
      </c>
      <c r="AO21">
        <v>0</v>
      </c>
      <c r="AP21">
        <v>0.40755353509999998</v>
      </c>
      <c r="AQ21">
        <v>0</v>
      </c>
      <c r="AR21">
        <v>0</v>
      </c>
      <c r="AS21">
        <v>0</v>
      </c>
      <c r="AT21">
        <v>0</v>
      </c>
      <c r="AU21">
        <v>0</v>
      </c>
      <c r="AV21">
        <v>0</v>
      </c>
      <c r="AW21">
        <v>0</v>
      </c>
      <c r="AX21">
        <v>0</v>
      </c>
      <c r="AY21">
        <v>0</v>
      </c>
      <c r="AZ21">
        <v>6.7108615600000004E-2</v>
      </c>
      <c r="BA21">
        <v>1.0391205008</v>
      </c>
    </row>
    <row r="22" spans="1:53" x14ac:dyDescent="0.35">
      <c r="A22" s="13">
        <v>17</v>
      </c>
      <c r="B22" s="10" t="s">
        <v>79</v>
      </c>
      <c r="C22">
        <v>118.64565272999999</v>
      </c>
      <c r="D22">
        <v>15.68909206</v>
      </c>
      <c r="E22">
        <v>8.5189884348000007</v>
      </c>
      <c r="F22">
        <v>1.8677077199999999E-2</v>
      </c>
      <c r="G22">
        <v>59.899881493000002</v>
      </c>
      <c r="H22">
        <v>4.3204177500000003E-2</v>
      </c>
      <c r="I22">
        <v>0</v>
      </c>
      <c r="J22">
        <v>5.4290155430000002</v>
      </c>
      <c r="K22">
        <v>4.4371439700000001E-2</v>
      </c>
      <c r="L22">
        <v>11.183263623</v>
      </c>
      <c r="M22">
        <v>9.8945384400000003E-2</v>
      </c>
      <c r="N22">
        <v>91.934676663000005</v>
      </c>
      <c r="O22">
        <v>142.94098321999999</v>
      </c>
      <c r="P22">
        <v>0.1798315824</v>
      </c>
      <c r="Q22">
        <v>48.373263831000003</v>
      </c>
      <c r="R22">
        <v>4.1113253799999999E-2</v>
      </c>
      <c r="S22">
        <v>0.4767661051</v>
      </c>
      <c r="T22">
        <v>3.8376096399999997E-2</v>
      </c>
      <c r="U22">
        <v>0.25482745070000001</v>
      </c>
      <c r="V22">
        <v>48.856801324999999</v>
      </c>
      <c r="W22">
        <v>4.6625278999999999E-2</v>
      </c>
      <c r="X22">
        <v>0.23308151099999999</v>
      </c>
      <c r="Y22">
        <v>0.45623606439999997</v>
      </c>
      <c r="Z22">
        <v>13.712340778</v>
      </c>
      <c r="AA22">
        <v>24.734658874000001</v>
      </c>
      <c r="AB22">
        <v>21.617575372000001</v>
      </c>
      <c r="AC22">
        <v>0.72530713800000002</v>
      </c>
      <c r="AD22">
        <v>0.30152139300000003</v>
      </c>
      <c r="AE22">
        <v>13.048290336000001</v>
      </c>
      <c r="AF22">
        <v>0</v>
      </c>
      <c r="AG22">
        <v>0</v>
      </c>
      <c r="AH22">
        <v>0</v>
      </c>
      <c r="AI22">
        <v>0</v>
      </c>
      <c r="AJ22">
        <v>0</v>
      </c>
      <c r="AK22">
        <v>0</v>
      </c>
      <c r="AL22">
        <v>0</v>
      </c>
      <c r="AM22">
        <v>0</v>
      </c>
      <c r="AN22">
        <v>0</v>
      </c>
      <c r="AO22">
        <v>3.5819828999999999E-3</v>
      </c>
      <c r="AP22">
        <v>0.40048737569999998</v>
      </c>
      <c r="AQ22">
        <v>2.8561009999999998E-4</v>
      </c>
      <c r="AR22">
        <v>0</v>
      </c>
      <c r="AS22">
        <v>0</v>
      </c>
      <c r="AT22">
        <v>2.8561E-4</v>
      </c>
      <c r="AU22">
        <v>0</v>
      </c>
      <c r="AV22">
        <v>0</v>
      </c>
      <c r="AW22">
        <v>2.8561E-4</v>
      </c>
      <c r="AX22">
        <v>0</v>
      </c>
      <c r="AY22">
        <v>0</v>
      </c>
      <c r="AZ22">
        <v>8.5086800000000007E-5</v>
      </c>
      <c r="BA22">
        <v>4.3042413429000002</v>
      </c>
    </row>
    <row r="23" spans="1:53" x14ac:dyDescent="0.35">
      <c r="A23" s="13">
        <v>18</v>
      </c>
      <c r="B23" s="10" t="s">
        <v>82</v>
      </c>
      <c r="C23">
        <v>123.47107621000001</v>
      </c>
      <c r="D23">
        <v>16.427724720000001</v>
      </c>
      <c r="E23">
        <v>6.8102373677000001</v>
      </c>
      <c r="F23">
        <v>3.7997764000000003E-2</v>
      </c>
      <c r="G23">
        <v>81.918043041999994</v>
      </c>
      <c r="H23">
        <v>0.23632016780000001</v>
      </c>
      <c r="I23">
        <v>0</v>
      </c>
      <c r="J23">
        <v>7.2367864559999999</v>
      </c>
      <c r="K23">
        <v>0.13292690609999999</v>
      </c>
      <c r="L23">
        <v>13.666703226999999</v>
      </c>
      <c r="M23">
        <v>0.1307219761</v>
      </c>
      <c r="N23">
        <v>104.90312526</v>
      </c>
      <c r="O23">
        <v>168.0602658</v>
      </c>
      <c r="P23">
        <v>0.1879600162</v>
      </c>
      <c r="Q23">
        <v>61.259930425</v>
      </c>
      <c r="R23">
        <v>3.7319606399999997E-2</v>
      </c>
      <c r="S23">
        <v>0.40562320759999998</v>
      </c>
      <c r="T23">
        <v>4.3497265E-2</v>
      </c>
      <c r="U23">
        <v>0.835094271</v>
      </c>
      <c r="V23">
        <v>39.213726557000001</v>
      </c>
      <c r="W23">
        <v>4.3150145000000001E-2</v>
      </c>
      <c r="X23">
        <v>0.19239456899999999</v>
      </c>
      <c r="Y23">
        <v>0.55542502370000002</v>
      </c>
      <c r="Z23">
        <v>16.819990363999999</v>
      </c>
      <c r="AA23">
        <v>48.956932661000003</v>
      </c>
      <c r="AB23">
        <v>16.399812544</v>
      </c>
      <c r="AC23">
        <v>0.48287142</v>
      </c>
      <c r="AD23">
        <v>0.16757165699999998</v>
      </c>
      <c r="AE23">
        <v>10.098725664</v>
      </c>
      <c r="AF23">
        <v>0</v>
      </c>
      <c r="AG23">
        <v>0</v>
      </c>
      <c r="AH23">
        <v>0</v>
      </c>
      <c r="AI23">
        <v>0</v>
      </c>
      <c r="AJ23">
        <v>0</v>
      </c>
      <c r="AK23">
        <v>0</v>
      </c>
      <c r="AL23">
        <v>0</v>
      </c>
      <c r="AM23">
        <v>0</v>
      </c>
      <c r="AN23">
        <v>0</v>
      </c>
      <c r="AO23">
        <v>2.0001027800000001E-2</v>
      </c>
      <c r="AP23">
        <v>0.3546799014</v>
      </c>
      <c r="AQ23">
        <v>1.4968340000000001E-3</v>
      </c>
      <c r="AR23">
        <v>0</v>
      </c>
      <c r="AS23">
        <v>0</v>
      </c>
      <c r="AT23">
        <v>1.4968340000000001E-3</v>
      </c>
      <c r="AU23">
        <v>0</v>
      </c>
      <c r="AV23">
        <v>0</v>
      </c>
      <c r="AW23">
        <v>1.4968340000000001E-3</v>
      </c>
      <c r="AX23">
        <v>0</v>
      </c>
      <c r="AY23">
        <v>0</v>
      </c>
      <c r="AZ23">
        <v>4.459253E-4</v>
      </c>
      <c r="BA23">
        <v>22.918670981000002</v>
      </c>
    </row>
    <row r="24" spans="1:53" x14ac:dyDescent="0.35">
      <c r="A24" s="13">
        <v>19</v>
      </c>
      <c r="B24" s="10" t="s">
        <v>84</v>
      </c>
      <c r="C24">
        <v>118.90633475</v>
      </c>
      <c r="D24">
        <v>15.877977680000001</v>
      </c>
      <c r="E24">
        <v>7.8439901924999997</v>
      </c>
      <c r="F24">
        <v>1.62043942E-2</v>
      </c>
      <c r="G24">
        <v>51.949068998000001</v>
      </c>
      <c r="H24">
        <v>3.4173683000000002E-3</v>
      </c>
      <c r="I24">
        <v>0</v>
      </c>
      <c r="J24">
        <v>5.1156247099999996</v>
      </c>
      <c r="K24">
        <v>3.3004309400000001E-2</v>
      </c>
      <c r="L24">
        <v>10.801820278999999</v>
      </c>
      <c r="M24">
        <v>9.7802606099999995E-2</v>
      </c>
      <c r="N24">
        <v>90.143836347999994</v>
      </c>
      <c r="O24">
        <v>140.26404758000001</v>
      </c>
      <c r="P24">
        <v>0.17960770209999999</v>
      </c>
      <c r="Q24">
        <v>45.255177512000003</v>
      </c>
      <c r="R24">
        <v>3.9431515700000003E-2</v>
      </c>
      <c r="S24">
        <v>0.49752934040000002</v>
      </c>
      <c r="T24">
        <v>3.7178596299999998E-2</v>
      </c>
      <c r="U24">
        <v>0.104615605</v>
      </c>
      <c r="V24">
        <v>51.959146369999999</v>
      </c>
      <c r="W24">
        <v>4.1657214999999997E-2</v>
      </c>
      <c r="X24">
        <v>0.254176601</v>
      </c>
      <c r="Y24">
        <v>0.43104658499999998</v>
      </c>
      <c r="Z24">
        <v>13.190858974999999</v>
      </c>
      <c r="AA24">
        <v>19.376093198</v>
      </c>
      <c r="AB24">
        <v>19.522527208</v>
      </c>
      <c r="AC24">
        <v>0.74088749700000001</v>
      </c>
      <c r="AD24">
        <v>0.28094628599999999</v>
      </c>
      <c r="AE24">
        <v>11.698731231</v>
      </c>
      <c r="AF24">
        <v>0</v>
      </c>
      <c r="AG24">
        <v>0</v>
      </c>
      <c r="AH24">
        <v>0</v>
      </c>
      <c r="AI24">
        <v>0</v>
      </c>
      <c r="AJ24">
        <v>0</v>
      </c>
      <c r="AK24">
        <v>0</v>
      </c>
      <c r="AL24">
        <v>0</v>
      </c>
      <c r="AM24">
        <v>0</v>
      </c>
      <c r="AN24">
        <v>0</v>
      </c>
      <c r="AO24">
        <v>0</v>
      </c>
      <c r="AP24">
        <v>0.41031443080000002</v>
      </c>
      <c r="AQ24">
        <v>0</v>
      </c>
      <c r="AR24">
        <v>0</v>
      </c>
      <c r="AS24">
        <v>0</v>
      </c>
      <c r="AT24">
        <v>0</v>
      </c>
      <c r="AU24">
        <v>0</v>
      </c>
      <c r="AV24">
        <v>0</v>
      </c>
      <c r="AW24">
        <v>0</v>
      </c>
      <c r="AX24">
        <v>0</v>
      </c>
      <c r="AY24">
        <v>0</v>
      </c>
      <c r="AZ24">
        <v>1.36450532E-2</v>
      </c>
      <c r="BA24">
        <v>0.21128217899999999</v>
      </c>
    </row>
    <row r="25" spans="1:53" x14ac:dyDescent="0.35">
      <c r="A25" s="13">
        <v>20</v>
      </c>
      <c r="B25" s="10" t="s">
        <v>86</v>
      </c>
      <c r="C25">
        <v>66.315670776999994</v>
      </c>
      <c r="D25">
        <v>236.19906850000001</v>
      </c>
      <c r="E25">
        <v>357.30491774000001</v>
      </c>
      <c r="F25">
        <v>6.9963613499999994E-2</v>
      </c>
      <c r="G25">
        <v>174.98075352999999</v>
      </c>
      <c r="H25">
        <v>0</v>
      </c>
      <c r="I25">
        <v>0</v>
      </c>
      <c r="J25">
        <v>34.094028680000001</v>
      </c>
      <c r="K25">
        <v>1.6641498883000001</v>
      </c>
      <c r="L25">
        <v>12.867242417</v>
      </c>
      <c r="M25">
        <v>7.9842001800000006E-2</v>
      </c>
      <c r="N25">
        <v>198.08860145</v>
      </c>
      <c r="O25">
        <v>149.41297562</v>
      </c>
      <c r="P25">
        <v>0.43932463090000001</v>
      </c>
      <c r="Q25">
        <v>151.46383331000001</v>
      </c>
      <c r="R25">
        <v>3.6625418600000001E-2</v>
      </c>
      <c r="S25">
        <v>0.76232781260000004</v>
      </c>
      <c r="T25">
        <v>0.1600795636</v>
      </c>
      <c r="U25">
        <v>0</v>
      </c>
      <c r="V25">
        <v>167.61496904000001</v>
      </c>
      <c r="W25">
        <v>1.3479511019999999</v>
      </c>
      <c r="X25">
        <v>3.535115856</v>
      </c>
      <c r="Y25">
        <v>1.2688059486000001</v>
      </c>
      <c r="Z25">
        <v>49.931410472000003</v>
      </c>
      <c r="AA25">
        <v>5.0020163980000003</v>
      </c>
      <c r="AB25">
        <v>116.44097671</v>
      </c>
      <c r="AC25">
        <v>22.326429357000002</v>
      </c>
      <c r="AD25">
        <v>1.6830067949999998</v>
      </c>
      <c r="AE25">
        <v>36.436577718000002</v>
      </c>
      <c r="AF25">
        <v>0</v>
      </c>
      <c r="AG25">
        <v>0</v>
      </c>
      <c r="AH25">
        <v>0</v>
      </c>
      <c r="AI25">
        <v>0</v>
      </c>
      <c r="AJ25">
        <v>0</v>
      </c>
      <c r="AK25">
        <v>0</v>
      </c>
      <c r="AL25">
        <v>0</v>
      </c>
      <c r="AM25">
        <v>0</v>
      </c>
      <c r="AN25">
        <v>0</v>
      </c>
      <c r="AO25">
        <v>0</v>
      </c>
      <c r="AP25">
        <v>4.3193482599999999E-2</v>
      </c>
      <c r="AQ25">
        <v>1.8310033346000001</v>
      </c>
      <c r="AR25">
        <v>0</v>
      </c>
      <c r="AS25">
        <v>0</v>
      </c>
      <c r="AT25">
        <v>1.8310033349999999</v>
      </c>
      <c r="AU25">
        <v>0</v>
      </c>
      <c r="AV25">
        <v>0</v>
      </c>
      <c r="AW25">
        <v>1.8310033349999999</v>
      </c>
      <c r="AX25">
        <v>0</v>
      </c>
      <c r="AY25">
        <v>0</v>
      </c>
      <c r="AZ25">
        <v>2.5194615933</v>
      </c>
      <c r="BA25">
        <v>0</v>
      </c>
    </row>
    <row r="26" spans="1:53" x14ac:dyDescent="0.35">
      <c r="A26" s="13">
        <v>21</v>
      </c>
      <c r="B26" s="10" t="s">
        <v>88</v>
      </c>
      <c r="C26">
        <v>23.780307062999999</v>
      </c>
      <c r="D26">
        <v>18.8</v>
      </c>
      <c r="E26">
        <v>217.19692936999999</v>
      </c>
      <c r="F26">
        <v>2.1969293999999999E-3</v>
      </c>
      <c r="G26">
        <v>717.21969293999996</v>
      </c>
      <c r="H26">
        <v>0</v>
      </c>
      <c r="I26">
        <v>0</v>
      </c>
      <c r="J26">
        <v>3.219692937</v>
      </c>
      <c r="K26">
        <v>2.6590788099999998E-2</v>
      </c>
      <c r="L26">
        <v>1.7803070632</v>
      </c>
      <c r="M26">
        <v>3.76061413E-2</v>
      </c>
      <c r="N26">
        <v>24</v>
      </c>
      <c r="O26">
        <v>27.734779926000002</v>
      </c>
      <c r="P26">
        <v>4.0590788099999997E-2</v>
      </c>
      <c r="Q26">
        <v>629.81842379</v>
      </c>
      <c r="R26">
        <v>5.4393858999999996E-3</v>
      </c>
      <c r="S26">
        <v>0.14803070630000001</v>
      </c>
      <c r="T26">
        <v>4.0984647000000003E-3</v>
      </c>
      <c r="U26">
        <v>0</v>
      </c>
      <c r="V26">
        <v>683.78030706000004</v>
      </c>
      <c r="W26">
        <v>2.1112917100000002</v>
      </c>
      <c r="X26">
        <v>6.472736952</v>
      </c>
      <c r="Y26">
        <v>8.1212282499999996E-2</v>
      </c>
      <c r="Z26">
        <v>3.0836421710000002</v>
      </c>
      <c r="AA26">
        <v>2.7093486101000002</v>
      </c>
      <c r="AB26">
        <v>724.43396562999999</v>
      </c>
      <c r="AC26">
        <v>24.522341453999999</v>
      </c>
      <c r="AD26">
        <v>2.8013869800000002</v>
      </c>
      <c r="AE26">
        <v>450.49208061000002</v>
      </c>
      <c r="AF26">
        <v>0</v>
      </c>
      <c r="AG26">
        <v>0</v>
      </c>
      <c r="AH26">
        <v>0</v>
      </c>
      <c r="AI26">
        <v>0</v>
      </c>
      <c r="AJ26">
        <v>0</v>
      </c>
      <c r="AK26">
        <v>0</v>
      </c>
      <c r="AL26">
        <v>0</v>
      </c>
      <c r="AM26">
        <v>0</v>
      </c>
      <c r="AN26">
        <v>0</v>
      </c>
      <c r="AO26">
        <v>0</v>
      </c>
      <c r="AP26">
        <v>0</v>
      </c>
      <c r="AQ26">
        <v>0</v>
      </c>
      <c r="AR26">
        <v>0</v>
      </c>
      <c r="AS26">
        <v>0</v>
      </c>
      <c r="AT26">
        <v>0</v>
      </c>
      <c r="AU26">
        <v>0</v>
      </c>
      <c r="AV26">
        <v>0</v>
      </c>
      <c r="AW26">
        <v>0</v>
      </c>
      <c r="AX26">
        <v>0</v>
      </c>
      <c r="AY26">
        <v>0</v>
      </c>
      <c r="AZ26">
        <v>0</v>
      </c>
      <c r="BA26">
        <v>0</v>
      </c>
    </row>
    <row r="27" spans="1:53" x14ac:dyDescent="0.35">
      <c r="A27" s="13">
        <v>22</v>
      </c>
      <c r="B27" s="10" t="s">
        <v>90</v>
      </c>
      <c r="C27">
        <v>33.086624133999997</v>
      </c>
      <c r="D27">
        <v>13.80080761</v>
      </c>
      <c r="E27">
        <v>21.542331502</v>
      </c>
      <c r="F27">
        <v>3.0122877900000001E-2</v>
      </c>
      <c r="G27">
        <v>322.02716623999999</v>
      </c>
      <c r="H27">
        <v>0.2005396867</v>
      </c>
      <c r="I27">
        <v>0</v>
      </c>
      <c r="J27">
        <v>2.9444772549999998</v>
      </c>
      <c r="K27">
        <v>0.2687654578</v>
      </c>
      <c r="L27">
        <v>6.4672732835</v>
      </c>
      <c r="M27">
        <v>7.0015177200000001E-2</v>
      </c>
      <c r="N27">
        <v>71.337966723999997</v>
      </c>
      <c r="O27">
        <v>109.38080155999999</v>
      </c>
      <c r="P27">
        <v>6.6705888899999996E-2</v>
      </c>
      <c r="Q27">
        <v>429.60022764000001</v>
      </c>
      <c r="R27">
        <v>2.6950183400000001E-2</v>
      </c>
      <c r="S27">
        <v>0.1016275338</v>
      </c>
      <c r="T27">
        <v>0.1169923693</v>
      </c>
      <c r="U27">
        <v>0.31933567330000001</v>
      </c>
      <c r="V27">
        <v>84.598319020000005</v>
      </c>
      <c r="W27">
        <v>2.5385366739999999</v>
      </c>
      <c r="X27">
        <v>48.78886121</v>
      </c>
      <c r="Y27">
        <v>0.1897038959</v>
      </c>
      <c r="Z27">
        <v>6.049136141</v>
      </c>
      <c r="AA27">
        <v>52.585811890999999</v>
      </c>
      <c r="AB27">
        <v>267.77565264999998</v>
      </c>
      <c r="AC27">
        <v>97.394867550000001</v>
      </c>
      <c r="AD27">
        <v>13.373312184</v>
      </c>
      <c r="AE27">
        <v>66.110516996000001</v>
      </c>
      <c r="AF27">
        <v>0</v>
      </c>
      <c r="AG27">
        <v>0</v>
      </c>
      <c r="AH27">
        <v>0</v>
      </c>
      <c r="AI27">
        <v>3.3628284000000001E-3</v>
      </c>
      <c r="AJ27">
        <v>0</v>
      </c>
      <c r="AK27">
        <v>2.6259011E-3</v>
      </c>
      <c r="AL27">
        <v>0</v>
      </c>
      <c r="AM27">
        <v>0</v>
      </c>
      <c r="AN27">
        <v>7.3692729999999995E-4</v>
      </c>
      <c r="AO27">
        <v>0</v>
      </c>
      <c r="AP27">
        <v>3.6629960099999997E-2</v>
      </c>
      <c r="AQ27">
        <v>2.2118009899999999E-2</v>
      </c>
      <c r="AR27">
        <v>0</v>
      </c>
      <c r="AS27">
        <v>0</v>
      </c>
      <c r="AT27">
        <v>2.211801E-2</v>
      </c>
      <c r="AU27">
        <v>0</v>
      </c>
      <c r="AV27">
        <v>0</v>
      </c>
      <c r="AW27">
        <v>2.211801E-2</v>
      </c>
      <c r="AX27">
        <v>0</v>
      </c>
      <c r="AY27">
        <v>0</v>
      </c>
      <c r="AZ27">
        <v>18.997708856999999</v>
      </c>
      <c r="BA27">
        <v>36.382731165999999</v>
      </c>
    </row>
    <row r="28" spans="1:53" x14ac:dyDescent="0.35">
      <c r="A28" s="13">
        <v>23</v>
      </c>
      <c r="B28" s="10" t="s">
        <v>92</v>
      </c>
      <c r="C28">
        <v>14.019552435</v>
      </c>
      <c r="D28">
        <v>6.2340688340000003</v>
      </c>
      <c r="E28">
        <v>0</v>
      </c>
      <c r="F28">
        <v>9.8851799000000004E-2</v>
      </c>
      <c r="G28">
        <v>61.866232971999999</v>
      </c>
      <c r="H28">
        <v>1.8304922364</v>
      </c>
      <c r="I28">
        <v>0</v>
      </c>
      <c r="J28">
        <v>14.83125085</v>
      </c>
      <c r="K28">
        <v>0.39002451780000003</v>
      </c>
      <c r="L28">
        <v>10.993643161</v>
      </c>
      <c r="M28">
        <v>0.37598774419999997</v>
      </c>
      <c r="N28">
        <v>21.714752049000001</v>
      </c>
      <c r="O28">
        <v>184.71006539999999</v>
      </c>
      <c r="P28">
        <v>4.69725447E-2</v>
      </c>
      <c r="Q28">
        <v>1.8048731791999999</v>
      </c>
      <c r="R28">
        <v>4.6774043500000001E-2</v>
      </c>
      <c r="S28">
        <v>0</v>
      </c>
      <c r="T28">
        <v>7.5477896700000005E-2</v>
      </c>
      <c r="U28">
        <v>25.878389399</v>
      </c>
      <c r="V28">
        <v>10.259595879999999</v>
      </c>
      <c r="W28">
        <v>0.37186787300000002</v>
      </c>
      <c r="X28">
        <v>9.3741093469999992</v>
      </c>
      <c r="Y28">
        <v>0.12889877290000001</v>
      </c>
      <c r="Z28">
        <v>3.2929252259999999</v>
      </c>
      <c r="AA28">
        <v>63.203904281</v>
      </c>
      <c r="AB28">
        <v>2.4582572840000001</v>
      </c>
      <c r="AC28">
        <v>0.56802034800000001</v>
      </c>
      <c r="AD28">
        <v>0.34356060000000005</v>
      </c>
      <c r="AE28">
        <v>0.38107561350000002</v>
      </c>
      <c r="AF28">
        <v>0</v>
      </c>
      <c r="AG28">
        <v>0</v>
      </c>
      <c r="AH28">
        <v>0</v>
      </c>
      <c r="AI28">
        <v>0</v>
      </c>
      <c r="AJ28">
        <v>0</v>
      </c>
      <c r="AK28">
        <v>0</v>
      </c>
      <c r="AL28">
        <v>0</v>
      </c>
      <c r="AM28">
        <v>0</v>
      </c>
      <c r="AN28">
        <v>0</v>
      </c>
      <c r="AO28">
        <v>0.68230275399999996</v>
      </c>
      <c r="AP28">
        <v>0</v>
      </c>
      <c r="AQ28">
        <v>0</v>
      </c>
      <c r="AR28">
        <v>0</v>
      </c>
      <c r="AS28">
        <v>0</v>
      </c>
      <c r="AT28">
        <v>0</v>
      </c>
      <c r="AU28">
        <v>0</v>
      </c>
      <c r="AV28">
        <v>0</v>
      </c>
      <c r="AW28">
        <v>0</v>
      </c>
      <c r="AX28">
        <v>0</v>
      </c>
      <c r="AY28">
        <v>0</v>
      </c>
      <c r="AZ28">
        <v>0</v>
      </c>
      <c r="BA28">
        <v>0</v>
      </c>
    </row>
    <row r="29" spans="1:53" x14ac:dyDescent="0.35">
      <c r="A29" s="13">
        <v>24</v>
      </c>
      <c r="B29" s="10" t="s">
        <v>94</v>
      </c>
      <c r="C29">
        <v>8.1901439108999998</v>
      </c>
      <c r="D29">
        <v>4.7683571330000003</v>
      </c>
      <c r="E29">
        <v>1.1108427915000001</v>
      </c>
      <c r="F29">
        <v>8.4081810399999998E-2</v>
      </c>
      <c r="G29">
        <v>107.26534965</v>
      </c>
      <c r="H29">
        <v>2.1331635693000002</v>
      </c>
      <c r="I29">
        <v>0</v>
      </c>
      <c r="J29">
        <v>5.9245795120000002</v>
      </c>
      <c r="K29">
        <v>0.33355625090000002</v>
      </c>
      <c r="L29">
        <v>9.8281429358000008</v>
      </c>
      <c r="M29">
        <v>0.43646612480000002</v>
      </c>
      <c r="N29">
        <v>15.247018999</v>
      </c>
      <c r="O29">
        <v>106.08899475</v>
      </c>
      <c r="P29">
        <v>3.2054351100000003E-2</v>
      </c>
      <c r="Q29">
        <v>5.1960109864000001</v>
      </c>
      <c r="R29">
        <v>3.1037209199999999E-2</v>
      </c>
      <c r="S29">
        <v>1.7089888999999999E-3</v>
      </c>
      <c r="T29">
        <v>5.3377240800000003E-2</v>
      </c>
      <c r="U29">
        <v>4.0681763633000001</v>
      </c>
      <c r="V29">
        <v>17.150538645000001</v>
      </c>
      <c r="W29">
        <v>0.64552312599999995</v>
      </c>
      <c r="X29">
        <v>2.6287762969999999</v>
      </c>
      <c r="Y29">
        <v>0.14542133369999999</v>
      </c>
      <c r="Z29">
        <v>2.5404241429000001</v>
      </c>
      <c r="AA29">
        <v>95.850711885999999</v>
      </c>
      <c r="AB29">
        <v>17.973576073</v>
      </c>
      <c r="AC29">
        <v>3.4748981460000001</v>
      </c>
      <c r="AD29">
        <v>0.70642344599999995</v>
      </c>
      <c r="AE29">
        <v>9.0574120579000006</v>
      </c>
      <c r="AF29">
        <v>0</v>
      </c>
      <c r="AG29">
        <v>0</v>
      </c>
      <c r="AH29">
        <v>0</v>
      </c>
      <c r="AI29">
        <v>0</v>
      </c>
      <c r="AJ29">
        <v>0</v>
      </c>
      <c r="AK29">
        <v>0</v>
      </c>
      <c r="AL29">
        <v>0</v>
      </c>
      <c r="AM29">
        <v>0</v>
      </c>
      <c r="AN29">
        <v>0</v>
      </c>
      <c r="AO29">
        <v>0.59401469630000003</v>
      </c>
      <c r="AP29">
        <v>0</v>
      </c>
      <c r="AQ29">
        <v>5.9505197900000001E-2</v>
      </c>
      <c r="AR29">
        <v>0</v>
      </c>
      <c r="AS29">
        <v>0</v>
      </c>
      <c r="AT29">
        <v>0</v>
      </c>
      <c r="AU29">
        <v>0</v>
      </c>
      <c r="AV29">
        <v>5.9505198000000002E-2</v>
      </c>
      <c r="AW29">
        <v>0</v>
      </c>
      <c r="AX29">
        <v>0</v>
      </c>
      <c r="AY29">
        <v>5.9505198000000002E-2</v>
      </c>
      <c r="AZ29">
        <v>0.42129524979999999</v>
      </c>
      <c r="BA29">
        <v>39.646119112000001</v>
      </c>
    </row>
    <row r="30" spans="1:53" x14ac:dyDescent="0.35">
      <c r="A30" s="13">
        <v>25</v>
      </c>
      <c r="B30" s="10" t="s">
        <v>96</v>
      </c>
      <c r="C30">
        <v>3.2878484557999998</v>
      </c>
      <c r="D30">
        <v>3.585394376</v>
      </c>
      <c r="E30">
        <v>0</v>
      </c>
      <c r="F30">
        <v>4.0105482300000002E-2</v>
      </c>
      <c r="G30">
        <v>71.458800803000003</v>
      </c>
      <c r="H30">
        <v>1.2089466951000001</v>
      </c>
      <c r="I30">
        <v>0</v>
      </c>
      <c r="J30">
        <v>1.681566637</v>
      </c>
      <c r="K30">
        <v>0.2246133843</v>
      </c>
      <c r="L30">
        <v>3.6150092796000002</v>
      </c>
      <c r="M30">
        <v>0.23606630610000001</v>
      </c>
      <c r="N30">
        <v>7.5501839885999997</v>
      </c>
      <c r="O30">
        <v>77.539488875000004</v>
      </c>
      <c r="P30">
        <v>2.2318241999999999E-2</v>
      </c>
      <c r="Q30">
        <v>3.4279335871000001</v>
      </c>
      <c r="R30">
        <v>1.46948958E-2</v>
      </c>
      <c r="S30">
        <v>0</v>
      </c>
      <c r="T30">
        <v>2.54856452E-2</v>
      </c>
      <c r="U30">
        <v>1.8158056485</v>
      </c>
      <c r="V30">
        <v>5.6508164169999997</v>
      </c>
      <c r="W30">
        <v>0.34805324199999998</v>
      </c>
      <c r="X30">
        <v>1.112400284</v>
      </c>
      <c r="Y30">
        <v>5.1304766100000003E-2</v>
      </c>
      <c r="Z30">
        <v>1.2786881699999999</v>
      </c>
      <c r="AA30">
        <v>74.150363088999995</v>
      </c>
      <c r="AB30">
        <v>1.0885364555999999</v>
      </c>
      <c r="AC30">
        <v>0.29441623500000003</v>
      </c>
      <c r="AD30">
        <v>5.7039587999999995E-2</v>
      </c>
      <c r="AE30">
        <v>0.16912753580000001</v>
      </c>
      <c r="AF30">
        <v>0</v>
      </c>
      <c r="AG30">
        <v>0</v>
      </c>
      <c r="AH30">
        <v>0</v>
      </c>
      <c r="AI30">
        <v>0</v>
      </c>
      <c r="AJ30">
        <v>0</v>
      </c>
      <c r="AK30">
        <v>0</v>
      </c>
      <c r="AL30">
        <v>0</v>
      </c>
      <c r="AM30">
        <v>0</v>
      </c>
      <c r="AN30">
        <v>0</v>
      </c>
      <c r="AO30">
        <v>0.35927682869999999</v>
      </c>
      <c r="AP30">
        <v>0</v>
      </c>
      <c r="AQ30">
        <v>0</v>
      </c>
      <c r="AR30">
        <v>0</v>
      </c>
      <c r="AS30">
        <v>0</v>
      </c>
      <c r="AT30">
        <v>0</v>
      </c>
      <c r="AU30">
        <v>0</v>
      </c>
      <c r="AV30">
        <v>0</v>
      </c>
      <c r="AW30">
        <v>0</v>
      </c>
      <c r="AX30">
        <v>0</v>
      </c>
      <c r="AY30">
        <v>0</v>
      </c>
      <c r="AZ30">
        <v>0</v>
      </c>
      <c r="BA30">
        <v>32.51547352</v>
      </c>
    </row>
    <row r="31" spans="1:53" x14ac:dyDescent="0.35">
      <c r="A31" s="13">
        <v>26</v>
      </c>
      <c r="B31" s="10" t="s">
        <v>97</v>
      </c>
      <c r="C31">
        <v>10.387359604</v>
      </c>
      <c r="D31">
        <v>6.4277693080000002</v>
      </c>
      <c r="E31">
        <v>0</v>
      </c>
      <c r="F31">
        <v>5.09790538E-2</v>
      </c>
      <c r="G31">
        <v>59.183070868999998</v>
      </c>
      <c r="H31">
        <v>2.1177121755999999</v>
      </c>
      <c r="I31">
        <v>0</v>
      </c>
      <c r="J31">
        <v>11.9473336</v>
      </c>
      <c r="K31">
        <v>0.1873916233</v>
      </c>
      <c r="L31">
        <v>13.36659278</v>
      </c>
      <c r="M31">
        <v>0.34900009869999998</v>
      </c>
      <c r="N31">
        <v>15.173895482000001</v>
      </c>
      <c r="O31">
        <v>199.59407031000001</v>
      </c>
      <c r="P31">
        <v>4.10833938E-2</v>
      </c>
      <c r="Q31">
        <v>1.3997958359</v>
      </c>
      <c r="R31">
        <v>3.2991870399999998E-2</v>
      </c>
      <c r="S31">
        <v>0</v>
      </c>
      <c r="T31">
        <v>0.1427877363</v>
      </c>
      <c r="U31">
        <v>12.716784573</v>
      </c>
      <c r="V31">
        <v>11.796001715999999</v>
      </c>
      <c r="W31">
        <v>0.15347358999999999</v>
      </c>
      <c r="X31">
        <v>1.2138924129999999</v>
      </c>
      <c r="Y31">
        <v>9.4363388600000001E-2</v>
      </c>
      <c r="Z31">
        <v>2.7089069805000001</v>
      </c>
      <c r="AA31">
        <v>61.136751660999998</v>
      </c>
      <c r="AB31">
        <v>1.9343316432</v>
      </c>
      <c r="AC31">
        <v>0.39904324199999996</v>
      </c>
      <c r="AD31">
        <v>0.12512357099999999</v>
      </c>
      <c r="AE31">
        <v>0.45320577150000002</v>
      </c>
      <c r="AF31">
        <v>0</v>
      </c>
      <c r="AG31">
        <v>0</v>
      </c>
      <c r="AH31">
        <v>0</v>
      </c>
      <c r="AI31">
        <v>0</v>
      </c>
      <c r="AJ31">
        <v>0</v>
      </c>
      <c r="AK31">
        <v>0</v>
      </c>
      <c r="AL31">
        <v>0</v>
      </c>
      <c r="AM31">
        <v>0</v>
      </c>
      <c r="AN31">
        <v>0</v>
      </c>
      <c r="AO31">
        <v>0.71494369349999998</v>
      </c>
      <c r="AP31">
        <v>0</v>
      </c>
      <c r="AQ31">
        <v>0</v>
      </c>
      <c r="AR31">
        <v>0</v>
      </c>
      <c r="AS31">
        <v>0</v>
      </c>
      <c r="AT31">
        <v>0</v>
      </c>
      <c r="AU31">
        <v>0</v>
      </c>
      <c r="AV31">
        <v>0</v>
      </c>
      <c r="AW31">
        <v>0</v>
      </c>
      <c r="AX31">
        <v>0</v>
      </c>
      <c r="AY31">
        <v>0</v>
      </c>
      <c r="AZ31">
        <v>0</v>
      </c>
      <c r="BA31">
        <v>0</v>
      </c>
    </row>
    <row r="32" spans="1:53" x14ac:dyDescent="0.35">
      <c r="A32" s="13">
        <v>27</v>
      </c>
      <c r="B32" s="10" t="s">
        <v>98</v>
      </c>
      <c r="C32">
        <v>14.360568968000001</v>
      </c>
      <c r="D32">
        <v>3.82185759</v>
      </c>
      <c r="E32">
        <v>0</v>
      </c>
      <c r="F32">
        <v>3.4657373399999997E-2</v>
      </c>
      <c r="G32">
        <v>45.432929540000003</v>
      </c>
      <c r="H32">
        <v>0.2689105799</v>
      </c>
      <c r="I32">
        <v>0</v>
      </c>
      <c r="J32">
        <v>9.2418292750000006</v>
      </c>
      <c r="K32">
        <v>0.25943639950000003</v>
      </c>
      <c r="L32">
        <v>9.1917674540000007</v>
      </c>
      <c r="M32">
        <v>0.25695164399999998</v>
      </c>
      <c r="N32">
        <v>12.749692122000001</v>
      </c>
      <c r="O32">
        <v>125.38426102</v>
      </c>
      <c r="P32">
        <v>2.2686119300000002E-2</v>
      </c>
      <c r="Q32">
        <v>39.497692362999999</v>
      </c>
      <c r="R32">
        <v>2.6472016599999999E-2</v>
      </c>
      <c r="S32">
        <v>1.1669105900000001E-2</v>
      </c>
      <c r="T32">
        <v>4.8968098000000002E-2</v>
      </c>
      <c r="U32">
        <v>34.755653805000001</v>
      </c>
      <c r="V32">
        <v>15.257873022</v>
      </c>
      <c r="W32">
        <v>0.21411626</v>
      </c>
      <c r="X32">
        <v>1.6544865580000001</v>
      </c>
      <c r="Y32">
        <v>0.1231606655</v>
      </c>
      <c r="Z32">
        <v>1.5973572455</v>
      </c>
      <c r="AA32">
        <v>43.599487607999997</v>
      </c>
      <c r="AB32">
        <v>1.4167594813</v>
      </c>
      <c r="AC32">
        <v>0.27077661000000003</v>
      </c>
      <c r="AD32">
        <v>8.2951497000000013E-2</v>
      </c>
      <c r="AE32">
        <v>0.24348941809999999</v>
      </c>
      <c r="AF32">
        <v>0</v>
      </c>
      <c r="AG32">
        <v>0</v>
      </c>
      <c r="AH32">
        <v>0</v>
      </c>
      <c r="AI32">
        <v>8.7410827600000005E-2</v>
      </c>
      <c r="AJ32">
        <v>0</v>
      </c>
      <c r="AK32">
        <v>8.2478525100000005E-2</v>
      </c>
      <c r="AL32">
        <v>0</v>
      </c>
      <c r="AM32">
        <v>0</v>
      </c>
      <c r="AN32">
        <v>4.9323025000000001E-3</v>
      </c>
      <c r="AO32">
        <v>0.31481642609999999</v>
      </c>
      <c r="AP32">
        <v>0</v>
      </c>
      <c r="AQ32">
        <v>0</v>
      </c>
      <c r="AR32">
        <v>0</v>
      </c>
      <c r="AS32">
        <v>0</v>
      </c>
      <c r="AT32">
        <v>0</v>
      </c>
      <c r="AU32">
        <v>0</v>
      </c>
      <c r="AV32">
        <v>0</v>
      </c>
      <c r="AW32">
        <v>0</v>
      </c>
      <c r="AX32">
        <v>0</v>
      </c>
      <c r="AY32">
        <v>0</v>
      </c>
      <c r="AZ32">
        <v>0</v>
      </c>
      <c r="BA32">
        <v>0</v>
      </c>
    </row>
    <row r="33" spans="1:53" x14ac:dyDescent="0.35">
      <c r="A33" s="13">
        <v>28</v>
      </c>
      <c r="B33" s="10" t="s">
        <v>100</v>
      </c>
      <c r="C33">
        <v>49.439938605000002</v>
      </c>
      <c r="D33">
        <v>4.5683357979999997</v>
      </c>
      <c r="E33">
        <v>0</v>
      </c>
      <c r="F33">
        <v>2.9849085800000001E-2</v>
      </c>
      <c r="G33">
        <v>47.467646641000002</v>
      </c>
      <c r="H33">
        <v>0.2659155191</v>
      </c>
      <c r="I33">
        <v>0</v>
      </c>
      <c r="J33">
        <v>12.02169861</v>
      </c>
      <c r="K33">
        <v>0.125507958</v>
      </c>
      <c r="L33">
        <v>8.8915719598000003</v>
      </c>
      <c r="M33">
        <v>0.2047856975</v>
      </c>
      <c r="N33">
        <v>22.033702122000001</v>
      </c>
      <c r="O33">
        <v>152.94486456999999</v>
      </c>
      <c r="P33">
        <v>3.0640154100000001E-2</v>
      </c>
      <c r="Q33">
        <v>3.1297267818000001</v>
      </c>
      <c r="R33">
        <v>3.5953566899999997E-2</v>
      </c>
      <c r="S33">
        <v>0</v>
      </c>
      <c r="T33">
        <v>5.3811524200000002E-2</v>
      </c>
      <c r="U33">
        <v>27.528333878000002</v>
      </c>
      <c r="V33">
        <v>1.4042935655</v>
      </c>
      <c r="W33">
        <v>0.12534603</v>
      </c>
      <c r="X33">
        <v>2.0330965999999999E-2</v>
      </c>
      <c r="Y33">
        <v>5.3656480100000001E-2</v>
      </c>
      <c r="Z33">
        <v>1.8660125133000001</v>
      </c>
      <c r="AA33">
        <v>45.664209573000001</v>
      </c>
      <c r="AB33">
        <v>1.1190567601999999</v>
      </c>
      <c r="AC33">
        <v>0.23904983700000002</v>
      </c>
      <c r="AD33">
        <v>6.3020538000000001E-2</v>
      </c>
      <c r="AE33">
        <v>0.15898691100000001</v>
      </c>
      <c r="AF33">
        <v>0</v>
      </c>
      <c r="AG33">
        <v>0</v>
      </c>
      <c r="AH33">
        <v>0</v>
      </c>
      <c r="AI33">
        <v>0</v>
      </c>
      <c r="AJ33">
        <v>0</v>
      </c>
      <c r="AK33">
        <v>0</v>
      </c>
      <c r="AL33">
        <v>0</v>
      </c>
      <c r="AM33">
        <v>0</v>
      </c>
      <c r="AN33">
        <v>0</v>
      </c>
      <c r="AO33">
        <v>0.4</v>
      </c>
      <c r="AP33">
        <v>0</v>
      </c>
      <c r="AQ33">
        <v>0</v>
      </c>
      <c r="AR33">
        <v>0</v>
      </c>
      <c r="AS33">
        <v>0</v>
      </c>
      <c r="AT33">
        <v>0</v>
      </c>
      <c r="AU33">
        <v>0</v>
      </c>
      <c r="AV33">
        <v>0</v>
      </c>
      <c r="AW33">
        <v>0</v>
      </c>
      <c r="AX33">
        <v>0</v>
      </c>
      <c r="AY33">
        <v>0</v>
      </c>
      <c r="AZ33">
        <v>0</v>
      </c>
      <c r="BA33">
        <v>0</v>
      </c>
    </row>
    <row r="34" spans="1:53" x14ac:dyDescent="0.35">
      <c r="A34" s="13">
        <v>29</v>
      </c>
      <c r="B34" s="10" t="s">
        <v>101</v>
      </c>
      <c r="C34">
        <v>71.512233291000001</v>
      </c>
      <c r="D34">
        <v>9.4374339460000005</v>
      </c>
      <c r="E34">
        <v>0.7246457462</v>
      </c>
      <c r="F34">
        <v>0.1034499203</v>
      </c>
      <c r="G34">
        <v>209.60370996</v>
      </c>
      <c r="H34">
        <v>2.3265989936000002</v>
      </c>
      <c r="I34">
        <v>52.217717192999999</v>
      </c>
      <c r="J34">
        <v>106.6068799</v>
      </c>
      <c r="K34">
        <v>2.2375155386999999</v>
      </c>
      <c r="L34">
        <v>26.482080776</v>
      </c>
      <c r="M34">
        <v>2.9558846527</v>
      </c>
      <c r="N34">
        <v>111.26124</v>
      </c>
      <c r="O34">
        <v>98.305395442000005</v>
      </c>
      <c r="P34">
        <v>0.1368243166</v>
      </c>
      <c r="Q34">
        <v>239.12135358</v>
      </c>
      <c r="R34">
        <v>0.29553189699999999</v>
      </c>
      <c r="S34">
        <v>1.01514272E-2</v>
      </c>
      <c r="T34">
        <v>0.10360724559999999</v>
      </c>
      <c r="U34">
        <v>6.0233632600000003E-2</v>
      </c>
      <c r="V34">
        <v>1.4098772201000001</v>
      </c>
      <c r="W34">
        <v>0.177734744</v>
      </c>
      <c r="X34">
        <v>1.714561325</v>
      </c>
      <c r="Y34">
        <v>0.72702655849999998</v>
      </c>
      <c r="Z34">
        <v>24.319876531999999</v>
      </c>
      <c r="AA34">
        <v>159.01907009999999</v>
      </c>
      <c r="AB34">
        <v>24.789781579</v>
      </c>
      <c r="AC34">
        <v>8.6761184940000007</v>
      </c>
      <c r="AD34">
        <v>0.88391947500000001</v>
      </c>
      <c r="AE34">
        <v>5.5732330449000003</v>
      </c>
      <c r="AF34">
        <v>2.6370988181000001</v>
      </c>
      <c r="AG34">
        <v>0.12589350329999999</v>
      </c>
      <c r="AH34">
        <v>2.5112053150000002</v>
      </c>
      <c r="AI34">
        <v>1.7256038000000001E-3</v>
      </c>
      <c r="AJ34">
        <v>0</v>
      </c>
      <c r="AK34">
        <v>0</v>
      </c>
      <c r="AL34">
        <v>0</v>
      </c>
      <c r="AM34">
        <v>1.7256038000000001E-3</v>
      </c>
      <c r="AN34">
        <v>0</v>
      </c>
      <c r="AO34">
        <v>6.9519310000000002E-4</v>
      </c>
      <c r="AP34">
        <v>2.3376745999999999E-3</v>
      </c>
      <c r="AQ34">
        <v>1.8101918999999999E-3</v>
      </c>
      <c r="AR34">
        <v>0</v>
      </c>
      <c r="AS34">
        <v>0</v>
      </c>
      <c r="AT34">
        <v>1.810192E-3</v>
      </c>
      <c r="AU34">
        <v>0</v>
      </c>
      <c r="AV34">
        <v>0</v>
      </c>
      <c r="AW34">
        <v>1.810192E-3</v>
      </c>
      <c r="AX34">
        <v>0</v>
      </c>
      <c r="AY34">
        <v>0</v>
      </c>
      <c r="AZ34">
        <v>1.3755343518000001</v>
      </c>
      <c r="BA34">
        <v>7.1817700433000002</v>
      </c>
    </row>
    <row r="35" spans="1:53" x14ac:dyDescent="0.35">
      <c r="A35" s="13">
        <v>30</v>
      </c>
      <c r="B35" s="10" t="s">
        <v>103</v>
      </c>
      <c r="C35">
        <v>69.211095303999997</v>
      </c>
      <c r="D35">
        <v>16.451916919999999</v>
      </c>
      <c r="E35">
        <v>4.6622061700000002E-2</v>
      </c>
      <c r="F35">
        <v>0.18768187219999999</v>
      </c>
      <c r="G35">
        <v>202.38551222999999</v>
      </c>
      <c r="H35">
        <v>4.4913114927000004</v>
      </c>
      <c r="I35">
        <v>0.43271644240000001</v>
      </c>
      <c r="J35">
        <v>32.851547480000001</v>
      </c>
      <c r="K35">
        <v>1.6189730931999999</v>
      </c>
      <c r="L35">
        <v>59.358501367000002</v>
      </c>
      <c r="M35">
        <v>3.5104525664000001</v>
      </c>
      <c r="N35">
        <v>168.18119000999999</v>
      </c>
      <c r="O35">
        <v>167.64521091</v>
      </c>
      <c r="P35">
        <v>0.12059322140000001</v>
      </c>
      <c r="Q35">
        <v>227.49685260000001</v>
      </c>
      <c r="R35">
        <v>0.2555914621</v>
      </c>
      <c r="S35">
        <v>5.4147240000000001E-4</v>
      </c>
      <c r="T35">
        <v>0.18529762289999999</v>
      </c>
      <c r="U35">
        <v>1.98297947E-2</v>
      </c>
      <c r="V35">
        <v>0.1924781103</v>
      </c>
      <c r="W35">
        <v>0.37307948200000002</v>
      </c>
      <c r="X35">
        <v>2.4818577190000002</v>
      </c>
      <c r="Y35">
        <v>1.2763105683</v>
      </c>
      <c r="Z35">
        <v>31.235450113999999</v>
      </c>
      <c r="AA35">
        <v>145.40566111000001</v>
      </c>
      <c r="AB35">
        <v>26.237582185000001</v>
      </c>
      <c r="AC35">
        <v>8.2783903770000009</v>
      </c>
      <c r="AD35">
        <v>0.71412298200000002</v>
      </c>
      <c r="AE35">
        <v>7.2625167252000002</v>
      </c>
      <c r="AF35">
        <v>2.5566516746999999</v>
      </c>
      <c r="AG35">
        <v>2.2973453172</v>
      </c>
      <c r="AH35">
        <v>0.25930635800000001</v>
      </c>
      <c r="AI35">
        <v>0</v>
      </c>
      <c r="AJ35">
        <v>0</v>
      </c>
      <c r="AK35">
        <v>0</v>
      </c>
      <c r="AL35">
        <v>0</v>
      </c>
      <c r="AM35">
        <v>0</v>
      </c>
      <c r="AN35">
        <v>0</v>
      </c>
      <c r="AO35">
        <v>3.3866290000000003E-4</v>
      </c>
      <c r="AP35">
        <v>8.1090830000000004E-4</v>
      </c>
      <c r="AQ35">
        <v>1.29540942E-2</v>
      </c>
      <c r="AR35">
        <v>0</v>
      </c>
      <c r="AS35">
        <v>0</v>
      </c>
      <c r="AT35">
        <v>0</v>
      </c>
      <c r="AU35">
        <v>0</v>
      </c>
      <c r="AV35">
        <v>1.2954093999999999E-2</v>
      </c>
      <c r="AW35">
        <v>0</v>
      </c>
      <c r="AX35">
        <v>0</v>
      </c>
      <c r="AY35">
        <v>1.2954093999999999E-2</v>
      </c>
      <c r="AZ35">
        <v>1.5118740842</v>
      </c>
      <c r="BA35">
        <v>8.8681033552000006</v>
      </c>
    </row>
    <row r="36" spans="1:53" x14ac:dyDescent="0.35">
      <c r="A36" s="13">
        <v>31</v>
      </c>
      <c r="B36" s="10" t="s">
        <v>105</v>
      </c>
      <c r="C36">
        <v>84.682488879000005</v>
      </c>
      <c r="D36">
        <v>11.24603797</v>
      </c>
      <c r="E36">
        <v>0.2724384031</v>
      </c>
      <c r="F36">
        <v>0.1220149735</v>
      </c>
      <c r="G36">
        <v>249.25872408000001</v>
      </c>
      <c r="H36">
        <v>2.2806882378000002</v>
      </c>
      <c r="I36">
        <v>61.350909901999998</v>
      </c>
      <c r="J36">
        <v>136.5685848</v>
      </c>
      <c r="K36">
        <v>2.8467727318999998</v>
      </c>
      <c r="L36">
        <v>27.464470454000001</v>
      </c>
      <c r="M36">
        <v>3.5747583342000002</v>
      </c>
      <c r="N36">
        <v>96.266395915999993</v>
      </c>
      <c r="O36">
        <v>113.06442633</v>
      </c>
      <c r="P36">
        <v>0.24186166179999999</v>
      </c>
      <c r="Q36">
        <v>383.13957851999999</v>
      </c>
      <c r="R36">
        <v>0.43933425929999997</v>
      </c>
      <c r="S36">
        <v>5.3210628699999998E-2</v>
      </c>
      <c r="T36">
        <v>8.5112573999999996E-2</v>
      </c>
      <c r="U36">
        <v>0.34413349609999999</v>
      </c>
      <c r="V36">
        <v>2.8257090306000001</v>
      </c>
      <c r="W36">
        <v>0.31273118799999999</v>
      </c>
      <c r="X36">
        <v>4.4987448790000002</v>
      </c>
      <c r="Y36">
        <v>0.81638970119999998</v>
      </c>
      <c r="Z36">
        <v>33.267621963000003</v>
      </c>
      <c r="AA36">
        <v>176.51427348999999</v>
      </c>
      <c r="AB36">
        <v>38.472935919999998</v>
      </c>
      <c r="AC36">
        <v>12.566226123</v>
      </c>
      <c r="AD36">
        <v>0.86064615899999997</v>
      </c>
      <c r="AE36">
        <v>10.212876671</v>
      </c>
      <c r="AF36">
        <v>3.0260340291999999</v>
      </c>
      <c r="AG36">
        <v>0.1008695403</v>
      </c>
      <c r="AH36">
        <v>2.9251644890000001</v>
      </c>
      <c r="AI36">
        <v>0</v>
      </c>
      <c r="AJ36">
        <v>0</v>
      </c>
      <c r="AK36">
        <v>0</v>
      </c>
      <c r="AL36">
        <v>0</v>
      </c>
      <c r="AM36">
        <v>0</v>
      </c>
      <c r="AN36">
        <v>0</v>
      </c>
      <c r="AO36">
        <v>6.5479848999999996E-3</v>
      </c>
      <c r="AP36">
        <v>1.0179637700000001E-2</v>
      </c>
      <c r="AQ36">
        <v>6.631273E-4</v>
      </c>
      <c r="AR36">
        <v>0</v>
      </c>
      <c r="AS36">
        <v>0</v>
      </c>
      <c r="AT36" s="14">
        <v>4.6745600000000002E-5</v>
      </c>
      <c r="AU36" s="14">
        <v>4.8789799999999998E-5</v>
      </c>
      <c r="AV36">
        <v>5.6759200000000001E-4</v>
      </c>
      <c r="AW36" s="14">
        <v>4.6745600000000002E-5</v>
      </c>
      <c r="AX36">
        <v>0</v>
      </c>
      <c r="AY36">
        <v>6.1638199999999995E-4</v>
      </c>
      <c r="AZ36">
        <v>2.4926220360000002</v>
      </c>
      <c r="BA36">
        <v>10.857959398</v>
      </c>
    </row>
    <row r="37" spans="1:53" x14ac:dyDescent="0.35">
      <c r="A37" s="13">
        <v>32</v>
      </c>
      <c r="B37" s="10" t="s">
        <v>106</v>
      </c>
      <c r="C37">
        <v>136.85851665000001</v>
      </c>
      <c r="D37">
        <v>21.156279619999999</v>
      </c>
      <c r="E37">
        <v>0.3861526354</v>
      </c>
      <c r="F37">
        <v>0.19856382119999999</v>
      </c>
      <c r="G37">
        <v>212.03475125</v>
      </c>
      <c r="H37">
        <v>4.9956343460000001</v>
      </c>
      <c r="I37">
        <v>3.0696190580999998</v>
      </c>
      <c r="J37">
        <v>43.118305820000003</v>
      </c>
      <c r="K37">
        <v>2.1293402319000001</v>
      </c>
      <c r="L37">
        <v>63.880751494999998</v>
      </c>
      <c r="M37">
        <v>3.4964461821000001</v>
      </c>
      <c r="N37">
        <v>176.00666519000001</v>
      </c>
      <c r="O37">
        <v>199.42261735</v>
      </c>
      <c r="P37">
        <v>0.1456841035</v>
      </c>
      <c r="Q37">
        <v>283.54026651999999</v>
      </c>
      <c r="R37">
        <v>0.31554986140000002</v>
      </c>
      <c r="S37">
        <v>2.4506490000000001E-3</v>
      </c>
      <c r="T37">
        <v>0.1937381497</v>
      </c>
      <c r="U37">
        <v>0</v>
      </c>
      <c r="V37">
        <v>5.7814496184999999</v>
      </c>
      <c r="W37">
        <v>0.59920198700000005</v>
      </c>
      <c r="X37">
        <v>5.656672296</v>
      </c>
      <c r="Y37">
        <v>1.4317545128</v>
      </c>
      <c r="Z37">
        <v>36.911390802</v>
      </c>
      <c r="AA37">
        <v>146.80474626</v>
      </c>
      <c r="AB37">
        <v>29.497783925</v>
      </c>
      <c r="AC37">
        <v>11.568810573</v>
      </c>
      <c r="AD37">
        <v>1.09618002</v>
      </c>
      <c r="AE37">
        <v>6.4663677562000004</v>
      </c>
      <c r="AF37">
        <v>2.7980512024999999</v>
      </c>
      <c r="AG37">
        <v>2.7792519701999998</v>
      </c>
      <c r="AH37">
        <v>1.8799231999999999E-2</v>
      </c>
      <c r="AI37">
        <v>0</v>
      </c>
      <c r="AJ37">
        <v>0</v>
      </c>
      <c r="AK37">
        <v>0</v>
      </c>
      <c r="AL37">
        <v>0</v>
      </c>
      <c r="AM37">
        <v>0</v>
      </c>
      <c r="AN37">
        <v>0</v>
      </c>
      <c r="AO37">
        <v>0</v>
      </c>
      <c r="AP37">
        <v>2.9734541E-3</v>
      </c>
      <c r="AQ37">
        <v>0</v>
      </c>
      <c r="AR37">
        <v>0</v>
      </c>
      <c r="AS37">
        <v>0</v>
      </c>
      <c r="AT37">
        <v>0</v>
      </c>
      <c r="AU37">
        <v>0</v>
      </c>
      <c r="AV37">
        <v>0</v>
      </c>
      <c r="AW37">
        <v>0</v>
      </c>
      <c r="AX37">
        <v>0</v>
      </c>
      <c r="AY37">
        <v>0</v>
      </c>
      <c r="AZ37">
        <v>1.6793496983</v>
      </c>
      <c r="BA37">
        <v>10.895048254000001</v>
      </c>
    </row>
    <row r="38" spans="1:53" x14ac:dyDescent="0.35">
      <c r="A38" s="13">
        <v>33</v>
      </c>
      <c r="B38" s="10" t="s">
        <v>107</v>
      </c>
      <c r="C38">
        <v>39.00513041</v>
      </c>
      <c r="D38">
        <v>82.225205320000001</v>
      </c>
      <c r="E38">
        <v>87.860129221999998</v>
      </c>
      <c r="F38">
        <v>9.7171917400000002E-2</v>
      </c>
      <c r="G38">
        <v>270.17778486999998</v>
      </c>
      <c r="H38">
        <v>0.60350346519999998</v>
      </c>
      <c r="I38">
        <v>7.5288908621999999</v>
      </c>
      <c r="J38">
        <v>18.825473639999998</v>
      </c>
      <c r="K38">
        <v>1.4803844547</v>
      </c>
      <c r="L38">
        <v>29.502963576999999</v>
      </c>
      <c r="M38">
        <v>6.5356576835000002</v>
      </c>
      <c r="N38">
        <v>247.51291216000001</v>
      </c>
      <c r="O38">
        <v>387.47146484000001</v>
      </c>
      <c r="P38">
        <v>0.3044299265</v>
      </c>
      <c r="Q38">
        <v>405.72265931999999</v>
      </c>
      <c r="R38">
        <v>0.61880428119999997</v>
      </c>
      <c r="S38">
        <v>0.72162901130000001</v>
      </c>
      <c r="T38">
        <v>0.4509519266</v>
      </c>
      <c r="U38">
        <v>0.19205543219999999</v>
      </c>
      <c r="V38">
        <v>9.4657929997999997</v>
      </c>
      <c r="W38">
        <v>0.60089150599999996</v>
      </c>
      <c r="X38">
        <v>5.0441715900000004</v>
      </c>
      <c r="Y38">
        <v>2.4029840618999998</v>
      </c>
      <c r="Z38">
        <v>100.74027568</v>
      </c>
      <c r="AA38">
        <v>41.134065184999997</v>
      </c>
      <c r="AB38">
        <v>122.65315849</v>
      </c>
      <c r="AC38">
        <v>20.459523689999997</v>
      </c>
      <c r="AD38">
        <v>1.8938783159999999</v>
      </c>
      <c r="AE38">
        <v>36.513037832999998</v>
      </c>
      <c r="AF38">
        <v>0.6505279142</v>
      </c>
      <c r="AG38">
        <v>0</v>
      </c>
      <c r="AH38">
        <v>0.65052791399999998</v>
      </c>
      <c r="AI38">
        <v>2.944721E-3</v>
      </c>
      <c r="AJ38">
        <v>0</v>
      </c>
      <c r="AK38">
        <v>2.944721E-3</v>
      </c>
      <c r="AL38">
        <v>0</v>
      </c>
      <c r="AM38">
        <v>0</v>
      </c>
      <c r="AN38">
        <v>0</v>
      </c>
      <c r="AO38">
        <v>0</v>
      </c>
      <c r="AP38">
        <v>1.3407782E-3</v>
      </c>
      <c r="AQ38">
        <v>2.7314566349999998</v>
      </c>
      <c r="AR38">
        <v>2.633955958</v>
      </c>
      <c r="AS38">
        <v>0</v>
      </c>
      <c r="AT38">
        <v>9.7500676999999994E-2</v>
      </c>
      <c r="AU38">
        <v>0</v>
      </c>
      <c r="AV38">
        <v>0</v>
      </c>
      <c r="AW38">
        <v>2.7314566349999998</v>
      </c>
      <c r="AX38">
        <v>0</v>
      </c>
      <c r="AY38">
        <v>0</v>
      </c>
      <c r="AZ38">
        <v>2.9268689382000002</v>
      </c>
      <c r="BA38">
        <v>5.8501118830000003</v>
      </c>
    </row>
    <row r="39" spans="1:53" x14ac:dyDescent="0.35">
      <c r="A39" s="13">
        <v>34</v>
      </c>
      <c r="B39" s="10" t="s">
        <v>109</v>
      </c>
      <c r="C39">
        <v>21.584944737000001</v>
      </c>
      <c r="D39">
        <v>96.069134829999996</v>
      </c>
      <c r="E39">
        <v>94.424598911000004</v>
      </c>
      <c r="F39">
        <v>9.9269032800000004E-2</v>
      </c>
      <c r="G39">
        <v>290.87559413999998</v>
      </c>
      <c r="H39">
        <v>0</v>
      </c>
      <c r="I39">
        <v>0</v>
      </c>
      <c r="J39">
        <v>6.9095184520000004</v>
      </c>
      <c r="K39">
        <v>2.4242800992000002</v>
      </c>
      <c r="L39">
        <v>21.021581174000001</v>
      </c>
      <c r="M39">
        <v>5.0817804108000004</v>
      </c>
      <c r="N39">
        <v>212.19896163999999</v>
      </c>
      <c r="O39">
        <v>303.15330764999999</v>
      </c>
      <c r="P39">
        <v>0.2368894071</v>
      </c>
      <c r="Q39">
        <v>184.82933277999999</v>
      </c>
      <c r="R39">
        <v>0.13098151729999999</v>
      </c>
      <c r="S39">
        <v>2.1205918924999998</v>
      </c>
      <c r="T39">
        <v>0.40903948950000002</v>
      </c>
      <c r="U39">
        <v>3.4339931099999998E-2</v>
      </c>
      <c r="V39">
        <v>2.5597522672999999</v>
      </c>
      <c r="W39">
        <v>0.24917910099999999</v>
      </c>
      <c r="X39">
        <v>1.416316576</v>
      </c>
      <c r="Y39">
        <v>5.9619892582</v>
      </c>
      <c r="Z39">
        <v>114.83899975999999</v>
      </c>
      <c r="AA39">
        <v>0</v>
      </c>
      <c r="AB39">
        <v>168.55859007000001</v>
      </c>
      <c r="AC39">
        <v>7.4877815339999998</v>
      </c>
      <c r="AD39">
        <v>0.83550869099999991</v>
      </c>
      <c r="AE39">
        <v>66.336311004999999</v>
      </c>
      <c r="AF39">
        <v>0</v>
      </c>
      <c r="AG39">
        <v>0</v>
      </c>
      <c r="AH39">
        <v>0</v>
      </c>
      <c r="AI39">
        <v>0</v>
      </c>
      <c r="AJ39">
        <v>0</v>
      </c>
      <c r="AK39">
        <v>0</v>
      </c>
      <c r="AL39">
        <v>0</v>
      </c>
      <c r="AM39">
        <v>0</v>
      </c>
      <c r="AN39">
        <v>0</v>
      </c>
      <c r="AO39">
        <v>0</v>
      </c>
      <c r="AP39">
        <v>0</v>
      </c>
      <c r="AQ39">
        <v>2.9964094989999999</v>
      </c>
      <c r="AR39">
        <v>2.9964094989999999</v>
      </c>
      <c r="AS39">
        <v>0</v>
      </c>
      <c r="AT39">
        <v>0</v>
      </c>
      <c r="AU39">
        <v>0</v>
      </c>
      <c r="AV39">
        <v>0</v>
      </c>
      <c r="AW39">
        <v>2.9964094989999999</v>
      </c>
      <c r="AX39">
        <v>0</v>
      </c>
      <c r="AY39">
        <v>0</v>
      </c>
      <c r="AZ39">
        <v>0</v>
      </c>
      <c r="BA39">
        <v>0</v>
      </c>
    </row>
    <row r="40" spans="1:53" x14ac:dyDescent="0.35">
      <c r="A40" s="13">
        <v>35</v>
      </c>
      <c r="B40" s="10" t="s">
        <v>110</v>
      </c>
      <c r="C40">
        <v>10.338568938</v>
      </c>
      <c r="D40">
        <v>85.233404429999993</v>
      </c>
      <c r="E40">
        <v>100.95524157</v>
      </c>
      <c r="F40">
        <v>0.1395174545</v>
      </c>
      <c r="G40">
        <v>191.64198880999999</v>
      </c>
      <c r="H40">
        <v>1.10660593E-2</v>
      </c>
      <c r="I40">
        <v>0.47952923829999999</v>
      </c>
      <c r="J40">
        <v>2.7564337879999998</v>
      </c>
      <c r="K40">
        <v>0.89005138480000001</v>
      </c>
      <c r="L40">
        <v>28.188220531999999</v>
      </c>
      <c r="M40">
        <v>7.3187025739999996</v>
      </c>
      <c r="N40">
        <v>266.01204766000001</v>
      </c>
      <c r="O40">
        <v>432.92200088999999</v>
      </c>
      <c r="P40">
        <v>0.29705960640000001</v>
      </c>
      <c r="Q40">
        <v>293.85992915000003</v>
      </c>
      <c r="R40">
        <v>0.57730519499999999</v>
      </c>
      <c r="S40">
        <v>1.0630145531999999</v>
      </c>
      <c r="T40">
        <v>0.51903921740000003</v>
      </c>
      <c r="U40">
        <v>8.3169284999999996E-2</v>
      </c>
      <c r="V40">
        <v>34.149840664000003</v>
      </c>
      <c r="W40">
        <v>0.23286229</v>
      </c>
      <c r="X40">
        <v>0.16771813599999999</v>
      </c>
      <c r="Y40">
        <v>2.4533347502999998</v>
      </c>
      <c r="Z40">
        <v>111.60086984</v>
      </c>
      <c r="AA40">
        <v>1.6841228772000001</v>
      </c>
      <c r="AB40">
        <v>72.301293200000003</v>
      </c>
      <c r="AC40">
        <v>8.1177059249999992</v>
      </c>
      <c r="AD40">
        <v>0.34548785999999998</v>
      </c>
      <c r="AE40">
        <v>23.719506062000001</v>
      </c>
      <c r="AF40">
        <v>2.95094916E-2</v>
      </c>
      <c r="AG40">
        <v>0</v>
      </c>
      <c r="AH40">
        <v>2.9509491999999998E-2</v>
      </c>
      <c r="AI40">
        <v>0</v>
      </c>
      <c r="AJ40">
        <v>0</v>
      </c>
      <c r="AK40">
        <v>0</v>
      </c>
      <c r="AL40">
        <v>0</v>
      </c>
      <c r="AM40">
        <v>0</v>
      </c>
      <c r="AN40">
        <v>0</v>
      </c>
      <c r="AO40">
        <v>0</v>
      </c>
      <c r="AP40">
        <v>0</v>
      </c>
      <c r="AQ40">
        <v>3.4285735881999999</v>
      </c>
      <c r="AR40">
        <v>3.2154801810000002</v>
      </c>
      <c r="AS40">
        <v>0</v>
      </c>
      <c r="AT40">
        <v>5.1641609999999996E-3</v>
      </c>
      <c r="AU40">
        <v>0</v>
      </c>
      <c r="AV40">
        <v>0</v>
      </c>
      <c r="AW40">
        <v>3.4285735879999999</v>
      </c>
      <c r="AX40">
        <v>0</v>
      </c>
      <c r="AY40">
        <v>0</v>
      </c>
      <c r="AZ40">
        <v>0</v>
      </c>
      <c r="BA40">
        <v>0</v>
      </c>
    </row>
    <row r="41" spans="1:53" x14ac:dyDescent="0.35">
      <c r="A41" s="13">
        <v>36</v>
      </c>
      <c r="B41" s="10" t="s">
        <v>112</v>
      </c>
      <c r="C41">
        <v>14.716372250999999</v>
      </c>
      <c r="D41">
        <v>87.151014599999996</v>
      </c>
      <c r="E41">
        <v>81.103644494999998</v>
      </c>
      <c r="F41">
        <v>8.1478688800000004E-2</v>
      </c>
      <c r="G41">
        <v>173.90812129</v>
      </c>
      <c r="H41">
        <v>0</v>
      </c>
      <c r="I41">
        <v>0</v>
      </c>
      <c r="J41">
        <v>7.1015692440000002</v>
      </c>
      <c r="K41">
        <v>2.2861608550999999</v>
      </c>
      <c r="L41">
        <v>20.480289110000001</v>
      </c>
      <c r="M41">
        <v>7.2649255003000004</v>
      </c>
      <c r="N41">
        <v>233.74442205</v>
      </c>
      <c r="O41">
        <v>345.45807403999999</v>
      </c>
      <c r="P41">
        <v>0.26958429229999997</v>
      </c>
      <c r="Q41">
        <v>119.80814682</v>
      </c>
      <c r="R41">
        <v>0.16236363440000001</v>
      </c>
      <c r="S41">
        <v>1.6007627726</v>
      </c>
      <c r="T41">
        <v>0.55944171200000004</v>
      </c>
      <c r="U41">
        <v>5.48114133E-2</v>
      </c>
      <c r="V41">
        <v>2.3561601901000002</v>
      </c>
      <c r="W41">
        <v>0.301379118</v>
      </c>
      <c r="X41">
        <v>1.3582723569999999</v>
      </c>
      <c r="Y41">
        <v>4.6904344289999997</v>
      </c>
      <c r="Z41">
        <v>116.86944855</v>
      </c>
      <c r="AA41">
        <v>0.18328367179999999</v>
      </c>
      <c r="AB41">
        <v>52.225013459000003</v>
      </c>
      <c r="AC41">
        <v>2.7466321229999999</v>
      </c>
      <c r="AD41">
        <v>0.13411371599999999</v>
      </c>
      <c r="AE41">
        <v>19.829679002999999</v>
      </c>
      <c r="AF41">
        <v>2.6309478000000001E-3</v>
      </c>
      <c r="AG41">
        <v>0</v>
      </c>
      <c r="AH41">
        <v>2.6309480000000001E-3</v>
      </c>
      <c r="AI41">
        <v>0</v>
      </c>
      <c r="AJ41">
        <v>0</v>
      </c>
      <c r="AK41">
        <v>0</v>
      </c>
      <c r="AL41">
        <v>0</v>
      </c>
      <c r="AM41">
        <v>0</v>
      </c>
      <c r="AN41">
        <v>0</v>
      </c>
      <c r="AO41">
        <v>0</v>
      </c>
      <c r="AP41">
        <v>0</v>
      </c>
      <c r="AQ41">
        <v>3.4818141684000001</v>
      </c>
      <c r="AR41">
        <v>3.4690283100000001</v>
      </c>
      <c r="AS41">
        <v>0</v>
      </c>
      <c r="AT41">
        <v>2.6309480000000001E-3</v>
      </c>
      <c r="AU41">
        <v>0</v>
      </c>
      <c r="AV41">
        <v>0</v>
      </c>
      <c r="AW41">
        <v>3.4818141680000001</v>
      </c>
      <c r="AX41">
        <v>0</v>
      </c>
      <c r="AY41">
        <v>0</v>
      </c>
      <c r="AZ41">
        <v>0</v>
      </c>
      <c r="BA41">
        <v>0</v>
      </c>
    </row>
    <row r="42" spans="1:53" x14ac:dyDescent="0.35">
      <c r="A42" s="13">
        <v>37</v>
      </c>
      <c r="B42" s="10" t="s">
        <v>113</v>
      </c>
      <c r="C42">
        <v>18.079365931000002</v>
      </c>
      <c r="D42">
        <v>57.687944479999999</v>
      </c>
      <c r="E42">
        <v>58.41045707</v>
      </c>
      <c r="F42">
        <v>6.2553924600000005E-2</v>
      </c>
      <c r="G42">
        <v>186.57962671000001</v>
      </c>
      <c r="H42">
        <v>2.0578480600000001E-2</v>
      </c>
      <c r="I42">
        <v>1.0240512199999999E-2</v>
      </c>
      <c r="J42">
        <v>3.0089393580000001</v>
      </c>
      <c r="K42">
        <v>0.87182898350000004</v>
      </c>
      <c r="L42">
        <v>18.400375725</v>
      </c>
      <c r="M42">
        <v>5.5325331687999997</v>
      </c>
      <c r="N42">
        <v>223.13150256</v>
      </c>
      <c r="O42">
        <v>379.98173809000002</v>
      </c>
      <c r="P42">
        <v>0.2019809444</v>
      </c>
      <c r="Q42">
        <v>1014.235724</v>
      </c>
      <c r="R42">
        <v>0.24314853659999999</v>
      </c>
      <c r="S42">
        <v>0.66664970109999999</v>
      </c>
      <c r="T42">
        <v>0.33783635090000003</v>
      </c>
      <c r="U42">
        <v>0.74165042380000001</v>
      </c>
      <c r="V42">
        <v>9.2181408773999998</v>
      </c>
      <c r="W42">
        <v>0.36087560200000002</v>
      </c>
      <c r="X42">
        <v>0.509591409</v>
      </c>
      <c r="Y42">
        <v>1.758941104</v>
      </c>
      <c r="Z42">
        <v>66.277786859000003</v>
      </c>
      <c r="AA42">
        <v>8.4467848912000001</v>
      </c>
      <c r="AB42">
        <v>109.41518128</v>
      </c>
      <c r="AC42">
        <v>13.925508750000001</v>
      </c>
      <c r="AD42">
        <v>0.82442425499999994</v>
      </c>
      <c r="AE42">
        <v>36.938101488999997</v>
      </c>
      <c r="AF42">
        <v>1.4971216999999999E-3</v>
      </c>
      <c r="AG42">
        <v>0</v>
      </c>
      <c r="AH42">
        <v>1.497122E-3</v>
      </c>
      <c r="AI42">
        <v>5.5819500000000003E-5</v>
      </c>
      <c r="AJ42">
        <v>0</v>
      </c>
      <c r="AK42" s="14">
        <v>5.5037325000000001E-6</v>
      </c>
      <c r="AL42">
        <v>0</v>
      </c>
      <c r="AM42">
        <v>0</v>
      </c>
      <c r="AN42">
        <v>5.0315799999999997E-5</v>
      </c>
      <c r="AO42">
        <v>0</v>
      </c>
      <c r="AP42">
        <v>5.3199560000000005E-4</v>
      </c>
      <c r="AQ42">
        <v>3.2779318218000002</v>
      </c>
      <c r="AR42">
        <v>0</v>
      </c>
      <c r="AS42">
        <v>1.3453600000000001E-3</v>
      </c>
      <c r="AT42">
        <v>1.03514E-4</v>
      </c>
      <c r="AU42">
        <v>1.0898629999999999E-3</v>
      </c>
      <c r="AV42">
        <v>0</v>
      </c>
      <c r="AW42">
        <v>3.276841959</v>
      </c>
      <c r="AX42">
        <v>0</v>
      </c>
      <c r="AY42">
        <v>1.0898629999999999E-3</v>
      </c>
      <c r="AZ42">
        <v>0.1076890284</v>
      </c>
      <c r="BA42">
        <v>1.5354743676</v>
      </c>
    </row>
    <row r="43" spans="1:53" x14ac:dyDescent="0.35">
      <c r="A43" s="13">
        <v>38</v>
      </c>
      <c r="B43" s="10" t="s">
        <v>115</v>
      </c>
      <c r="C43">
        <v>39.477694313999997</v>
      </c>
      <c r="D43">
        <v>27.62934469</v>
      </c>
      <c r="E43">
        <v>1.6058224216999999</v>
      </c>
      <c r="F43">
        <v>0.19331873939999999</v>
      </c>
      <c r="G43">
        <v>118.80649217</v>
      </c>
      <c r="H43">
        <v>6.1826474511000002</v>
      </c>
      <c r="I43">
        <v>0</v>
      </c>
      <c r="J43">
        <v>99.931615730000004</v>
      </c>
      <c r="K43">
        <v>1.9517738862</v>
      </c>
      <c r="L43">
        <v>39.683199428999998</v>
      </c>
      <c r="M43">
        <v>0.61440570890000001</v>
      </c>
      <c r="N43">
        <v>107.87972633</v>
      </c>
      <c r="O43">
        <v>392.07761563999998</v>
      </c>
      <c r="P43">
        <v>6.1833752499999999E-2</v>
      </c>
      <c r="Q43">
        <v>216.51639007</v>
      </c>
      <c r="R43">
        <v>0.13753745270000001</v>
      </c>
      <c r="S43">
        <v>4.9178311699999998E-2</v>
      </c>
      <c r="T43">
        <v>0.1549885211</v>
      </c>
      <c r="U43">
        <v>2.4100940307999998</v>
      </c>
      <c r="V43">
        <v>6.3978165918999998</v>
      </c>
      <c r="W43">
        <v>1.222410657</v>
      </c>
      <c r="X43">
        <v>4.959961013</v>
      </c>
      <c r="Y43">
        <v>0.84321196570000001</v>
      </c>
      <c r="Z43">
        <v>27.245325535999999</v>
      </c>
      <c r="AA43">
        <v>75.090149737000004</v>
      </c>
      <c r="AB43">
        <v>20.585646476000001</v>
      </c>
      <c r="AC43">
        <v>5.8862420819999999</v>
      </c>
      <c r="AD43">
        <v>1.4107902300000001</v>
      </c>
      <c r="AE43">
        <v>3.7702342289000002</v>
      </c>
      <c r="AF43">
        <v>0</v>
      </c>
      <c r="AG43">
        <v>0</v>
      </c>
      <c r="AH43">
        <v>0</v>
      </c>
      <c r="AI43">
        <v>0.49818620079999998</v>
      </c>
      <c r="AJ43">
        <v>0</v>
      </c>
      <c r="AK43">
        <v>0.11695269279999999</v>
      </c>
      <c r="AL43">
        <v>0.381233508</v>
      </c>
      <c r="AM43">
        <v>0</v>
      </c>
      <c r="AN43">
        <v>0</v>
      </c>
      <c r="AO43">
        <v>0</v>
      </c>
      <c r="AP43">
        <v>0</v>
      </c>
      <c r="AQ43">
        <v>5.8211062799999998E-2</v>
      </c>
      <c r="AR43">
        <v>5.8211063E-2</v>
      </c>
      <c r="AS43">
        <v>0</v>
      </c>
      <c r="AT43">
        <v>0</v>
      </c>
      <c r="AU43">
        <v>0</v>
      </c>
      <c r="AV43">
        <v>0</v>
      </c>
      <c r="AW43">
        <v>5.8211063E-2</v>
      </c>
      <c r="AX43">
        <v>0</v>
      </c>
      <c r="AY43">
        <v>0</v>
      </c>
      <c r="AZ43">
        <v>1.5233791466</v>
      </c>
      <c r="BA43">
        <v>0</v>
      </c>
    </row>
    <row r="44" spans="1:53" x14ac:dyDescent="0.35">
      <c r="A44" s="13">
        <v>39</v>
      </c>
      <c r="B44" s="10" t="s">
        <v>117</v>
      </c>
      <c r="C44">
        <v>33.513267001000003</v>
      </c>
      <c r="D44">
        <v>26.18238144</v>
      </c>
      <c r="E44">
        <v>0.68920656039999995</v>
      </c>
      <c r="F44">
        <v>0.1468690013</v>
      </c>
      <c r="G44">
        <v>86.287961641999999</v>
      </c>
      <c r="H44">
        <v>4.1820384004999998</v>
      </c>
      <c r="I44">
        <v>0</v>
      </c>
      <c r="J44">
        <v>27.502608670000001</v>
      </c>
      <c r="K44">
        <v>1.3248078589000001</v>
      </c>
      <c r="L44">
        <v>30.139706802999999</v>
      </c>
      <c r="M44">
        <v>0.42401503639999999</v>
      </c>
      <c r="N44">
        <v>86.214999790999997</v>
      </c>
      <c r="O44">
        <v>267.0077139</v>
      </c>
      <c r="P44">
        <v>3.0718057999999999E-2</v>
      </c>
      <c r="Q44">
        <v>384.95147319</v>
      </c>
      <c r="R44">
        <v>7.8932475200000005E-2</v>
      </c>
      <c r="S44">
        <v>1.0156728300000001E-2</v>
      </c>
      <c r="T44">
        <v>9.3162831400000007E-2</v>
      </c>
      <c r="U44">
        <v>0.80473664249999999</v>
      </c>
      <c r="V44">
        <v>3.9544491794000001</v>
      </c>
      <c r="W44">
        <v>0.14386733700000001</v>
      </c>
      <c r="X44">
        <v>1.503110503</v>
      </c>
      <c r="Y44">
        <v>1.4940428985</v>
      </c>
      <c r="Z44">
        <v>19.430267050000001</v>
      </c>
      <c r="AA44">
        <v>69.102427930000005</v>
      </c>
      <c r="AB44">
        <v>5.1457315097</v>
      </c>
      <c r="AC44">
        <v>0.89325026100000005</v>
      </c>
      <c r="AD44">
        <v>0.64040478300000003</v>
      </c>
      <c r="AE44">
        <v>1.3682776611</v>
      </c>
      <c r="AF44">
        <v>0</v>
      </c>
      <c r="AG44">
        <v>0</v>
      </c>
      <c r="AH44">
        <v>0</v>
      </c>
      <c r="AI44">
        <v>0.48626191419999998</v>
      </c>
      <c r="AJ44">
        <v>0</v>
      </c>
      <c r="AK44">
        <v>7.1168025100000004E-2</v>
      </c>
      <c r="AL44">
        <v>0.4083370046</v>
      </c>
      <c r="AM44">
        <v>0</v>
      </c>
      <c r="AN44">
        <v>6.7568845000000001E-3</v>
      </c>
      <c r="AO44">
        <v>0</v>
      </c>
      <c r="AP44">
        <v>0</v>
      </c>
      <c r="AQ44">
        <v>3.2646626499999998E-2</v>
      </c>
      <c r="AR44">
        <v>0</v>
      </c>
      <c r="AS44">
        <v>0</v>
      </c>
      <c r="AT44">
        <v>0</v>
      </c>
      <c r="AU44">
        <v>0</v>
      </c>
      <c r="AV44">
        <v>0</v>
      </c>
      <c r="AW44">
        <v>3.2646626999999998E-2</v>
      </c>
      <c r="AX44">
        <v>0</v>
      </c>
      <c r="AY44">
        <v>0</v>
      </c>
      <c r="AZ44">
        <v>0</v>
      </c>
      <c r="BA44">
        <v>14.306540047</v>
      </c>
    </row>
    <row r="45" spans="1:53" x14ac:dyDescent="0.35">
      <c r="A45" s="13">
        <v>40</v>
      </c>
      <c r="B45" s="10" t="s">
        <v>119</v>
      </c>
      <c r="C45">
        <v>35</v>
      </c>
      <c r="D45">
        <v>25</v>
      </c>
      <c r="E45">
        <v>0</v>
      </c>
      <c r="F45">
        <v>0.156</v>
      </c>
      <c r="G45">
        <v>144</v>
      </c>
      <c r="H45">
        <v>5.4</v>
      </c>
      <c r="I45">
        <v>0</v>
      </c>
      <c r="J45">
        <v>70</v>
      </c>
      <c r="K45">
        <v>1.58</v>
      </c>
      <c r="L45">
        <v>38</v>
      </c>
      <c r="M45">
        <v>0.32</v>
      </c>
      <c r="N45">
        <v>107</v>
      </c>
      <c r="O45">
        <v>345</v>
      </c>
      <c r="P45">
        <v>6.5000000000000002E-2</v>
      </c>
      <c r="Q45">
        <v>325</v>
      </c>
      <c r="R45">
        <v>0.113</v>
      </c>
      <c r="S45">
        <v>0</v>
      </c>
      <c r="T45">
        <v>0.153</v>
      </c>
      <c r="U45">
        <v>3.9</v>
      </c>
      <c r="V45">
        <v>0</v>
      </c>
      <c r="W45">
        <v>0.91</v>
      </c>
      <c r="X45">
        <v>7.6</v>
      </c>
      <c r="Y45">
        <v>0.69</v>
      </c>
      <c r="Z45">
        <v>24.48</v>
      </c>
      <c r="AA45">
        <v>71.2</v>
      </c>
      <c r="AB45">
        <v>51.39</v>
      </c>
      <c r="AC45">
        <v>16.352999999999998</v>
      </c>
      <c r="AD45">
        <v>3.2759999999999998</v>
      </c>
      <c r="AE45">
        <v>8.9190000000000005</v>
      </c>
      <c r="AF45">
        <v>0</v>
      </c>
      <c r="AG45">
        <v>0</v>
      </c>
      <c r="AH45">
        <v>0</v>
      </c>
      <c r="AI45">
        <v>0.56000000000000005</v>
      </c>
      <c r="AJ45">
        <v>0</v>
      </c>
      <c r="AK45">
        <v>0</v>
      </c>
      <c r="AL45">
        <v>0.52</v>
      </c>
      <c r="AM45">
        <v>0</v>
      </c>
      <c r="AN45">
        <v>0.04</v>
      </c>
      <c r="AO45">
        <v>0</v>
      </c>
      <c r="AP45">
        <v>0</v>
      </c>
      <c r="AQ45">
        <v>0</v>
      </c>
      <c r="AR45">
        <v>0</v>
      </c>
      <c r="AS45">
        <v>0</v>
      </c>
      <c r="AT45">
        <v>0</v>
      </c>
      <c r="AU45">
        <v>0</v>
      </c>
      <c r="AV45">
        <v>0</v>
      </c>
      <c r="AW45">
        <v>0</v>
      </c>
      <c r="AX45">
        <v>0</v>
      </c>
      <c r="AY45">
        <v>0</v>
      </c>
      <c r="AZ45">
        <v>4.37</v>
      </c>
      <c r="BA45">
        <v>0</v>
      </c>
    </row>
    <row r="46" spans="1:53" x14ac:dyDescent="0.35">
      <c r="A46" s="13">
        <v>41</v>
      </c>
      <c r="B46" s="10" t="s">
        <v>120</v>
      </c>
      <c r="C46">
        <v>39</v>
      </c>
      <c r="D46">
        <v>22.3</v>
      </c>
      <c r="E46">
        <v>7</v>
      </c>
      <c r="F46">
        <v>0.17100000000000001</v>
      </c>
      <c r="G46">
        <v>105</v>
      </c>
      <c r="H46">
        <v>4.4000000000000004</v>
      </c>
      <c r="I46">
        <v>0</v>
      </c>
      <c r="J46">
        <v>8</v>
      </c>
      <c r="K46">
        <v>1.4</v>
      </c>
      <c r="L46">
        <v>30</v>
      </c>
      <c r="M46">
        <v>0.30399999999999999</v>
      </c>
      <c r="N46">
        <v>88</v>
      </c>
      <c r="O46">
        <v>231</v>
      </c>
      <c r="P46">
        <v>1.4999999999999999E-2</v>
      </c>
      <c r="Q46">
        <v>391</v>
      </c>
      <c r="R46">
        <v>3.3000000000000002E-2</v>
      </c>
      <c r="S46">
        <v>0</v>
      </c>
      <c r="T46">
        <v>0.05</v>
      </c>
      <c r="U46">
        <v>0</v>
      </c>
      <c r="V46">
        <v>1</v>
      </c>
      <c r="W46">
        <v>0.04</v>
      </c>
      <c r="X46">
        <v>0.4</v>
      </c>
      <c r="Y46">
        <v>0.51</v>
      </c>
      <c r="Z46">
        <v>18.079999999999998</v>
      </c>
      <c r="AA46">
        <v>86.28</v>
      </c>
      <c r="AB46">
        <v>8.01</v>
      </c>
      <c r="AC46">
        <v>2.0070000000000001</v>
      </c>
      <c r="AD46">
        <v>1.6199999999999999</v>
      </c>
      <c r="AE46">
        <v>2.0790000000000002</v>
      </c>
      <c r="AF46">
        <v>0</v>
      </c>
      <c r="AG46">
        <v>0</v>
      </c>
      <c r="AH46">
        <v>0</v>
      </c>
      <c r="AI46">
        <v>0.4</v>
      </c>
      <c r="AJ46">
        <v>0</v>
      </c>
      <c r="AK46">
        <v>7.0000000000000007E-2</v>
      </c>
      <c r="AL46">
        <v>0.33</v>
      </c>
      <c r="AM46">
        <v>0</v>
      </c>
      <c r="AN46">
        <v>0</v>
      </c>
      <c r="AO46">
        <v>0</v>
      </c>
      <c r="AP46">
        <v>0</v>
      </c>
      <c r="AQ46">
        <v>0.17</v>
      </c>
      <c r="AR46">
        <v>0</v>
      </c>
      <c r="AS46">
        <v>0</v>
      </c>
      <c r="AT46">
        <v>0</v>
      </c>
      <c r="AU46">
        <v>0</v>
      </c>
      <c r="AV46">
        <v>0</v>
      </c>
      <c r="AW46">
        <v>0.17</v>
      </c>
      <c r="AX46">
        <v>0</v>
      </c>
      <c r="AY46">
        <v>0</v>
      </c>
      <c r="AZ46">
        <v>0</v>
      </c>
      <c r="BA46">
        <v>26.712</v>
      </c>
    </row>
    <row r="47" spans="1:53" x14ac:dyDescent="0.35">
      <c r="A47" s="13">
        <v>42</v>
      </c>
      <c r="B47" s="10" t="s">
        <v>121</v>
      </c>
      <c r="C47">
        <v>110.29939588000001</v>
      </c>
      <c r="D47">
        <v>166.00192509999999</v>
      </c>
      <c r="E47">
        <v>246.93214942</v>
      </c>
      <c r="F47">
        <v>6.4660657900000001E-2</v>
      </c>
      <c r="G47">
        <v>175.32363633</v>
      </c>
      <c r="H47">
        <v>0.26178166260000002</v>
      </c>
      <c r="I47">
        <v>0</v>
      </c>
      <c r="J47">
        <v>28.359785219999999</v>
      </c>
      <c r="K47">
        <v>1.1804874787999999</v>
      </c>
      <c r="L47">
        <v>14.099198613</v>
      </c>
      <c r="M47">
        <v>0.21151429490000001</v>
      </c>
      <c r="N47">
        <v>180.18337844999999</v>
      </c>
      <c r="O47">
        <v>162.58277987</v>
      </c>
      <c r="P47">
        <v>0.36024247770000001</v>
      </c>
      <c r="Q47">
        <v>348.65477480999999</v>
      </c>
      <c r="R47">
        <v>4.1026844700000002E-2</v>
      </c>
      <c r="S47">
        <v>0.64506643129999996</v>
      </c>
      <c r="T47">
        <v>0.13677280920000001</v>
      </c>
      <c r="U47">
        <v>4.0462068205000001</v>
      </c>
      <c r="V47">
        <v>145.37256814</v>
      </c>
      <c r="W47">
        <v>1.210669153</v>
      </c>
      <c r="X47">
        <v>8.6289571970000001</v>
      </c>
      <c r="Y47">
        <v>1.1911603182999999</v>
      </c>
      <c r="Z47">
        <v>42.675649888999999</v>
      </c>
      <c r="AA47">
        <v>11.506673336</v>
      </c>
      <c r="AB47">
        <v>119.64877919</v>
      </c>
      <c r="AC47">
        <v>22.298331752999999</v>
      </c>
      <c r="AD47">
        <v>2.1619148130000001</v>
      </c>
      <c r="AE47">
        <v>40.87016217</v>
      </c>
      <c r="AF47">
        <v>0</v>
      </c>
      <c r="AG47">
        <v>0</v>
      </c>
      <c r="AH47">
        <v>0</v>
      </c>
      <c r="AI47">
        <v>0.1320688488</v>
      </c>
      <c r="AJ47">
        <v>2.01437465E-2</v>
      </c>
      <c r="AK47">
        <v>3.0232667899999999E-2</v>
      </c>
      <c r="AL47">
        <v>0</v>
      </c>
      <c r="AM47">
        <v>1.40119666E-2</v>
      </c>
      <c r="AN47">
        <v>6.7680467800000005E-2</v>
      </c>
      <c r="AO47">
        <v>0</v>
      </c>
      <c r="AP47">
        <v>0.2385518945</v>
      </c>
      <c r="AQ47">
        <v>1.3154628333</v>
      </c>
      <c r="AR47">
        <v>0</v>
      </c>
      <c r="AS47">
        <v>0</v>
      </c>
      <c r="AT47">
        <v>1.3098272550000001</v>
      </c>
      <c r="AU47">
        <v>0</v>
      </c>
      <c r="AV47">
        <v>0</v>
      </c>
      <c r="AW47">
        <v>1.315462833</v>
      </c>
      <c r="AX47">
        <v>0</v>
      </c>
      <c r="AY47">
        <v>0</v>
      </c>
      <c r="AZ47">
        <v>3.6393623214000002</v>
      </c>
      <c r="BA47">
        <v>0</v>
      </c>
    </row>
    <row r="48" spans="1:53" x14ac:dyDescent="0.35">
      <c r="A48" s="13">
        <v>43</v>
      </c>
      <c r="B48" s="10" t="s">
        <v>123</v>
      </c>
      <c r="C48">
        <v>71.303308626000003</v>
      </c>
      <c r="D48">
        <v>164.56957399999999</v>
      </c>
      <c r="E48">
        <v>234.36565973</v>
      </c>
      <c r="F48">
        <v>6.8738522299999993E-2</v>
      </c>
      <c r="G48">
        <v>224.62861315000001</v>
      </c>
      <c r="H48">
        <v>3.4935331899999998E-2</v>
      </c>
      <c r="I48">
        <v>0</v>
      </c>
      <c r="J48">
        <v>21.448605919999999</v>
      </c>
      <c r="K48">
        <v>1.3174046832999999</v>
      </c>
      <c r="L48">
        <v>15.183404947</v>
      </c>
      <c r="M48">
        <v>1.9758696723</v>
      </c>
      <c r="N48">
        <v>198.06747912</v>
      </c>
      <c r="O48">
        <v>222.20142113</v>
      </c>
      <c r="P48">
        <v>0.34655823940000002</v>
      </c>
      <c r="Q48">
        <v>603.95810589999996</v>
      </c>
      <c r="R48">
        <v>0.1708582324</v>
      </c>
      <c r="S48">
        <v>0.80844711430000005</v>
      </c>
      <c r="T48">
        <v>0.19784714919999999</v>
      </c>
      <c r="U48">
        <v>0.66326211260000001</v>
      </c>
      <c r="V48">
        <v>109.8867884</v>
      </c>
      <c r="W48">
        <v>1.229909551</v>
      </c>
      <c r="X48">
        <v>4.7997210629999998</v>
      </c>
      <c r="Y48">
        <v>1.6356894282000001</v>
      </c>
      <c r="Z48">
        <v>58.478311855000001</v>
      </c>
      <c r="AA48">
        <v>9.2102951252</v>
      </c>
      <c r="AB48">
        <v>154.22569106</v>
      </c>
      <c r="AC48">
        <v>29.674177533000002</v>
      </c>
      <c r="AD48">
        <v>2.5522839719999997</v>
      </c>
      <c r="AE48">
        <v>46.833223984</v>
      </c>
      <c r="AF48">
        <v>0</v>
      </c>
      <c r="AG48">
        <v>0</v>
      </c>
      <c r="AH48">
        <v>0</v>
      </c>
      <c r="AI48">
        <v>1.8615203899999998E-2</v>
      </c>
      <c r="AJ48">
        <v>0</v>
      </c>
      <c r="AK48">
        <v>0</v>
      </c>
      <c r="AL48">
        <v>0</v>
      </c>
      <c r="AM48">
        <v>0</v>
      </c>
      <c r="AN48">
        <v>1.8615203899999998E-2</v>
      </c>
      <c r="AO48">
        <v>0</v>
      </c>
      <c r="AP48">
        <v>0.12537682480000001</v>
      </c>
      <c r="AQ48">
        <v>1.9866335529000001</v>
      </c>
      <c r="AR48">
        <v>0</v>
      </c>
      <c r="AS48">
        <v>0</v>
      </c>
      <c r="AT48">
        <v>1.1043388190000001</v>
      </c>
      <c r="AU48">
        <v>0</v>
      </c>
      <c r="AV48">
        <v>0</v>
      </c>
      <c r="AW48">
        <v>1.9866335530000001</v>
      </c>
      <c r="AX48">
        <v>0</v>
      </c>
      <c r="AY48">
        <v>0</v>
      </c>
      <c r="AZ48">
        <v>3.7982580077999999</v>
      </c>
      <c r="BA48">
        <v>0</v>
      </c>
    </row>
    <row r="49" spans="1:53" x14ac:dyDescent="0.35">
      <c r="A49" s="13">
        <v>44</v>
      </c>
      <c r="B49" s="10" t="s">
        <v>125</v>
      </c>
      <c r="C49">
        <v>24.489383890999999</v>
      </c>
      <c r="D49">
        <v>13.37659597</v>
      </c>
      <c r="E49">
        <v>7.3438004495999998</v>
      </c>
      <c r="F49">
        <v>9.3215269899999995E-2</v>
      </c>
      <c r="G49">
        <v>133.70840059</v>
      </c>
      <c r="H49">
        <v>1.6875997971000001</v>
      </c>
      <c r="I49">
        <v>30.151896888</v>
      </c>
      <c r="J49">
        <v>62.503624189999996</v>
      </c>
      <c r="K49">
        <v>1.0627339570000001</v>
      </c>
      <c r="L49">
        <v>19.159731913000002</v>
      </c>
      <c r="M49">
        <v>2.1041366102999999</v>
      </c>
      <c r="N49">
        <v>69.207793006000003</v>
      </c>
      <c r="O49">
        <v>139.64559704000001</v>
      </c>
      <c r="P49">
        <v>0.1076783647</v>
      </c>
      <c r="Q49">
        <v>190.31882067999999</v>
      </c>
      <c r="R49">
        <v>0.16803192950000001</v>
      </c>
      <c r="S49">
        <v>0.16920516799999999</v>
      </c>
      <c r="T49">
        <v>0.12346781179999999</v>
      </c>
      <c r="U49">
        <v>2.2411893859999998</v>
      </c>
      <c r="V49">
        <v>28.737977722</v>
      </c>
      <c r="W49">
        <v>0.856288037</v>
      </c>
      <c r="X49">
        <v>5.8758774069999999</v>
      </c>
      <c r="Y49">
        <v>0.68153051519999996</v>
      </c>
      <c r="Z49">
        <v>19.392069072999998</v>
      </c>
      <c r="AA49">
        <v>79.573060841</v>
      </c>
      <c r="AB49">
        <v>34.481103627000003</v>
      </c>
      <c r="AC49">
        <v>7.250577399</v>
      </c>
      <c r="AD49">
        <v>0.84612518100000012</v>
      </c>
      <c r="AE49">
        <v>11.212271021999999</v>
      </c>
      <c r="AF49">
        <v>0.74498559450000001</v>
      </c>
      <c r="AG49">
        <v>9.0469916900000003E-2</v>
      </c>
      <c r="AH49">
        <v>0.65451567799999999</v>
      </c>
      <c r="AI49">
        <v>0.1400423895</v>
      </c>
      <c r="AJ49">
        <v>1.7286515000000001E-3</v>
      </c>
      <c r="AK49">
        <v>0.1035676322</v>
      </c>
      <c r="AL49">
        <v>1.13058408E-2</v>
      </c>
      <c r="AM49">
        <v>4.0830607000000001E-3</v>
      </c>
      <c r="AN49">
        <v>1.9357204199999999E-2</v>
      </c>
      <c r="AO49">
        <v>4.1606150000000002E-4</v>
      </c>
      <c r="AP49">
        <v>2.7412054700000001E-2</v>
      </c>
      <c r="AQ49">
        <v>0.14305244989999999</v>
      </c>
      <c r="AR49">
        <v>0.12948922600000001</v>
      </c>
      <c r="AS49">
        <v>7.5820469999999997E-3</v>
      </c>
      <c r="AT49">
        <v>1.1123439999999999E-3</v>
      </c>
      <c r="AU49">
        <v>4.330403E-3</v>
      </c>
      <c r="AV49">
        <v>0</v>
      </c>
      <c r="AW49">
        <v>0.13872204699999999</v>
      </c>
      <c r="AX49">
        <v>0</v>
      </c>
      <c r="AY49">
        <v>4.330403E-3</v>
      </c>
      <c r="AZ49">
        <v>1.2560635674</v>
      </c>
      <c r="BA49">
        <v>1.2972772370000001</v>
      </c>
    </row>
    <row r="50" spans="1:53" x14ac:dyDescent="0.35">
      <c r="A50" s="13">
        <v>45</v>
      </c>
      <c r="B50" s="10" t="s">
        <v>127</v>
      </c>
      <c r="C50">
        <v>90.454510560000003</v>
      </c>
      <c r="D50">
        <v>18.286850210000001</v>
      </c>
      <c r="E50">
        <v>19.149043401</v>
      </c>
      <c r="F50">
        <v>8.9535975700000006E-2</v>
      </c>
      <c r="G50">
        <v>186.66828222999999</v>
      </c>
      <c r="H50">
        <v>2.0352896240999998</v>
      </c>
      <c r="I50">
        <v>23.469616544000001</v>
      </c>
      <c r="J50">
        <v>55.786270420000001</v>
      </c>
      <c r="K50">
        <v>1.5692666334000001</v>
      </c>
      <c r="L50">
        <v>20.649679457000001</v>
      </c>
      <c r="M50">
        <v>2.4071159468999999</v>
      </c>
      <c r="N50">
        <v>123.0852976</v>
      </c>
      <c r="O50">
        <v>188.17564354999999</v>
      </c>
      <c r="P50">
        <v>0.14631440200000001</v>
      </c>
      <c r="Q50">
        <v>504.29047574999998</v>
      </c>
      <c r="R50">
        <v>0.16384474539999999</v>
      </c>
      <c r="S50">
        <v>0.33282136289999997</v>
      </c>
      <c r="T50">
        <v>0.12926383690000001</v>
      </c>
      <c r="U50">
        <v>2.3785699085999998</v>
      </c>
      <c r="V50">
        <v>40.107121884999998</v>
      </c>
      <c r="W50">
        <v>0.84886419700000004</v>
      </c>
      <c r="X50">
        <v>7.1714084380000003</v>
      </c>
      <c r="Y50">
        <v>1.1803751787000001</v>
      </c>
      <c r="Z50">
        <v>32.335023825</v>
      </c>
      <c r="AA50">
        <v>78.663376936999995</v>
      </c>
      <c r="AB50">
        <v>75.652082336000007</v>
      </c>
      <c r="AC50">
        <v>13.119154668</v>
      </c>
      <c r="AD50">
        <v>1.6691529780000001</v>
      </c>
      <c r="AE50">
        <v>27.493107725000002</v>
      </c>
      <c r="AF50">
        <v>1.1188789690000001</v>
      </c>
      <c r="AG50">
        <v>1.7099132499999999E-2</v>
      </c>
      <c r="AH50">
        <v>1.101779837</v>
      </c>
      <c r="AI50">
        <v>0.19913499160000001</v>
      </c>
      <c r="AJ50">
        <v>0</v>
      </c>
      <c r="AK50">
        <v>8.6382407199999997E-2</v>
      </c>
      <c r="AL50">
        <v>4.0626444999999997E-2</v>
      </c>
      <c r="AM50">
        <v>2.2871330000000001E-4</v>
      </c>
      <c r="AN50">
        <v>7.1897426099999995E-2</v>
      </c>
      <c r="AO50">
        <v>2.3717200000000001E-5</v>
      </c>
      <c r="AP50">
        <v>0.1426475676</v>
      </c>
      <c r="AQ50">
        <v>0.38591939739999997</v>
      </c>
      <c r="AR50">
        <v>0.31237802599999998</v>
      </c>
      <c r="AS50">
        <v>6.2535647999999999E-2</v>
      </c>
      <c r="AT50">
        <v>1.1265400000000001E-3</v>
      </c>
      <c r="AU50">
        <v>0</v>
      </c>
      <c r="AV50">
        <v>0</v>
      </c>
      <c r="AW50">
        <v>0.385919397</v>
      </c>
      <c r="AX50">
        <v>0</v>
      </c>
      <c r="AY50">
        <v>0</v>
      </c>
      <c r="AZ50">
        <v>2.5835405019</v>
      </c>
      <c r="BA50">
        <v>1.6006064348</v>
      </c>
    </row>
    <row r="51" spans="1:53" x14ac:dyDescent="0.35">
      <c r="A51" s="13">
        <v>46</v>
      </c>
      <c r="B51" s="10" t="s">
        <v>129</v>
      </c>
      <c r="C51">
        <v>51.192677189999998</v>
      </c>
      <c r="D51">
        <v>15.650854689999999</v>
      </c>
      <c r="E51">
        <v>20.318307712999999</v>
      </c>
      <c r="F51">
        <v>8.3656317100000002E-2</v>
      </c>
      <c r="G51">
        <v>149.21188230999999</v>
      </c>
      <c r="H51">
        <v>1.3906165782</v>
      </c>
      <c r="I51">
        <v>24.692554551000001</v>
      </c>
      <c r="J51">
        <v>53.483056189999999</v>
      </c>
      <c r="K51">
        <v>1.0574672707999999</v>
      </c>
      <c r="L51">
        <v>16.778142909</v>
      </c>
      <c r="M51">
        <v>1.4456930042</v>
      </c>
      <c r="N51">
        <v>86.188140399999995</v>
      </c>
      <c r="O51">
        <v>124.90413542</v>
      </c>
      <c r="P51">
        <v>0.1135839682</v>
      </c>
      <c r="Q51">
        <v>271.55913020000003</v>
      </c>
      <c r="R51">
        <v>0.16063364469999999</v>
      </c>
      <c r="S51">
        <v>0.2259641111</v>
      </c>
      <c r="T51">
        <v>8.8521721400000003E-2</v>
      </c>
      <c r="U51">
        <v>3.6781844530000001</v>
      </c>
      <c r="V51">
        <v>41.088411168999997</v>
      </c>
      <c r="W51">
        <v>0.45220448800000002</v>
      </c>
      <c r="X51">
        <v>4.634187088</v>
      </c>
      <c r="Y51">
        <v>0.75368142419999995</v>
      </c>
      <c r="Z51">
        <v>23.727170181999998</v>
      </c>
      <c r="AA51">
        <v>69.973215207999999</v>
      </c>
      <c r="AB51">
        <v>55.660571853</v>
      </c>
      <c r="AC51">
        <v>7.876799793</v>
      </c>
      <c r="AD51">
        <v>0.92913479100000007</v>
      </c>
      <c r="AE51">
        <v>23.680254719000001</v>
      </c>
      <c r="AF51">
        <v>0.69949005019999999</v>
      </c>
      <c r="AG51">
        <v>1.6542314499999999E-2</v>
      </c>
      <c r="AH51">
        <v>0.68294773600000003</v>
      </c>
      <c r="AI51">
        <v>0.12877947149999999</v>
      </c>
      <c r="AJ51">
        <v>4.2437578000000002E-3</v>
      </c>
      <c r="AK51">
        <v>4.7163236499999997E-2</v>
      </c>
      <c r="AL51">
        <v>2.3234842200000001E-2</v>
      </c>
      <c r="AM51">
        <v>3.1481401999999999E-3</v>
      </c>
      <c r="AN51">
        <v>5.09894948E-2</v>
      </c>
      <c r="AO51">
        <v>8.7745300000000002E-5</v>
      </c>
      <c r="AP51">
        <v>8.5150526000000004E-2</v>
      </c>
      <c r="AQ51">
        <v>0.2761977947</v>
      </c>
      <c r="AR51">
        <v>0.128150021</v>
      </c>
      <c r="AS51">
        <v>9.2851963999999995E-2</v>
      </c>
      <c r="AT51">
        <v>1.7190618000000001E-2</v>
      </c>
      <c r="AU51">
        <v>0</v>
      </c>
      <c r="AV51">
        <v>0</v>
      </c>
      <c r="AW51">
        <v>0.26217359400000001</v>
      </c>
      <c r="AX51">
        <v>1.4024201E-2</v>
      </c>
      <c r="AY51">
        <v>0</v>
      </c>
      <c r="AZ51">
        <v>1.2523272809999999</v>
      </c>
      <c r="BA51">
        <v>0.32576256689999999</v>
      </c>
    </row>
    <row r="52" spans="1:53" x14ac:dyDescent="0.35">
      <c r="A52" s="13">
        <v>47</v>
      </c>
      <c r="B52" s="10" t="s">
        <v>130</v>
      </c>
      <c r="C52">
        <v>152.21103540999999</v>
      </c>
      <c r="D52">
        <v>21.190123710000002</v>
      </c>
      <c r="E52">
        <v>28.269899522999999</v>
      </c>
      <c r="F52">
        <v>8.3978133199999999E-2</v>
      </c>
      <c r="G52">
        <v>232.50777327</v>
      </c>
      <c r="H52">
        <v>1.9343327866</v>
      </c>
      <c r="I52">
        <v>19.573391906000001</v>
      </c>
      <c r="J52">
        <v>49.585131230000002</v>
      </c>
      <c r="K52">
        <v>1.5100330208999999</v>
      </c>
      <c r="L52">
        <v>22.930304328999998</v>
      </c>
      <c r="M52">
        <v>2.1508579929999998</v>
      </c>
      <c r="N52">
        <v>167.15696598</v>
      </c>
      <c r="O52">
        <v>173.80763285</v>
      </c>
      <c r="P52">
        <v>0.17573637850000001</v>
      </c>
      <c r="Q52">
        <v>478.21344405999997</v>
      </c>
      <c r="R52">
        <v>0.16075761550000001</v>
      </c>
      <c r="S52">
        <v>0.39607465019999999</v>
      </c>
      <c r="T52">
        <v>0.1245413004</v>
      </c>
      <c r="U52">
        <v>2.8715279765999999</v>
      </c>
      <c r="V52">
        <v>55.176952641</v>
      </c>
      <c r="W52">
        <v>0.64280989099999997</v>
      </c>
      <c r="X52">
        <v>7.0092287510000002</v>
      </c>
      <c r="Y52">
        <v>1.3533143175</v>
      </c>
      <c r="Z52">
        <v>39.866622696999997</v>
      </c>
      <c r="AA52">
        <v>88.710129946999999</v>
      </c>
      <c r="AB52">
        <v>103.73263704</v>
      </c>
      <c r="AC52">
        <v>14.65674606</v>
      </c>
      <c r="AD52">
        <v>1.6982495910000002</v>
      </c>
      <c r="AE52">
        <v>43.574018793</v>
      </c>
      <c r="AF52">
        <v>1.3695588768</v>
      </c>
      <c r="AG52">
        <v>3.3328280000000001E-4</v>
      </c>
      <c r="AH52">
        <v>1.369225594</v>
      </c>
      <c r="AI52">
        <v>0.1347415005</v>
      </c>
      <c r="AJ52">
        <v>9.3067900000000004E-5</v>
      </c>
      <c r="AK52">
        <v>5.0966658099999999E-2</v>
      </c>
      <c r="AL52">
        <v>2.5211170099999999E-2</v>
      </c>
      <c r="AM52">
        <v>2.0631619999999999E-3</v>
      </c>
      <c r="AN52">
        <v>5.6407442500000002E-2</v>
      </c>
      <c r="AO52">
        <v>3.4057100000000003E-5</v>
      </c>
      <c r="AP52">
        <v>0.35338779129999998</v>
      </c>
      <c r="AQ52">
        <v>0.41974900700000001</v>
      </c>
      <c r="AR52">
        <v>0.27754547200000002</v>
      </c>
      <c r="AS52">
        <v>9.1126043000000004E-2</v>
      </c>
      <c r="AT52">
        <v>1.0738398999999999E-2</v>
      </c>
      <c r="AU52">
        <v>6.2516789999999996E-3</v>
      </c>
      <c r="AV52">
        <v>4.59772E-4</v>
      </c>
      <c r="AW52">
        <v>0.38484035599999999</v>
      </c>
      <c r="AX52">
        <v>2.8197201000000002E-2</v>
      </c>
      <c r="AY52">
        <v>6.7114499999999999E-3</v>
      </c>
      <c r="AZ52">
        <v>1.9460234682999999</v>
      </c>
      <c r="BA52">
        <v>2.2157313516000001</v>
      </c>
    </row>
    <row r="53" spans="1:53" x14ac:dyDescent="0.35">
      <c r="A53" s="13">
        <v>48</v>
      </c>
      <c r="B53" s="10" t="s">
        <v>131</v>
      </c>
      <c r="C53">
        <v>32.72795009</v>
      </c>
      <c r="D53">
        <v>31.540932990000002</v>
      </c>
      <c r="E53">
        <v>33.103040202999999</v>
      </c>
      <c r="F53">
        <v>7.6426097999999998E-2</v>
      </c>
      <c r="G53">
        <v>154.95737890000001</v>
      </c>
      <c r="H53">
        <v>1.3947155566</v>
      </c>
      <c r="I53">
        <v>8.4766052988999991</v>
      </c>
      <c r="J53">
        <v>26.66822183</v>
      </c>
      <c r="K53">
        <v>1.0541317743</v>
      </c>
      <c r="L53">
        <v>17.42205109</v>
      </c>
      <c r="M53">
        <v>2.3971801266999999</v>
      </c>
      <c r="N53">
        <v>100.56896562999999</v>
      </c>
      <c r="O53">
        <v>195.72027745</v>
      </c>
      <c r="P53">
        <v>9.5664613300000007E-2</v>
      </c>
      <c r="Q53">
        <v>415.4623292</v>
      </c>
      <c r="R53">
        <v>0.119224814</v>
      </c>
      <c r="S53">
        <v>0.40277436970000002</v>
      </c>
      <c r="T53">
        <v>0.1476807215</v>
      </c>
      <c r="U53">
        <v>2.1446768528</v>
      </c>
      <c r="V53">
        <v>30.140841711</v>
      </c>
      <c r="W53">
        <v>0.63695906099999999</v>
      </c>
      <c r="X53">
        <v>10.232168039999999</v>
      </c>
      <c r="Y53">
        <v>1.0101039667</v>
      </c>
      <c r="Z53">
        <v>36.219397028000003</v>
      </c>
      <c r="AA53">
        <v>41.968866476999999</v>
      </c>
      <c r="AB53">
        <v>77.009895053999998</v>
      </c>
      <c r="AC53">
        <v>18.748320920999998</v>
      </c>
      <c r="AD53">
        <v>2.1573679769999998</v>
      </c>
      <c r="AE53">
        <v>23.511186369000001</v>
      </c>
      <c r="AF53">
        <v>0.391239797</v>
      </c>
      <c r="AG53">
        <v>1.1263974E-2</v>
      </c>
      <c r="AH53">
        <v>0.37997582299999999</v>
      </c>
      <c r="AI53">
        <v>0.21183752280000001</v>
      </c>
      <c r="AJ53">
        <v>8.3620289999999996E-4</v>
      </c>
      <c r="AK53">
        <v>8.4731002599999994E-2</v>
      </c>
      <c r="AL53">
        <v>5.0544774200000003E-2</v>
      </c>
      <c r="AM53">
        <v>2.3306940000000002E-2</v>
      </c>
      <c r="AN53">
        <v>5.2418603100000002E-2</v>
      </c>
      <c r="AO53">
        <v>0</v>
      </c>
      <c r="AP53">
        <v>2.7474245500000001E-2</v>
      </c>
      <c r="AQ53">
        <v>1.039604424</v>
      </c>
      <c r="AR53">
        <v>0.27099973500000002</v>
      </c>
      <c r="AS53">
        <v>0.63477783899999995</v>
      </c>
      <c r="AT53">
        <v>2.7008454000000001E-2</v>
      </c>
      <c r="AU53">
        <v>2.2527947999999999E-2</v>
      </c>
      <c r="AV53">
        <v>0</v>
      </c>
      <c r="AW53">
        <v>0.95328937800000002</v>
      </c>
      <c r="AX53">
        <v>6.3787098E-2</v>
      </c>
      <c r="AY53">
        <v>2.2527947999999999E-2</v>
      </c>
      <c r="AZ53">
        <v>2.0614375126</v>
      </c>
      <c r="BA53">
        <v>0.87682491409999996</v>
      </c>
    </row>
    <row r="54" spans="1:53" x14ac:dyDescent="0.35">
      <c r="A54" s="13">
        <v>49</v>
      </c>
      <c r="B54" s="10" t="s">
        <v>133</v>
      </c>
      <c r="C54">
        <v>36.566162581999997</v>
      </c>
      <c r="D54">
        <v>30.897613939999999</v>
      </c>
      <c r="E54">
        <v>27.629760672</v>
      </c>
      <c r="F54">
        <v>8.3153268200000005E-2</v>
      </c>
      <c r="G54">
        <v>126.35571139</v>
      </c>
      <c r="H54">
        <v>1.1147617475</v>
      </c>
      <c r="I54">
        <v>10.733574889</v>
      </c>
      <c r="J54">
        <v>30.665101050000001</v>
      </c>
      <c r="K54">
        <v>0.94490058450000003</v>
      </c>
      <c r="L54">
        <v>17.059858852000001</v>
      </c>
      <c r="M54">
        <v>2.2662010201</v>
      </c>
      <c r="N54">
        <v>93.223742869999995</v>
      </c>
      <c r="O54">
        <v>182.00745297</v>
      </c>
      <c r="P54">
        <v>9.7936754200000004E-2</v>
      </c>
      <c r="Q54">
        <v>278.08030208000002</v>
      </c>
      <c r="R54">
        <v>8.6750072299999995E-2</v>
      </c>
      <c r="S54">
        <v>0.30713641530000002</v>
      </c>
      <c r="T54">
        <v>0.1560355521</v>
      </c>
      <c r="U54">
        <v>5.4868304045</v>
      </c>
      <c r="V54">
        <v>65.863337716000004</v>
      </c>
      <c r="W54">
        <v>0.65302433299999996</v>
      </c>
      <c r="X54">
        <v>13.260965949999999</v>
      </c>
      <c r="Y54">
        <v>1.0625487086000001</v>
      </c>
      <c r="Z54">
        <v>34.106777542000003</v>
      </c>
      <c r="AA54">
        <v>42.682326670000002</v>
      </c>
      <c r="AB54">
        <v>50.587016720000001</v>
      </c>
      <c r="AC54">
        <v>11.19643479</v>
      </c>
      <c r="AD54">
        <v>1.312335405</v>
      </c>
      <c r="AE54">
        <v>14.635532648</v>
      </c>
      <c r="AF54">
        <v>0.26413681630000002</v>
      </c>
      <c r="AG54">
        <v>0</v>
      </c>
      <c r="AH54">
        <v>0.264136816</v>
      </c>
      <c r="AI54">
        <v>0.21208781430000001</v>
      </c>
      <c r="AJ54">
        <v>3.0614577699999999E-2</v>
      </c>
      <c r="AK54">
        <v>5.2847937099999999E-2</v>
      </c>
      <c r="AL54">
        <v>3.783158E-4</v>
      </c>
      <c r="AM54">
        <v>5.31970779E-2</v>
      </c>
      <c r="AN54">
        <v>7.5049905700000002E-2</v>
      </c>
      <c r="AO54">
        <v>1.20031971E-2</v>
      </c>
      <c r="AP54">
        <v>4.8169935999999997E-2</v>
      </c>
      <c r="AQ54">
        <v>0.82505503889999998</v>
      </c>
      <c r="AR54">
        <v>0.394072704</v>
      </c>
      <c r="AS54">
        <v>0.29618681000000002</v>
      </c>
      <c r="AT54">
        <v>1.259655E-2</v>
      </c>
      <c r="AU54">
        <v>2.706136E-3</v>
      </c>
      <c r="AV54">
        <v>7.8545920000000005E-3</v>
      </c>
      <c r="AW54">
        <v>0.70285606300000003</v>
      </c>
      <c r="AX54">
        <v>0.111638248</v>
      </c>
      <c r="AY54">
        <v>1.0560728E-2</v>
      </c>
      <c r="AZ54">
        <v>1.8205624618</v>
      </c>
      <c r="BA54">
        <v>3.2215785586000001</v>
      </c>
    </row>
    <row r="55" spans="1:53" x14ac:dyDescent="0.35">
      <c r="A55" s="13">
        <v>50</v>
      </c>
      <c r="B55" s="10" t="s">
        <v>135</v>
      </c>
      <c r="C55">
        <v>34.725202033000002</v>
      </c>
      <c r="D55">
        <v>49.673876630000002</v>
      </c>
      <c r="E55">
        <v>48.530590543999999</v>
      </c>
      <c r="F55">
        <v>7.5780772999999996E-2</v>
      </c>
      <c r="G55">
        <v>170.27344339000001</v>
      </c>
      <c r="H55">
        <v>0.69799580439999998</v>
      </c>
      <c r="I55">
        <v>3.3105572247000001</v>
      </c>
      <c r="J55">
        <v>17.271470050000001</v>
      </c>
      <c r="K55">
        <v>1.2528106255</v>
      </c>
      <c r="L55">
        <v>19.451586056</v>
      </c>
      <c r="M55">
        <v>3.5491652074000002</v>
      </c>
      <c r="N55">
        <v>135.21773075999999</v>
      </c>
      <c r="O55">
        <v>252.86466956000001</v>
      </c>
      <c r="P55">
        <v>0.1527476334</v>
      </c>
      <c r="Q55">
        <v>447.64847164000003</v>
      </c>
      <c r="R55">
        <v>0.17954839040000001</v>
      </c>
      <c r="S55">
        <v>0.83310008260000001</v>
      </c>
      <c r="T55">
        <v>0.23993955729999999</v>
      </c>
      <c r="U55">
        <v>4.3385350752000003</v>
      </c>
      <c r="V55">
        <v>21.176598904999999</v>
      </c>
      <c r="W55">
        <v>0.59493374099999996</v>
      </c>
      <c r="X55">
        <v>11.18433499</v>
      </c>
      <c r="Y55">
        <v>1.8755199706000001</v>
      </c>
      <c r="Z55">
        <v>56.467799485999997</v>
      </c>
      <c r="AA55">
        <v>35.833083948000002</v>
      </c>
      <c r="AB55">
        <v>76.763439645000005</v>
      </c>
      <c r="AC55">
        <v>16.271619794999999</v>
      </c>
      <c r="AD55">
        <v>1.9073549519999999</v>
      </c>
      <c r="AE55">
        <v>21.729517352999999</v>
      </c>
      <c r="AF55">
        <v>0.19105734099999999</v>
      </c>
      <c r="AG55">
        <v>0</v>
      </c>
      <c r="AH55">
        <v>0.19105734099999999</v>
      </c>
      <c r="AI55">
        <v>0.1448709725</v>
      </c>
      <c r="AJ55">
        <v>1.1729399499999999E-2</v>
      </c>
      <c r="AK55">
        <v>4.6176773300000001E-2</v>
      </c>
      <c r="AL55">
        <v>3.2338885E-3</v>
      </c>
      <c r="AM55">
        <v>1.4195104599999999E-2</v>
      </c>
      <c r="AN55">
        <v>6.95358066E-2</v>
      </c>
      <c r="AO55">
        <v>7.2016014000000003E-3</v>
      </c>
      <c r="AP55">
        <v>2.8546876400000001E-2</v>
      </c>
      <c r="AQ55">
        <v>1.6677757445000001</v>
      </c>
      <c r="AR55">
        <v>1.006443067</v>
      </c>
      <c r="AS55">
        <v>0.36051290800000002</v>
      </c>
      <c r="AT55">
        <v>3.9344569000000003E-2</v>
      </c>
      <c r="AU55">
        <v>0</v>
      </c>
      <c r="AV55">
        <v>6.1354119999999998E-3</v>
      </c>
      <c r="AW55">
        <v>1.4266541180000001</v>
      </c>
      <c r="AX55">
        <v>0.234986215</v>
      </c>
      <c r="AY55">
        <v>6.1354119999999998E-3</v>
      </c>
      <c r="AZ55">
        <v>2.6441477140999998</v>
      </c>
      <c r="BA55">
        <v>11.039677006</v>
      </c>
    </row>
    <row r="56" spans="1:53" x14ac:dyDescent="0.35">
      <c r="A56" s="13">
        <v>51</v>
      </c>
      <c r="B56" s="10" t="s">
        <v>136</v>
      </c>
      <c r="C56">
        <v>19.580998096999998</v>
      </c>
      <c r="D56">
        <v>24.960635669999998</v>
      </c>
      <c r="E56">
        <v>22.643785560000001</v>
      </c>
      <c r="F56">
        <v>6.5326327099999998E-2</v>
      </c>
      <c r="G56">
        <v>122.34432212999999</v>
      </c>
      <c r="H56">
        <v>0.89143942710000001</v>
      </c>
      <c r="I56">
        <v>12.014559897</v>
      </c>
      <c r="J56">
        <v>30.890661919999999</v>
      </c>
      <c r="K56">
        <v>0.93657265779999999</v>
      </c>
      <c r="L56">
        <v>14.401707145</v>
      </c>
      <c r="M56">
        <v>1.9348142594</v>
      </c>
      <c r="N56">
        <v>74.385876124000006</v>
      </c>
      <c r="O56">
        <v>158.20294526000001</v>
      </c>
      <c r="P56">
        <v>8.1063029600000003E-2</v>
      </c>
      <c r="Q56">
        <v>306.53127269999999</v>
      </c>
      <c r="R56">
        <v>8.1435925699999995E-2</v>
      </c>
      <c r="S56">
        <v>0.28873250119999999</v>
      </c>
      <c r="T56">
        <v>0.12511543950000001</v>
      </c>
      <c r="U56">
        <v>3.0873300488000002</v>
      </c>
      <c r="V56">
        <v>42.905947400999999</v>
      </c>
      <c r="W56">
        <v>0.63098792199999998</v>
      </c>
      <c r="X56">
        <v>11.651455520000001</v>
      </c>
      <c r="Y56">
        <v>1.0997535517000001</v>
      </c>
      <c r="Z56">
        <v>29.343601224</v>
      </c>
      <c r="AA56">
        <v>42.337941673000003</v>
      </c>
      <c r="AB56">
        <v>51.480812720000003</v>
      </c>
      <c r="AC56">
        <v>11.827622061</v>
      </c>
      <c r="AD56">
        <v>1.600846542</v>
      </c>
      <c r="AE56">
        <v>12.404496672000001</v>
      </c>
      <c r="AF56">
        <v>0.29279797349999998</v>
      </c>
      <c r="AG56">
        <v>0</v>
      </c>
      <c r="AH56">
        <v>0.29279797400000002</v>
      </c>
      <c r="AI56">
        <v>0.19736067130000001</v>
      </c>
      <c r="AJ56">
        <v>1.5907468000000001E-2</v>
      </c>
      <c r="AK56">
        <v>5.4045234900000003E-2</v>
      </c>
      <c r="AL56">
        <v>7.0630560000000005E-4</v>
      </c>
      <c r="AM56">
        <v>7.8154422900000006E-2</v>
      </c>
      <c r="AN56">
        <v>4.8547239800000003E-2</v>
      </c>
      <c r="AO56">
        <v>0</v>
      </c>
      <c r="AP56">
        <v>2.0732852400000001E-2</v>
      </c>
      <c r="AQ56">
        <v>0.76362341680000001</v>
      </c>
      <c r="AR56">
        <v>0.44706306299999998</v>
      </c>
      <c r="AS56">
        <v>0.28899092199999998</v>
      </c>
      <c r="AT56">
        <v>5.4346230000000004E-3</v>
      </c>
      <c r="AU56">
        <v>0</v>
      </c>
      <c r="AV56">
        <v>0</v>
      </c>
      <c r="AW56">
        <v>0.76362341700000003</v>
      </c>
      <c r="AX56">
        <v>0</v>
      </c>
      <c r="AY56">
        <v>0</v>
      </c>
      <c r="AZ56">
        <v>2.9364912804999999</v>
      </c>
      <c r="BA56">
        <v>0.44268063759999998</v>
      </c>
    </row>
    <row r="57" spans="1:53" x14ac:dyDescent="0.35">
      <c r="A57" s="13">
        <v>52</v>
      </c>
      <c r="B57" s="10" t="s">
        <v>137</v>
      </c>
      <c r="C57">
        <v>164.46694070999999</v>
      </c>
      <c r="D57">
        <v>24.432080679999999</v>
      </c>
      <c r="E57">
        <v>24.208394755</v>
      </c>
      <c r="F57">
        <v>0.15302174269999999</v>
      </c>
      <c r="G57">
        <v>289.49442862000001</v>
      </c>
      <c r="H57">
        <v>1.9897708671000001</v>
      </c>
      <c r="I57">
        <v>39.554337496000002</v>
      </c>
      <c r="J57">
        <v>90.911609179999999</v>
      </c>
      <c r="K57">
        <v>1.8631318569999999</v>
      </c>
      <c r="L57">
        <v>24.544218812</v>
      </c>
      <c r="M57">
        <v>3.0666239944</v>
      </c>
      <c r="N57">
        <v>215.58486998999999</v>
      </c>
      <c r="O57">
        <v>214.98103243</v>
      </c>
      <c r="P57">
        <v>0.20222525359999999</v>
      </c>
      <c r="Q57">
        <v>637.02971548000005</v>
      </c>
      <c r="R57">
        <v>0.26748476370000002</v>
      </c>
      <c r="S57">
        <v>0.65189310150000002</v>
      </c>
      <c r="T57">
        <v>0.1225312013</v>
      </c>
      <c r="U57">
        <v>1.9221972919000001</v>
      </c>
      <c r="V57">
        <v>62.010836179000002</v>
      </c>
      <c r="W57">
        <v>0.97324722500000005</v>
      </c>
      <c r="X57">
        <v>6.9633058800000001</v>
      </c>
      <c r="Y57">
        <v>1.5767695836</v>
      </c>
      <c r="Z57">
        <v>51.943317976000003</v>
      </c>
      <c r="AA57">
        <v>125.1365431</v>
      </c>
      <c r="AB57">
        <v>111.81728654</v>
      </c>
      <c r="AC57">
        <v>17.820817416000001</v>
      </c>
      <c r="AD57">
        <v>1.9490229000000001</v>
      </c>
      <c r="AE57">
        <v>43.948083140999998</v>
      </c>
      <c r="AF57">
        <v>1.8425858467</v>
      </c>
      <c r="AG57">
        <v>0</v>
      </c>
      <c r="AH57">
        <v>1.8425858470000001</v>
      </c>
      <c r="AI57">
        <v>0.1182701909</v>
      </c>
      <c r="AJ57">
        <v>0</v>
      </c>
      <c r="AK57">
        <v>0.1055466053</v>
      </c>
      <c r="AL57">
        <v>0</v>
      </c>
      <c r="AM57">
        <v>0</v>
      </c>
      <c r="AN57">
        <v>1.27235857E-2</v>
      </c>
      <c r="AO57">
        <v>0</v>
      </c>
      <c r="AP57">
        <v>0.44245560900000003</v>
      </c>
      <c r="AQ57">
        <v>0.42057714940000002</v>
      </c>
      <c r="AR57">
        <v>8.2212468999999996E-2</v>
      </c>
      <c r="AS57">
        <v>7.9490732999999994E-2</v>
      </c>
      <c r="AT57">
        <v>0</v>
      </c>
      <c r="AU57">
        <v>2.9425077000000001E-2</v>
      </c>
      <c r="AV57">
        <v>0</v>
      </c>
      <c r="AW57">
        <v>0.39115207200000002</v>
      </c>
      <c r="AX57">
        <v>0</v>
      </c>
      <c r="AY57">
        <v>2.9425077000000001E-2</v>
      </c>
      <c r="AZ57">
        <v>3.9475848793999999</v>
      </c>
      <c r="BA57">
        <v>3.7941837535</v>
      </c>
    </row>
    <row r="58" spans="1:53" x14ac:dyDescent="0.35">
      <c r="A58" s="13">
        <v>53</v>
      </c>
      <c r="B58" s="10" t="s">
        <v>139</v>
      </c>
      <c r="C58">
        <v>206.63321976</v>
      </c>
      <c r="D58">
        <v>20.88753676</v>
      </c>
      <c r="E58">
        <v>21.749054737000002</v>
      </c>
      <c r="F58">
        <v>0.1226202111</v>
      </c>
      <c r="G58">
        <v>267.87269397</v>
      </c>
      <c r="H58">
        <v>2.7689715231999998</v>
      </c>
      <c r="I58">
        <v>45.684654516000002</v>
      </c>
      <c r="J58">
        <v>103.79334</v>
      </c>
      <c r="K58">
        <v>2.0030116703999998</v>
      </c>
      <c r="L58">
        <v>24.531291816</v>
      </c>
      <c r="M58">
        <v>1.6030656185000001</v>
      </c>
      <c r="N58">
        <v>214.51286830000001</v>
      </c>
      <c r="O58">
        <v>200.69643687000001</v>
      </c>
      <c r="P58">
        <v>0.15820549810000001</v>
      </c>
      <c r="Q58">
        <v>509.08248513000001</v>
      </c>
      <c r="R58">
        <v>0.1498577408</v>
      </c>
      <c r="S58">
        <v>0.65725118589999998</v>
      </c>
      <c r="T58">
        <v>0.1325904416</v>
      </c>
      <c r="U58">
        <v>0.62903618679999995</v>
      </c>
      <c r="V58">
        <v>68.618012806999999</v>
      </c>
      <c r="W58">
        <v>0.75233478899999995</v>
      </c>
      <c r="X58">
        <v>5.009404548</v>
      </c>
      <c r="Y58">
        <v>1.5086645127</v>
      </c>
      <c r="Z58">
        <v>48.854081020999999</v>
      </c>
      <c r="AA58">
        <v>113.15620737</v>
      </c>
      <c r="AB58">
        <v>105.43232857</v>
      </c>
      <c r="AC58">
        <v>14.375806965000001</v>
      </c>
      <c r="AD58">
        <v>1.2744897120000001</v>
      </c>
      <c r="AE58">
        <v>50.257453357000003</v>
      </c>
      <c r="AF58">
        <v>1.7147004830999999</v>
      </c>
      <c r="AG58">
        <v>0</v>
      </c>
      <c r="AH58">
        <v>1.7147004830000001</v>
      </c>
      <c r="AI58">
        <v>9.7280024199999995E-2</v>
      </c>
      <c r="AJ58">
        <v>0</v>
      </c>
      <c r="AK58">
        <v>9.4022603600000004E-2</v>
      </c>
      <c r="AL58">
        <v>0</v>
      </c>
      <c r="AM58">
        <v>0</v>
      </c>
      <c r="AN58">
        <v>3.2574205000000002E-3</v>
      </c>
      <c r="AO58">
        <v>0</v>
      </c>
      <c r="AP58">
        <v>0.55663728509999999</v>
      </c>
      <c r="AQ58">
        <v>0.1196185533</v>
      </c>
      <c r="AR58">
        <v>4.3189900000000002E-4</v>
      </c>
      <c r="AS58">
        <v>0</v>
      </c>
      <c r="AT58">
        <v>0</v>
      </c>
      <c r="AU58">
        <v>0</v>
      </c>
      <c r="AV58">
        <v>0</v>
      </c>
      <c r="AW58">
        <v>0.119618553</v>
      </c>
      <c r="AX58">
        <v>0</v>
      </c>
      <c r="AY58">
        <v>0</v>
      </c>
      <c r="AZ58">
        <v>3.8039828170000001</v>
      </c>
      <c r="BA58">
        <v>2.1330026923999998</v>
      </c>
    </row>
    <row r="59" spans="1:53" x14ac:dyDescent="0.35">
      <c r="A59" s="13">
        <v>54</v>
      </c>
      <c r="B59" s="10" t="s">
        <v>141</v>
      </c>
      <c r="C59">
        <v>171.05191801999999</v>
      </c>
      <c r="D59">
        <v>19.276394629999999</v>
      </c>
      <c r="E59">
        <v>19.800057521999999</v>
      </c>
      <c r="F59">
        <v>0.2047033214</v>
      </c>
      <c r="G59">
        <v>269.71841683000002</v>
      </c>
      <c r="H59">
        <v>2.3627110723999998</v>
      </c>
      <c r="I59">
        <v>41.451538837999998</v>
      </c>
      <c r="J59">
        <v>82.253503929999994</v>
      </c>
      <c r="K59">
        <v>1.9777120000999999</v>
      </c>
      <c r="L59">
        <v>25.323285229</v>
      </c>
      <c r="M59">
        <v>2.6606591728</v>
      </c>
      <c r="N59">
        <v>226.11640460000001</v>
      </c>
      <c r="O59">
        <v>180.34699796000001</v>
      </c>
      <c r="P59">
        <v>0.23277113420000001</v>
      </c>
      <c r="Q59">
        <v>607.75841224999999</v>
      </c>
      <c r="R59">
        <v>0.29177566659999998</v>
      </c>
      <c r="S59">
        <v>0.63949257699999995</v>
      </c>
      <c r="T59">
        <v>9.4805701800000003E-2</v>
      </c>
      <c r="U59">
        <v>1.6289109452999999</v>
      </c>
      <c r="V59">
        <v>67.567153274000006</v>
      </c>
      <c r="W59">
        <v>0.76965268399999998</v>
      </c>
      <c r="X59">
        <v>7.1661426559999999</v>
      </c>
      <c r="Y59">
        <v>1.3630679702999999</v>
      </c>
      <c r="Z59">
        <v>49.106890513000003</v>
      </c>
      <c r="AA59">
        <v>127.66022263000001</v>
      </c>
      <c r="AB59">
        <v>93.081358188999999</v>
      </c>
      <c r="AC59">
        <v>12.502695627</v>
      </c>
      <c r="AD59">
        <v>1.6806110669999998</v>
      </c>
      <c r="AE59">
        <v>40.097716480999999</v>
      </c>
      <c r="AF59">
        <v>1.8200542929000001</v>
      </c>
      <c r="AG59">
        <v>0</v>
      </c>
      <c r="AH59">
        <v>1.8200542930000001</v>
      </c>
      <c r="AI59">
        <v>0.1025865587</v>
      </c>
      <c r="AJ59">
        <v>0</v>
      </c>
      <c r="AK59">
        <v>0.1025865587</v>
      </c>
      <c r="AL59">
        <v>0</v>
      </c>
      <c r="AM59">
        <v>0</v>
      </c>
      <c r="AN59">
        <v>0</v>
      </c>
      <c r="AO59">
        <v>9.5905079999999998E-4</v>
      </c>
      <c r="AP59">
        <v>0.55545712459999996</v>
      </c>
      <c r="AQ59">
        <v>7.7960681800000001E-2</v>
      </c>
      <c r="AR59">
        <v>0</v>
      </c>
      <c r="AS59">
        <v>0</v>
      </c>
      <c r="AT59">
        <v>0</v>
      </c>
      <c r="AU59">
        <v>0</v>
      </c>
      <c r="AV59">
        <v>0</v>
      </c>
      <c r="AW59">
        <v>7.7960682000000003E-2</v>
      </c>
      <c r="AX59">
        <v>0</v>
      </c>
      <c r="AY59">
        <v>0</v>
      </c>
      <c r="AZ59">
        <v>3.3841440677999999</v>
      </c>
      <c r="BA59">
        <v>2.1694062599000001</v>
      </c>
    </row>
    <row r="60" spans="1:53" x14ac:dyDescent="0.35">
      <c r="A60" s="13">
        <v>55</v>
      </c>
      <c r="B60" s="10" t="s">
        <v>142</v>
      </c>
      <c r="C60">
        <v>176.47872727999999</v>
      </c>
      <c r="D60">
        <v>18.651674750000002</v>
      </c>
      <c r="E60">
        <v>18.389069824</v>
      </c>
      <c r="F60">
        <v>0.1829835745</v>
      </c>
      <c r="G60">
        <v>263.20979983000001</v>
      </c>
      <c r="H60">
        <v>2.3756510058</v>
      </c>
      <c r="I60">
        <v>37.644734712999998</v>
      </c>
      <c r="J60">
        <v>73.722767289999993</v>
      </c>
      <c r="K60">
        <v>1.8210772545</v>
      </c>
      <c r="L60">
        <v>24.081154730000002</v>
      </c>
      <c r="M60">
        <v>1.9886927521</v>
      </c>
      <c r="N60">
        <v>201.88631192</v>
      </c>
      <c r="O60">
        <v>182.28503312999999</v>
      </c>
      <c r="P60">
        <v>0.21187403069999999</v>
      </c>
      <c r="Q60">
        <v>519.87368390999995</v>
      </c>
      <c r="R60">
        <v>0.19601115960000001</v>
      </c>
      <c r="S60">
        <v>0.65093768490000004</v>
      </c>
      <c r="T60">
        <v>0.11594648069999999</v>
      </c>
      <c r="U60">
        <v>2.5340824091999998</v>
      </c>
      <c r="V60">
        <v>65.086036866000001</v>
      </c>
      <c r="W60">
        <v>0.849010021</v>
      </c>
      <c r="X60">
        <v>6.5329250630000004</v>
      </c>
      <c r="Y60">
        <v>1.421272648</v>
      </c>
      <c r="Z60">
        <v>46.018212024999997</v>
      </c>
      <c r="AA60">
        <v>113.18166631</v>
      </c>
      <c r="AB60">
        <v>103.93933388000001</v>
      </c>
      <c r="AC60">
        <v>14.077161576</v>
      </c>
      <c r="AD60">
        <v>1.507384917</v>
      </c>
      <c r="AE60">
        <v>42.651593861999999</v>
      </c>
      <c r="AF60">
        <v>1.7480666517000001</v>
      </c>
      <c r="AG60">
        <v>0</v>
      </c>
      <c r="AH60">
        <v>1.7480666520000001</v>
      </c>
      <c r="AI60">
        <v>0.12004015229999999</v>
      </c>
      <c r="AJ60">
        <v>0</v>
      </c>
      <c r="AK60">
        <v>9.0279190100000004E-2</v>
      </c>
      <c r="AL60">
        <v>0</v>
      </c>
      <c r="AM60">
        <v>0</v>
      </c>
      <c r="AN60">
        <v>2.9760962200000001E-2</v>
      </c>
      <c r="AO60">
        <v>0</v>
      </c>
      <c r="AP60">
        <v>0.52291985230000004</v>
      </c>
      <c r="AQ60">
        <v>9.5672195200000004E-2</v>
      </c>
      <c r="AR60">
        <v>2.3215369999999998E-3</v>
      </c>
      <c r="AS60">
        <v>2.5149980000000001E-3</v>
      </c>
      <c r="AT60">
        <v>0</v>
      </c>
      <c r="AU60">
        <v>0</v>
      </c>
      <c r="AV60">
        <v>0</v>
      </c>
      <c r="AW60">
        <v>9.5672195000000002E-2</v>
      </c>
      <c r="AX60">
        <v>0</v>
      </c>
      <c r="AY60">
        <v>0</v>
      </c>
      <c r="AZ60">
        <v>4.3480113605000001</v>
      </c>
      <c r="BA60">
        <v>1.8168695281</v>
      </c>
    </row>
    <row r="61" spans="1:53" x14ac:dyDescent="0.35">
      <c r="A61" s="13">
        <v>56</v>
      </c>
      <c r="B61" s="10" t="s">
        <v>143</v>
      </c>
      <c r="C61">
        <v>140.64172478</v>
      </c>
      <c r="D61">
        <v>40.892426</v>
      </c>
      <c r="E61">
        <v>62.358473062999998</v>
      </c>
      <c r="F61">
        <v>7.5922762899999996E-2</v>
      </c>
      <c r="G61">
        <v>273.25293563000002</v>
      </c>
      <c r="H61">
        <v>1.1980259573000001</v>
      </c>
      <c r="I61">
        <v>25.728066069</v>
      </c>
      <c r="J61">
        <v>61.153229809999999</v>
      </c>
      <c r="K61">
        <v>2.0278044734999998</v>
      </c>
      <c r="L61">
        <v>18.725241882999999</v>
      </c>
      <c r="M61">
        <v>2.8085323643</v>
      </c>
      <c r="N61">
        <v>172.37961609000001</v>
      </c>
      <c r="O61">
        <v>217.96594837000001</v>
      </c>
      <c r="P61">
        <v>0.22331517179999999</v>
      </c>
      <c r="Q61">
        <v>689.7475647</v>
      </c>
      <c r="R61">
        <v>0.21047499159999999</v>
      </c>
      <c r="S61">
        <v>0.48945047790000001</v>
      </c>
      <c r="T61">
        <v>0.1152272491</v>
      </c>
      <c r="U61">
        <v>2.4395687245</v>
      </c>
      <c r="V61">
        <v>44.593254854999998</v>
      </c>
      <c r="W61">
        <v>0.63299799499999998</v>
      </c>
      <c r="X61">
        <v>4.0737239519999999</v>
      </c>
      <c r="Y61">
        <v>1.2159449965</v>
      </c>
      <c r="Z61">
        <v>42.166220095</v>
      </c>
      <c r="AA61">
        <v>89.09490667</v>
      </c>
      <c r="AB61">
        <v>139.96208465999999</v>
      </c>
      <c r="AC61">
        <v>20.772124380000001</v>
      </c>
      <c r="AD61">
        <v>1.7684431919999999</v>
      </c>
      <c r="AE61">
        <v>50.916957580000002</v>
      </c>
      <c r="AF61">
        <v>1.3655254459999999</v>
      </c>
      <c r="AG61">
        <v>5.7530192299999998E-2</v>
      </c>
      <c r="AH61">
        <v>1.3079952539999999</v>
      </c>
      <c r="AI61">
        <v>1.7819239899999999E-2</v>
      </c>
      <c r="AJ61">
        <v>0</v>
      </c>
      <c r="AK61">
        <v>6.9004781999999999E-3</v>
      </c>
      <c r="AL61">
        <v>5.1997509000000003E-3</v>
      </c>
      <c r="AM61">
        <v>0</v>
      </c>
      <c r="AN61">
        <v>5.7190106999999999E-3</v>
      </c>
      <c r="AO61">
        <v>0</v>
      </c>
      <c r="AP61">
        <v>0.1212471749</v>
      </c>
      <c r="AQ61">
        <v>1.2626402524</v>
      </c>
      <c r="AR61">
        <v>2.4698817000000001E-2</v>
      </c>
      <c r="AS61">
        <v>0</v>
      </c>
      <c r="AT61">
        <v>0.14396956</v>
      </c>
      <c r="AU61">
        <v>0</v>
      </c>
      <c r="AV61">
        <v>0</v>
      </c>
      <c r="AW61">
        <v>1.262640252</v>
      </c>
      <c r="AX61">
        <v>0</v>
      </c>
      <c r="AY61">
        <v>0</v>
      </c>
      <c r="AZ61">
        <v>1.7428393808</v>
      </c>
      <c r="BA61">
        <v>11.997471812000001</v>
      </c>
    </row>
    <row r="62" spans="1:53" x14ac:dyDescent="0.35">
      <c r="A62" s="13">
        <v>57</v>
      </c>
      <c r="B62" s="10" t="s">
        <v>145</v>
      </c>
      <c r="C62">
        <v>70.493606585999999</v>
      </c>
      <c r="D62">
        <v>41.128835719999998</v>
      </c>
      <c r="E62">
        <v>46.008244382000001</v>
      </c>
      <c r="F62">
        <v>0.1210713527</v>
      </c>
      <c r="G62">
        <v>283.40665268999999</v>
      </c>
      <c r="H62">
        <v>1.4812021908999999</v>
      </c>
      <c r="I62">
        <v>26.287136268000001</v>
      </c>
      <c r="J62">
        <v>57.519315429999999</v>
      </c>
      <c r="K62">
        <v>1.7355591871</v>
      </c>
      <c r="L62">
        <v>18.195516977</v>
      </c>
      <c r="M62">
        <v>2.5875758795000001</v>
      </c>
      <c r="N62">
        <v>195.18436432999999</v>
      </c>
      <c r="O62">
        <v>226.64480466000001</v>
      </c>
      <c r="P62">
        <v>0.2015843366</v>
      </c>
      <c r="Q62">
        <v>660.86562914000001</v>
      </c>
      <c r="R62">
        <v>0.21942346660000001</v>
      </c>
      <c r="S62">
        <v>0.56469723080000001</v>
      </c>
      <c r="T62">
        <v>0.10297934440000001</v>
      </c>
      <c r="U62">
        <v>0.10527400839999999</v>
      </c>
      <c r="V62">
        <v>47.925627425999998</v>
      </c>
      <c r="W62">
        <v>0.79173936899999997</v>
      </c>
      <c r="X62">
        <v>3.309491945</v>
      </c>
      <c r="Y62">
        <v>1.1726391526</v>
      </c>
      <c r="Z62">
        <v>39.392260997999998</v>
      </c>
      <c r="AA62">
        <v>81.866845631000004</v>
      </c>
      <c r="AB62">
        <v>162.93873603</v>
      </c>
      <c r="AC62">
        <v>17.161546176000002</v>
      </c>
      <c r="AD62">
        <v>1.260613269</v>
      </c>
      <c r="AE62">
        <v>59.247775021000002</v>
      </c>
      <c r="AF62">
        <v>1.1288189575000001</v>
      </c>
      <c r="AG62">
        <v>0</v>
      </c>
      <c r="AH62">
        <v>1.1288189580000001</v>
      </c>
      <c r="AI62">
        <v>4.07972765E-2</v>
      </c>
      <c r="AJ62">
        <v>0</v>
      </c>
      <c r="AK62">
        <v>1.06080401E-2</v>
      </c>
      <c r="AL62">
        <v>2.3222306200000001E-2</v>
      </c>
      <c r="AM62">
        <v>0</v>
      </c>
      <c r="AN62">
        <v>6.9669301999999997E-3</v>
      </c>
      <c r="AO62">
        <v>0</v>
      </c>
      <c r="AP62">
        <v>8.0166525299999999E-2</v>
      </c>
      <c r="AQ62">
        <v>1.0565462779999999</v>
      </c>
      <c r="AR62">
        <v>0.14431303300000001</v>
      </c>
      <c r="AS62">
        <v>0</v>
      </c>
      <c r="AT62">
        <v>8.5970436999999997E-2</v>
      </c>
      <c r="AU62">
        <v>0</v>
      </c>
      <c r="AV62">
        <v>0</v>
      </c>
      <c r="AW62">
        <v>1.0565462779999999</v>
      </c>
      <c r="AX62">
        <v>0</v>
      </c>
      <c r="AY62">
        <v>0</v>
      </c>
      <c r="AZ62">
        <v>0.99242891070000006</v>
      </c>
      <c r="BA62">
        <v>5.9537144871000001</v>
      </c>
    </row>
    <row r="63" spans="1:53" x14ac:dyDescent="0.35">
      <c r="A63" s="13">
        <v>58</v>
      </c>
      <c r="B63" s="10" t="s">
        <v>146</v>
      </c>
      <c r="C63">
        <v>109.46728987</v>
      </c>
      <c r="D63">
        <v>40.242978690000001</v>
      </c>
      <c r="E63">
        <v>41.884137301000003</v>
      </c>
      <c r="F63">
        <v>7.8902833000000006E-2</v>
      </c>
      <c r="G63">
        <v>235.80925506</v>
      </c>
      <c r="H63">
        <v>0.82152285989999996</v>
      </c>
      <c r="I63">
        <v>16.143277489999999</v>
      </c>
      <c r="J63">
        <v>47.984383919999999</v>
      </c>
      <c r="K63">
        <v>2.0973236356</v>
      </c>
      <c r="L63">
        <v>19.424977044999999</v>
      </c>
      <c r="M63">
        <v>3.4652956118999998</v>
      </c>
      <c r="N63">
        <v>146.54238126999999</v>
      </c>
      <c r="O63">
        <v>208.18970381</v>
      </c>
      <c r="P63">
        <v>0.19631447169999999</v>
      </c>
      <c r="Q63">
        <v>462.48106185</v>
      </c>
      <c r="R63">
        <v>0.19085305</v>
      </c>
      <c r="S63">
        <v>1.2390999693</v>
      </c>
      <c r="T63">
        <v>0.18566601120000001</v>
      </c>
      <c r="U63">
        <v>1.8018688205</v>
      </c>
      <c r="V63">
        <v>22.918285655999998</v>
      </c>
      <c r="W63">
        <v>0.351308273</v>
      </c>
      <c r="X63">
        <v>7.8864420470000001</v>
      </c>
      <c r="Y63">
        <v>2.8986937075000001</v>
      </c>
      <c r="Z63">
        <v>59.008915961</v>
      </c>
      <c r="AA63">
        <v>68.028154270000002</v>
      </c>
      <c r="AB63">
        <v>105.73314467</v>
      </c>
      <c r="AC63">
        <v>12.911167953</v>
      </c>
      <c r="AD63">
        <v>1.7279307989999999</v>
      </c>
      <c r="AE63">
        <v>38.539069388999998</v>
      </c>
      <c r="AF63">
        <v>0.98684760189999998</v>
      </c>
      <c r="AG63">
        <v>1.6217811299999999E-2</v>
      </c>
      <c r="AH63">
        <v>0.97062979100000002</v>
      </c>
      <c r="AI63">
        <v>0.1358600103</v>
      </c>
      <c r="AJ63">
        <v>0</v>
      </c>
      <c r="AK63">
        <v>6.7551377300000007E-2</v>
      </c>
      <c r="AL63">
        <v>0</v>
      </c>
      <c r="AM63">
        <v>0</v>
      </c>
      <c r="AN63">
        <v>6.8308633100000002E-2</v>
      </c>
      <c r="AO63">
        <v>0</v>
      </c>
      <c r="AP63">
        <v>0.13878319310000001</v>
      </c>
      <c r="AQ63">
        <v>1.2925972554</v>
      </c>
      <c r="AR63">
        <v>1.2652746340000001</v>
      </c>
      <c r="AS63">
        <v>2.2481017999999998E-2</v>
      </c>
      <c r="AT63">
        <v>3.4967129999999998E-3</v>
      </c>
      <c r="AU63">
        <v>0</v>
      </c>
      <c r="AV63">
        <v>0</v>
      </c>
      <c r="AW63">
        <v>1.292597255</v>
      </c>
      <c r="AX63">
        <v>0</v>
      </c>
      <c r="AY63">
        <v>0</v>
      </c>
      <c r="AZ63">
        <v>2.3308761033000001</v>
      </c>
      <c r="BA63">
        <v>9.7345337724000007</v>
      </c>
    </row>
    <row r="64" spans="1:53" x14ac:dyDescent="0.35">
      <c r="A64" s="13">
        <v>59</v>
      </c>
      <c r="B64" s="10" t="s">
        <v>148</v>
      </c>
      <c r="C64">
        <v>146.93400488</v>
      </c>
      <c r="D64">
        <v>42.087561899999997</v>
      </c>
      <c r="E64">
        <v>44.070414610999997</v>
      </c>
      <c r="F64">
        <v>0.15883343750000001</v>
      </c>
      <c r="G64">
        <v>323.19767942999999</v>
      </c>
      <c r="H64">
        <v>3.1290000816000001</v>
      </c>
      <c r="I64">
        <v>23.289911182000001</v>
      </c>
      <c r="J64">
        <v>79.693420340000003</v>
      </c>
      <c r="K64">
        <v>2.1895390492</v>
      </c>
      <c r="L64">
        <v>52.570688922999999</v>
      </c>
      <c r="M64">
        <v>4.6847300796000004</v>
      </c>
      <c r="N64">
        <v>190.40868426</v>
      </c>
      <c r="O64">
        <v>217.81572929999999</v>
      </c>
      <c r="P64">
        <v>0.22971236010000001</v>
      </c>
      <c r="Q64">
        <v>461.47862450999997</v>
      </c>
      <c r="R64">
        <v>0.25545619310000001</v>
      </c>
      <c r="S64">
        <v>0.16575936299999999</v>
      </c>
      <c r="T64">
        <v>0.18559106650000001</v>
      </c>
      <c r="U64">
        <v>0.4643775041</v>
      </c>
      <c r="V64">
        <v>50.395297499000002</v>
      </c>
      <c r="W64">
        <v>2.095902358</v>
      </c>
      <c r="X64">
        <v>3.93351579</v>
      </c>
      <c r="Y64">
        <v>1.3674280559000001</v>
      </c>
      <c r="Z64">
        <v>48.280174999000003</v>
      </c>
      <c r="AA64">
        <v>133.15304809</v>
      </c>
      <c r="AB64">
        <v>149.19160844000001</v>
      </c>
      <c r="AC64">
        <v>32.085232668000003</v>
      </c>
      <c r="AD64">
        <v>1.495539765</v>
      </c>
      <c r="AE64">
        <v>43.329642485000001</v>
      </c>
      <c r="AF64">
        <v>1.7609410048</v>
      </c>
      <c r="AG64">
        <v>0.50735033829999998</v>
      </c>
      <c r="AH64">
        <v>1.2535906670000001</v>
      </c>
      <c r="AI64">
        <v>2.4570859399999999E-2</v>
      </c>
      <c r="AJ64">
        <v>0</v>
      </c>
      <c r="AK64">
        <v>4.1539107E-3</v>
      </c>
      <c r="AL64">
        <v>1.1651405599999999E-2</v>
      </c>
      <c r="AM64">
        <v>3.3170317E-3</v>
      </c>
      <c r="AN64">
        <v>5.4485113000000002E-3</v>
      </c>
      <c r="AO64">
        <v>1.40916155E-2</v>
      </c>
      <c r="AP64">
        <v>0.18716576600000001</v>
      </c>
      <c r="AQ64">
        <v>1.2831226871999999</v>
      </c>
      <c r="AR64">
        <v>0</v>
      </c>
      <c r="AS64">
        <v>0</v>
      </c>
      <c r="AT64">
        <v>0.17870454399999999</v>
      </c>
      <c r="AU64">
        <v>0</v>
      </c>
      <c r="AV64">
        <v>1.05953013</v>
      </c>
      <c r="AW64">
        <v>0.223592557</v>
      </c>
      <c r="AX64">
        <v>0</v>
      </c>
      <c r="AY64">
        <v>1.05953013</v>
      </c>
      <c r="AZ64">
        <v>8.1218127084000002</v>
      </c>
      <c r="BA64">
        <v>28.356816168999998</v>
      </c>
    </row>
    <row r="65" spans="1:53" x14ac:dyDescent="0.35">
      <c r="A65" s="13">
        <v>60</v>
      </c>
      <c r="B65" s="10" t="s">
        <v>149</v>
      </c>
      <c r="C65">
        <v>9.0936050656000003</v>
      </c>
      <c r="D65">
        <v>5.0081853540000001</v>
      </c>
      <c r="E65">
        <v>2.9985844029000002</v>
      </c>
      <c r="F65">
        <v>3.4570785899999998E-2</v>
      </c>
      <c r="G65">
        <v>62.451667378000003</v>
      </c>
      <c r="H65">
        <v>0.52011720549999996</v>
      </c>
      <c r="I65">
        <v>6.0686661651999998</v>
      </c>
      <c r="J65">
        <v>16.56740345</v>
      </c>
      <c r="K65">
        <v>0.59725599250000005</v>
      </c>
      <c r="L65">
        <v>6.3577341663000002</v>
      </c>
      <c r="M65">
        <v>0.88204267540000003</v>
      </c>
      <c r="N65">
        <v>25.319702181</v>
      </c>
      <c r="O65">
        <v>63.749353845000002</v>
      </c>
      <c r="P65">
        <v>4.2177843999999999E-2</v>
      </c>
      <c r="Q65">
        <v>268.61637795000001</v>
      </c>
      <c r="R65">
        <v>5.2384136400000003E-2</v>
      </c>
      <c r="S65">
        <v>6.7376675799999994E-2</v>
      </c>
      <c r="T65">
        <v>2.3005891600000002E-2</v>
      </c>
      <c r="U65">
        <v>0.57661040060000002</v>
      </c>
      <c r="V65">
        <v>7.9978066400000003</v>
      </c>
      <c r="W65">
        <v>0.304065156</v>
      </c>
      <c r="X65">
        <v>2.5874946539999999</v>
      </c>
      <c r="Y65">
        <v>0.22798717639999999</v>
      </c>
      <c r="Z65">
        <v>9.2654730710000006</v>
      </c>
      <c r="AA65">
        <v>32.600893868999997</v>
      </c>
      <c r="AB65">
        <v>20.644415322</v>
      </c>
      <c r="AC65">
        <v>2.6265328649999997</v>
      </c>
      <c r="AD65">
        <v>0.11636892900000001</v>
      </c>
      <c r="AE65">
        <v>8.9313814168000007</v>
      </c>
      <c r="AF65">
        <v>0.33606231419999999</v>
      </c>
      <c r="AG65">
        <v>0</v>
      </c>
      <c r="AH65">
        <v>0.33606231399999997</v>
      </c>
      <c r="AI65">
        <v>3.7015099699999998E-2</v>
      </c>
      <c r="AJ65">
        <v>5.1455400000000002E-5</v>
      </c>
      <c r="AK65">
        <v>1.0228063500000001E-2</v>
      </c>
      <c r="AL65">
        <v>7.3174208999999997E-3</v>
      </c>
      <c r="AM65">
        <v>1.00968342E-2</v>
      </c>
      <c r="AN65">
        <v>9.3213257000000008E-3</v>
      </c>
      <c r="AO65" s="14">
        <v>9.6818792000000004E-6</v>
      </c>
      <c r="AP65">
        <v>3.5372018000000001E-3</v>
      </c>
      <c r="AQ65">
        <v>7.8307916899999996E-2</v>
      </c>
      <c r="AR65">
        <v>2.5904729000000001E-2</v>
      </c>
      <c r="AS65">
        <v>3.4635676999999997E-2</v>
      </c>
      <c r="AT65">
        <v>1.6005489999999999E-3</v>
      </c>
      <c r="AU65">
        <v>0</v>
      </c>
      <c r="AV65">
        <v>0</v>
      </c>
      <c r="AW65">
        <v>7.8307917000000005E-2</v>
      </c>
      <c r="AX65">
        <v>0</v>
      </c>
      <c r="AY65">
        <v>0</v>
      </c>
      <c r="AZ65">
        <v>9.1537999800000006E-2</v>
      </c>
      <c r="BA65">
        <v>6.7724254100000006E-2</v>
      </c>
    </row>
    <row r="66" spans="1:53" x14ac:dyDescent="0.35">
      <c r="A66" s="13">
        <v>61</v>
      </c>
      <c r="B66" s="10" t="s">
        <v>151</v>
      </c>
      <c r="C66">
        <v>26.490867703999999</v>
      </c>
      <c r="D66">
        <v>17.023916979999999</v>
      </c>
      <c r="E66">
        <v>10.757502627999999</v>
      </c>
      <c r="F66">
        <v>4.9839410100000002E-2</v>
      </c>
      <c r="G66">
        <v>74.556733635000001</v>
      </c>
      <c r="H66">
        <v>0.79971868329999996</v>
      </c>
      <c r="I66">
        <v>2.4648144608</v>
      </c>
      <c r="J66">
        <v>13.89614856</v>
      </c>
      <c r="K66">
        <v>0.62742778129999999</v>
      </c>
      <c r="L66">
        <v>10.889548157</v>
      </c>
      <c r="M66">
        <v>1.0370260515</v>
      </c>
      <c r="N66">
        <v>50.540762647000001</v>
      </c>
      <c r="O66">
        <v>131.11881059000001</v>
      </c>
      <c r="P66">
        <v>6.7510563800000006E-2</v>
      </c>
      <c r="Q66">
        <v>370.37901427000003</v>
      </c>
      <c r="R66">
        <v>4.4204135800000002E-2</v>
      </c>
      <c r="S66">
        <v>0.24474334549999999</v>
      </c>
      <c r="T66">
        <v>7.0464830000000006E-2</v>
      </c>
      <c r="U66">
        <v>2.9697574042000001</v>
      </c>
      <c r="V66">
        <v>33.951341782999997</v>
      </c>
      <c r="W66">
        <v>0.27577605599999999</v>
      </c>
      <c r="X66">
        <v>11.78041335</v>
      </c>
      <c r="Y66">
        <v>0.63635620540000004</v>
      </c>
      <c r="Z66">
        <v>19.481277905999999</v>
      </c>
      <c r="AA66">
        <v>32.097724559</v>
      </c>
      <c r="AB66">
        <v>22.720410768000001</v>
      </c>
      <c r="AC66">
        <v>4.1142497579999997</v>
      </c>
      <c r="AD66">
        <v>0.56883281400000008</v>
      </c>
      <c r="AE66">
        <v>7.2245528964999997</v>
      </c>
      <c r="AF66">
        <v>0.25172131019999999</v>
      </c>
      <c r="AG66">
        <v>0</v>
      </c>
      <c r="AH66">
        <v>0.25172130999999998</v>
      </c>
      <c r="AI66">
        <v>0.1619162395</v>
      </c>
      <c r="AJ66">
        <v>3.0982293000000001E-2</v>
      </c>
      <c r="AK66">
        <v>2.8444578599999999E-2</v>
      </c>
      <c r="AL66">
        <v>9.1097965999999992E-3</v>
      </c>
      <c r="AM66">
        <v>2.728945E-2</v>
      </c>
      <c r="AN66">
        <v>6.6090121200000004E-2</v>
      </c>
      <c r="AO66">
        <v>0</v>
      </c>
      <c r="AP66">
        <v>4.1877110600000003E-2</v>
      </c>
      <c r="AQ66">
        <v>0.32185948739999998</v>
      </c>
      <c r="AR66">
        <v>0.218674588</v>
      </c>
      <c r="AS66">
        <v>6.3479462E-2</v>
      </c>
      <c r="AT66">
        <v>6.3650499999999999E-4</v>
      </c>
      <c r="AU66">
        <v>0</v>
      </c>
      <c r="AV66">
        <v>0</v>
      </c>
      <c r="AW66">
        <v>0.321859487</v>
      </c>
      <c r="AX66">
        <v>0</v>
      </c>
      <c r="AY66">
        <v>0</v>
      </c>
      <c r="AZ66">
        <v>0.66242808890000004</v>
      </c>
      <c r="BA66">
        <v>1.0441132287999999</v>
      </c>
    </row>
    <row r="67" spans="1:53" x14ac:dyDescent="0.35">
      <c r="A67" s="13">
        <v>62</v>
      </c>
      <c r="B67" s="10" t="s">
        <v>153</v>
      </c>
      <c r="C67">
        <v>11.131808045</v>
      </c>
      <c r="D67">
        <v>10.913947629999999</v>
      </c>
      <c r="E67">
        <v>12.495936785</v>
      </c>
      <c r="F67">
        <v>4.2269944900000002E-2</v>
      </c>
      <c r="G67">
        <v>46.627614004000002</v>
      </c>
      <c r="H67">
        <v>0.51221411890000001</v>
      </c>
      <c r="I67">
        <v>5.0468676141</v>
      </c>
      <c r="J67">
        <v>12.80733605</v>
      </c>
      <c r="K67">
        <v>0.47118772069999998</v>
      </c>
      <c r="L67">
        <v>6.7975851429</v>
      </c>
      <c r="M67">
        <v>1.203064889</v>
      </c>
      <c r="N67">
        <v>38.776925546000001</v>
      </c>
      <c r="O67">
        <v>71.377346893999999</v>
      </c>
      <c r="P67">
        <v>6.55207805E-2</v>
      </c>
      <c r="Q67">
        <v>357.62830759000002</v>
      </c>
      <c r="R67">
        <v>5.62042336E-2</v>
      </c>
      <c r="S67">
        <v>0.20065025880000001</v>
      </c>
      <c r="T67">
        <v>4.2405756699999998E-2</v>
      </c>
      <c r="U67">
        <v>0.99133359590000003</v>
      </c>
      <c r="V67">
        <v>24.093955938000001</v>
      </c>
      <c r="W67">
        <v>0.16012252799999999</v>
      </c>
      <c r="X67">
        <v>7.3266358010000001</v>
      </c>
      <c r="Y67">
        <v>0.38541043460000002</v>
      </c>
      <c r="Z67">
        <v>14.336077584</v>
      </c>
      <c r="AA67">
        <v>17.997112028</v>
      </c>
      <c r="AB67">
        <v>14.579168243</v>
      </c>
      <c r="AC67">
        <v>2.92328235</v>
      </c>
      <c r="AD67">
        <v>0.26864243100000001</v>
      </c>
      <c r="AE67">
        <v>3.6971259156</v>
      </c>
      <c r="AF67">
        <v>0.13786949239999999</v>
      </c>
      <c r="AG67">
        <v>0</v>
      </c>
      <c r="AH67">
        <v>0.13786949200000001</v>
      </c>
      <c r="AI67">
        <v>6.5412906600000001E-2</v>
      </c>
      <c r="AJ67">
        <v>0</v>
      </c>
      <c r="AK67">
        <v>2.17501864E-2</v>
      </c>
      <c r="AL67">
        <v>6.8921360000000003E-4</v>
      </c>
      <c r="AM67">
        <v>1.38943486E-2</v>
      </c>
      <c r="AN67">
        <v>2.9079158000000001E-2</v>
      </c>
      <c r="AO67">
        <v>0</v>
      </c>
      <c r="AP67">
        <v>4.9081163999999998E-3</v>
      </c>
      <c r="AQ67">
        <v>0.34102344060000001</v>
      </c>
      <c r="AR67">
        <v>3.0340347E-2</v>
      </c>
      <c r="AS67">
        <v>0.28431743199999998</v>
      </c>
      <c r="AT67">
        <v>1.6409855000000001E-2</v>
      </c>
      <c r="AU67">
        <v>1.28391E-4</v>
      </c>
      <c r="AV67">
        <v>0</v>
      </c>
      <c r="AW67">
        <v>0.33208268800000001</v>
      </c>
      <c r="AX67">
        <v>8.8123620000000007E-3</v>
      </c>
      <c r="AY67">
        <v>1.28391E-4</v>
      </c>
      <c r="AZ67">
        <v>0.34258539900000001</v>
      </c>
      <c r="BA67">
        <v>8.6731249199999999E-2</v>
      </c>
    </row>
    <row r="68" spans="1:53" x14ac:dyDescent="0.35">
      <c r="A68" s="13">
        <v>63</v>
      </c>
      <c r="B68" s="10" t="s">
        <v>154</v>
      </c>
      <c r="C68">
        <v>20.526951618999998</v>
      </c>
      <c r="D68">
        <v>15.411765709999999</v>
      </c>
      <c r="E68">
        <v>9.0496028461000009</v>
      </c>
      <c r="F68">
        <v>5.8840251500000003E-2</v>
      </c>
      <c r="G68">
        <v>56.378662192</v>
      </c>
      <c r="H68">
        <v>1.1445618055</v>
      </c>
      <c r="I68">
        <v>0.92573446839999995</v>
      </c>
      <c r="J68">
        <v>15.185574280000001</v>
      </c>
      <c r="K68">
        <v>0.59561460209999995</v>
      </c>
      <c r="L68">
        <v>11.255983848</v>
      </c>
      <c r="M68">
        <v>1.2834427347999999</v>
      </c>
      <c r="N68">
        <v>59.049512188999998</v>
      </c>
      <c r="O68">
        <v>185.56170695</v>
      </c>
      <c r="P68">
        <v>6.92064602E-2</v>
      </c>
      <c r="Q68">
        <v>252.27491153</v>
      </c>
      <c r="R68">
        <v>5.5962795599999997E-2</v>
      </c>
      <c r="S68">
        <v>0.2634501548</v>
      </c>
      <c r="T68">
        <v>8.5007190199999999E-2</v>
      </c>
      <c r="U68">
        <v>4.7173397481999997</v>
      </c>
      <c r="V68">
        <v>32.212870006000003</v>
      </c>
      <c r="W68">
        <v>0.253951555</v>
      </c>
      <c r="X68">
        <v>12.334974389999999</v>
      </c>
      <c r="Y68">
        <v>0.3946899787</v>
      </c>
      <c r="Z68">
        <v>16.584397316</v>
      </c>
      <c r="AA68">
        <v>26.186325288999999</v>
      </c>
      <c r="AB68">
        <v>14.807952501000001</v>
      </c>
      <c r="AC68">
        <v>2.994748848</v>
      </c>
      <c r="AD68">
        <v>0.33658918199999999</v>
      </c>
      <c r="AE68">
        <v>3.6675385889999998</v>
      </c>
      <c r="AF68">
        <v>3.66474621E-2</v>
      </c>
      <c r="AG68">
        <v>0</v>
      </c>
      <c r="AH68">
        <v>3.6647461999999999E-2</v>
      </c>
      <c r="AI68">
        <v>0.2729916966</v>
      </c>
      <c r="AJ68">
        <v>4.6015557999999996E-3</v>
      </c>
      <c r="AK68">
        <v>7.6705267399999999E-2</v>
      </c>
      <c r="AL68">
        <v>3.0039607999999999E-2</v>
      </c>
      <c r="AM68">
        <v>7.4128796999999996E-2</v>
      </c>
      <c r="AN68">
        <v>8.7516468400000005E-2</v>
      </c>
      <c r="AO68">
        <v>0</v>
      </c>
      <c r="AP68">
        <v>1.3667870400000001E-2</v>
      </c>
      <c r="AQ68">
        <v>0.28470259339999998</v>
      </c>
      <c r="AR68">
        <v>6.3903582E-2</v>
      </c>
      <c r="AS68">
        <v>0.163908886</v>
      </c>
      <c r="AT68" s="14">
        <v>7.6437800000000002E-5</v>
      </c>
      <c r="AU68">
        <v>0</v>
      </c>
      <c r="AV68">
        <v>0</v>
      </c>
      <c r="AW68">
        <v>0.23378681500000001</v>
      </c>
      <c r="AX68">
        <v>5.0915779000000001E-2</v>
      </c>
      <c r="AY68">
        <v>0</v>
      </c>
      <c r="AZ68">
        <v>0.57237862480000001</v>
      </c>
      <c r="BA68">
        <v>0.69650530779999997</v>
      </c>
    </row>
    <row r="69" spans="1:53" x14ac:dyDescent="0.35">
      <c r="A69" s="13">
        <v>64</v>
      </c>
      <c r="B69" s="10" t="s">
        <v>155</v>
      </c>
      <c r="C69">
        <v>45.798174316999997</v>
      </c>
      <c r="D69">
        <v>22.80534141</v>
      </c>
      <c r="E69">
        <v>21.226391068000002</v>
      </c>
      <c r="F69">
        <v>9.3784478800000001E-2</v>
      </c>
      <c r="G69">
        <v>139.97242716</v>
      </c>
      <c r="H69">
        <v>1.9365938001</v>
      </c>
      <c r="I69">
        <v>0.31960453640000003</v>
      </c>
      <c r="J69">
        <v>19.477183409999999</v>
      </c>
      <c r="K69">
        <v>0.58246659690000002</v>
      </c>
      <c r="L69">
        <v>17.577375228000001</v>
      </c>
      <c r="M69">
        <v>0.96315370170000003</v>
      </c>
      <c r="N69">
        <v>76.044416687999998</v>
      </c>
      <c r="O69">
        <v>242.45332264999999</v>
      </c>
      <c r="P69">
        <v>8.73129562E-2</v>
      </c>
      <c r="Q69">
        <v>329.33456927999998</v>
      </c>
      <c r="R69">
        <v>0.1008586476</v>
      </c>
      <c r="S69">
        <v>0.14468199330000001</v>
      </c>
      <c r="T69">
        <v>0.14977830919999999</v>
      </c>
      <c r="U69">
        <v>5.2715514105999999</v>
      </c>
      <c r="V69">
        <v>43.552182189</v>
      </c>
      <c r="W69">
        <v>0.56963917399999997</v>
      </c>
      <c r="X69">
        <v>9.3284082640000001</v>
      </c>
      <c r="Y69">
        <v>0.50380958939999998</v>
      </c>
      <c r="Z69">
        <v>12.724487807999999</v>
      </c>
      <c r="AA69">
        <v>53.488795603</v>
      </c>
      <c r="AB69">
        <v>75.841656626000002</v>
      </c>
      <c r="AC69">
        <v>20.245814154000001</v>
      </c>
      <c r="AD69">
        <v>2.3197106340000002</v>
      </c>
      <c r="AE69">
        <v>23.988337354999999</v>
      </c>
      <c r="AF69">
        <v>2.3465482700000002E-2</v>
      </c>
      <c r="AG69">
        <v>0</v>
      </c>
      <c r="AH69">
        <v>2.3465482999999999E-2</v>
      </c>
      <c r="AI69">
        <v>0.44110408140000001</v>
      </c>
      <c r="AJ69">
        <v>5.6400700000000005E-4</v>
      </c>
      <c r="AK69">
        <v>8.3482915000000005E-3</v>
      </c>
      <c r="AL69">
        <v>2.9392428799999998E-2</v>
      </c>
      <c r="AM69">
        <v>0.35773340790000002</v>
      </c>
      <c r="AN69">
        <v>4.50659463E-2</v>
      </c>
      <c r="AO69">
        <v>2.1753598999999998E-3</v>
      </c>
      <c r="AP69">
        <v>8.9054663199999995E-2</v>
      </c>
      <c r="AQ69">
        <v>0.16828866789999999</v>
      </c>
      <c r="AR69">
        <v>1.4668976E-2</v>
      </c>
      <c r="AS69">
        <v>0</v>
      </c>
      <c r="AT69">
        <v>6.5155058000000002E-2</v>
      </c>
      <c r="AU69">
        <v>0</v>
      </c>
      <c r="AV69">
        <v>8.8464634E-2</v>
      </c>
      <c r="AW69">
        <v>7.9824034000000002E-2</v>
      </c>
      <c r="AX69">
        <v>0</v>
      </c>
      <c r="AY69">
        <v>8.8464634E-2</v>
      </c>
      <c r="AZ69">
        <v>4.1038262386</v>
      </c>
      <c r="BA69">
        <v>0.58532452960000003</v>
      </c>
    </row>
    <row r="70" spans="1:53" x14ac:dyDescent="0.35">
      <c r="A70" s="13">
        <v>65</v>
      </c>
      <c r="B70" s="10" t="s">
        <v>157</v>
      </c>
      <c r="C70">
        <v>50.572651977</v>
      </c>
      <c r="D70">
        <v>14.914105060000001</v>
      </c>
      <c r="E70">
        <v>12.2036888</v>
      </c>
      <c r="F70">
        <v>0.10705915019999999</v>
      </c>
      <c r="G70">
        <v>121.43791776</v>
      </c>
      <c r="H70">
        <v>1.6703551501</v>
      </c>
      <c r="I70">
        <v>0.31542332369999998</v>
      </c>
      <c r="J70">
        <v>20.833654549999999</v>
      </c>
      <c r="K70">
        <v>0.62974788540000004</v>
      </c>
      <c r="L70">
        <v>21.615231659999999</v>
      </c>
      <c r="M70">
        <v>1.2719620277999999</v>
      </c>
      <c r="N70">
        <v>72.209231368999994</v>
      </c>
      <c r="O70">
        <v>344.88266417</v>
      </c>
      <c r="P70">
        <v>6.7562593200000007E-2</v>
      </c>
      <c r="Q70">
        <v>279.49094416000003</v>
      </c>
      <c r="R70">
        <v>6.1665181899999998E-2</v>
      </c>
      <c r="S70">
        <v>6.3294307499999994E-2</v>
      </c>
      <c r="T70">
        <v>0.21946580060000001</v>
      </c>
      <c r="U70">
        <v>8.9179489833000005</v>
      </c>
      <c r="V70">
        <v>54.186079255999999</v>
      </c>
      <c r="W70">
        <v>0.444034867</v>
      </c>
      <c r="X70">
        <v>10.201676450000001</v>
      </c>
      <c r="Y70">
        <v>0.47176146860000001</v>
      </c>
      <c r="Z70">
        <v>12.267962524</v>
      </c>
      <c r="AA70">
        <v>62.642533608999997</v>
      </c>
      <c r="AB70">
        <v>49.320224797000002</v>
      </c>
      <c r="AC70">
        <v>6.8636194110000002</v>
      </c>
      <c r="AD70">
        <v>0.94824105300000006</v>
      </c>
      <c r="AE70">
        <v>23.778842588</v>
      </c>
      <c r="AF70">
        <v>2.22819751E-2</v>
      </c>
      <c r="AG70">
        <v>0</v>
      </c>
      <c r="AH70">
        <v>2.2281974999999999E-2</v>
      </c>
      <c r="AI70">
        <v>0.61830553649999997</v>
      </c>
      <c r="AJ70">
        <v>6.1534967000000003E-3</v>
      </c>
      <c r="AK70">
        <v>4.2092369999999997E-2</v>
      </c>
      <c r="AL70">
        <v>0</v>
      </c>
      <c r="AM70">
        <v>0.50074391789999995</v>
      </c>
      <c r="AN70">
        <v>6.93157519E-2</v>
      </c>
      <c r="AO70">
        <v>0</v>
      </c>
      <c r="AP70">
        <v>0.1184696824</v>
      </c>
      <c r="AQ70">
        <v>1.4769471399999999E-2</v>
      </c>
      <c r="AR70">
        <v>9.5053280000000004E-3</v>
      </c>
      <c r="AS70">
        <v>0</v>
      </c>
      <c r="AT70">
        <v>1.1394580000000001E-3</v>
      </c>
      <c r="AU70">
        <v>0</v>
      </c>
      <c r="AV70">
        <v>0</v>
      </c>
      <c r="AW70">
        <v>1.4769470999999999E-2</v>
      </c>
      <c r="AX70">
        <v>0</v>
      </c>
      <c r="AY70">
        <v>0</v>
      </c>
      <c r="AZ70">
        <v>1.1247579299999999</v>
      </c>
      <c r="BA70">
        <v>0.88783004970000001</v>
      </c>
    </row>
    <row r="71" spans="1:53" x14ac:dyDescent="0.35">
      <c r="A71" s="13">
        <v>66</v>
      </c>
      <c r="B71" s="10" t="s">
        <v>158</v>
      </c>
      <c r="C71">
        <v>39.421996610000001</v>
      </c>
      <c r="D71">
        <v>13.31553345</v>
      </c>
      <c r="E71">
        <v>7.8862634754999998</v>
      </c>
      <c r="F71">
        <v>0.12465989249999999</v>
      </c>
      <c r="G71">
        <v>110.77667398</v>
      </c>
      <c r="H71">
        <v>1.7480594503</v>
      </c>
      <c r="I71">
        <v>0.1483503951</v>
      </c>
      <c r="J71">
        <v>23.964079890000001</v>
      </c>
      <c r="K71">
        <v>0.44628911189999998</v>
      </c>
      <c r="L71">
        <v>18.650424051000002</v>
      </c>
      <c r="M71">
        <v>0.83914812900000002</v>
      </c>
      <c r="N71">
        <v>59.791769315000003</v>
      </c>
      <c r="O71">
        <v>258.12382403999999</v>
      </c>
      <c r="P71">
        <v>6.9395152900000007E-2</v>
      </c>
      <c r="Q71">
        <v>234.41318368</v>
      </c>
      <c r="R71">
        <v>7.3303814699999997E-2</v>
      </c>
      <c r="S71">
        <v>3.45203881E-2</v>
      </c>
      <c r="T71">
        <v>0.19066375490000001</v>
      </c>
      <c r="U71">
        <v>11.180861235</v>
      </c>
      <c r="V71">
        <v>58.148721106000004</v>
      </c>
      <c r="W71">
        <v>0.60656405599999996</v>
      </c>
      <c r="X71">
        <v>22.913332929999999</v>
      </c>
      <c r="Y71">
        <v>0.37068489129999999</v>
      </c>
      <c r="Z71">
        <v>9.7678031742000009</v>
      </c>
      <c r="AA71">
        <v>51.409978596000002</v>
      </c>
      <c r="AB71">
        <v>52.649544314000003</v>
      </c>
      <c r="AC71">
        <v>11.878801901999999</v>
      </c>
      <c r="AD71">
        <v>1.434912363</v>
      </c>
      <c r="AE71">
        <v>17.645860682999999</v>
      </c>
      <c r="AF71">
        <v>2.8043176499999999E-2</v>
      </c>
      <c r="AG71">
        <v>0</v>
      </c>
      <c r="AH71">
        <v>2.8043176999999999E-2</v>
      </c>
      <c r="AI71">
        <v>0.57274694690000005</v>
      </c>
      <c r="AJ71">
        <v>7.7388922200000002E-2</v>
      </c>
      <c r="AK71">
        <v>2.8528771599999999E-2</v>
      </c>
      <c r="AL71">
        <v>9.3396238999999999E-3</v>
      </c>
      <c r="AM71">
        <v>0.319208981</v>
      </c>
      <c r="AN71">
        <v>0.1382806483</v>
      </c>
      <c r="AO71">
        <v>1.764091E-3</v>
      </c>
      <c r="AP71">
        <v>5.5748689900000002E-2</v>
      </c>
      <c r="AQ71">
        <v>6.3781659599999999E-2</v>
      </c>
      <c r="AR71">
        <v>0</v>
      </c>
      <c r="AS71">
        <v>0</v>
      </c>
      <c r="AT71">
        <v>1.184792E-3</v>
      </c>
      <c r="AU71">
        <v>2.2722625E-2</v>
      </c>
      <c r="AV71">
        <v>3.8377327000000003E-2</v>
      </c>
      <c r="AW71">
        <v>2.6817080000000001E-3</v>
      </c>
      <c r="AX71">
        <v>0</v>
      </c>
      <c r="AY71">
        <v>6.1099951999999999E-2</v>
      </c>
      <c r="AZ71">
        <v>2.8542118465000001</v>
      </c>
      <c r="BA71">
        <v>2.924638158</v>
      </c>
    </row>
    <row r="72" spans="1:53" x14ac:dyDescent="0.35">
      <c r="A72" s="13">
        <v>67</v>
      </c>
      <c r="B72" s="10" t="s">
        <v>160</v>
      </c>
      <c r="C72">
        <v>25.511052457000002</v>
      </c>
      <c r="D72">
        <v>17.397123149999999</v>
      </c>
      <c r="E72">
        <v>13.387543300000001</v>
      </c>
      <c r="F72">
        <v>0.1151237643</v>
      </c>
      <c r="G72">
        <v>121.11224633</v>
      </c>
      <c r="H72">
        <v>1.3445358963</v>
      </c>
      <c r="I72">
        <v>0.11029293900000001</v>
      </c>
      <c r="J72">
        <v>12.128177519999999</v>
      </c>
      <c r="K72">
        <v>0.39360526299999998</v>
      </c>
      <c r="L72">
        <v>18.365802576</v>
      </c>
      <c r="M72">
        <v>0.97050590270000003</v>
      </c>
      <c r="N72">
        <v>52.235804063000003</v>
      </c>
      <c r="O72">
        <v>286.80252890999998</v>
      </c>
      <c r="P72">
        <v>5.7436346499999999E-2</v>
      </c>
      <c r="Q72">
        <v>225.21832745</v>
      </c>
      <c r="R72">
        <v>9.0197987399999999E-2</v>
      </c>
      <c r="S72">
        <v>4.8640751400000001E-2</v>
      </c>
      <c r="T72">
        <v>0.2282931617</v>
      </c>
      <c r="U72">
        <v>10.918047471</v>
      </c>
      <c r="V72">
        <v>52.700262109999997</v>
      </c>
      <c r="W72">
        <v>0.51681112299999998</v>
      </c>
      <c r="X72">
        <v>8.884720132</v>
      </c>
      <c r="Y72">
        <v>0.278488022</v>
      </c>
      <c r="Z72">
        <v>8.4721720677000008</v>
      </c>
      <c r="AA72">
        <v>64.715216061000007</v>
      </c>
      <c r="AB72">
        <v>50.784292966999999</v>
      </c>
      <c r="AC72">
        <v>11.960807210999999</v>
      </c>
      <c r="AD72">
        <v>1.5937552260000001</v>
      </c>
      <c r="AE72">
        <v>19.529998365000001</v>
      </c>
      <c r="AF72">
        <v>6.3224908000000003E-3</v>
      </c>
      <c r="AG72">
        <v>0</v>
      </c>
      <c r="AH72">
        <v>6.3224910000000004E-3</v>
      </c>
      <c r="AI72">
        <v>0.58693107879999995</v>
      </c>
      <c r="AJ72">
        <v>1.6151990000000001E-3</v>
      </c>
      <c r="AK72">
        <v>2.19808646E-2</v>
      </c>
      <c r="AL72">
        <v>9.2297090000000004E-4</v>
      </c>
      <c r="AM72">
        <v>0.5090371735</v>
      </c>
      <c r="AN72">
        <v>5.3374870800000002E-2</v>
      </c>
      <c r="AO72">
        <v>0</v>
      </c>
      <c r="AP72">
        <v>3.2360328600000002E-2</v>
      </c>
      <c r="AQ72">
        <v>2.7497511200000001E-2</v>
      </c>
      <c r="AR72">
        <v>0</v>
      </c>
      <c r="AS72">
        <v>0</v>
      </c>
      <c r="AT72">
        <v>2.7497510999999999E-2</v>
      </c>
      <c r="AU72">
        <v>0</v>
      </c>
      <c r="AV72">
        <v>0</v>
      </c>
      <c r="AW72">
        <v>2.7497510999999999E-2</v>
      </c>
      <c r="AX72">
        <v>0</v>
      </c>
      <c r="AY72">
        <v>0</v>
      </c>
      <c r="AZ72">
        <v>2.6298423109</v>
      </c>
      <c r="BA72">
        <v>3.8958467319999999</v>
      </c>
    </row>
    <row r="73" spans="1:53" x14ac:dyDescent="0.35">
      <c r="A73" s="13">
        <v>68</v>
      </c>
      <c r="B73" s="10" t="s">
        <v>161</v>
      </c>
      <c r="C73">
        <v>60.331769176999998</v>
      </c>
      <c r="D73">
        <v>45.303599939999998</v>
      </c>
      <c r="E73">
        <v>1.0995795160999999</v>
      </c>
      <c r="F73">
        <v>0.62056596109999995</v>
      </c>
      <c r="G73">
        <v>533.75688344000002</v>
      </c>
      <c r="H73">
        <v>6.7973093204000001</v>
      </c>
      <c r="I73">
        <v>5.8513350892</v>
      </c>
      <c r="J73">
        <v>86.966743980000004</v>
      </c>
      <c r="K73">
        <v>2.0706098264000001</v>
      </c>
      <c r="L73">
        <v>132.51099567</v>
      </c>
      <c r="M73">
        <v>7.8085527500999996</v>
      </c>
      <c r="N73">
        <v>365.08243313999998</v>
      </c>
      <c r="O73">
        <v>526.91223780999997</v>
      </c>
      <c r="P73">
        <v>0.20555231939999999</v>
      </c>
      <c r="Q73">
        <v>326.49618190000001</v>
      </c>
      <c r="R73">
        <v>0.1423197474</v>
      </c>
      <c r="S73">
        <v>3.5736334299999999E-2</v>
      </c>
      <c r="T73">
        <v>0.34277041070000003</v>
      </c>
      <c r="U73">
        <v>0.52464294320000004</v>
      </c>
      <c r="V73">
        <v>4.1275355389000001</v>
      </c>
      <c r="W73">
        <v>6.3074058510000004</v>
      </c>
      <c r="X73">
        <v>5.7478323050000002</v>
      </c>
      <c r="Y73">
        <v>2.4902428986</v>
      </c>
      <c r="Z73">
        <v>64.338438738999997</v>
      </c>
      <c r="AA73">
        <v>155.43959225</v>
      </c>
      <c r="AB73">
        <v>347.41295219</v>
      </c>
      <c r="AC73">
        <v>94.017874049999989</v>
      </c>
      <c r="AD73">
        <v>2.2547690459999998</v>
      </c>
      <c r="AE73">
        <v>60.084020223000003</v>
      </c>
      <c r="AF73">
        <v>0.23080266190000001</v>
      </c>
      <c r="AG73">
        <v>0</v>
      </c>
      <c r="AH73">
        <v>0.23080266199999999</v>
      </c>
      <c r="AI73">
        <v>0</v>
      </c>
      <c r="AJ73">
        <v>0</v>
      </c>
      <c r="AK73">
        <v>0</v>
      </c>
      <c r="AL73">
        <v>0</v>
      </c>
      <c r="AM73">
        <v>0</v>
      </c>
      <c r="AN73">
        <v>0</v>
      </c>
      <c r="AO73">
        <v>0.16826107339999999</v>
      </c>
      <c r="AP73">
        <v>2.1991590299999999E-2</v>
      </c>
      <c r="AQ73">
        <v>4.8135228368999998</v>
      </c>
      <c r="AR73">
        <v>0</v>
      </c>
      <c r="AS73">
        <v>0</v>
      </c>
      <c r="AT73">
        <v>0</v>
      </c>
      <c r="AU73">
        <v>0</v>
      </c>
      <c r="AV73">
        <v>4.8135228369999998</v>
      </c>
      <c r="AW73">
        <v>0</v>
      </c>
      <c r="AX73">
        <v>0</v>
      </c>
      <c r="AY73">
        <v>4.8135228369999998</v>
      </c>
      <c r="AZ73">
        <v>23.856976886000002</v>
      </c>
      <c r="BA73">
        <v>54.672089778</v>
      </c>
    </row>
    <row r="74" spans="1:53" x14ac:dyDescent="0.35">
      <c r="A74" s="13">
        <v>69</v>
      </c>
      <c r="B74" s="10" t="s">
        <v>163</v>
      </c>
      <c r="C74">
        <v>110.17668877</v>
      </c>
      <c r="D74">
        <v>54.239505690000001</v>
      </c>
      <c r="E74">
        <v>0</v>
      </c>
      <c r="F74">
        <v>1.0096975659</v>
      </c>
      <c r="G74">
        <v>576.60102189999998</v>
      </c>
      <c r="H74">
        <v>9.0003887704000007</v>
      </c>
      <c r="I74">
        <v>0</v>
      </c>
      <c r="J74">
        <v>80.111313879999997</v>
      </c>
      <c r="K74">
        <v>3.0701639358000001</v>
      </c>
      <c r="L74">
        <v>195.5220406</v>
      </c>
      <c r="M74">
        <v>6.6036877267999996</v>
      </c>
      <c r="N74">
        <v>437.52012323999998</v>
      </c>
      <c r="O74">
        <v>659.50992797000004</v>
      </c>
      <c r="P74">
        <v>0.3644429937</v>
      </c>
      <c r="Q74">
        <v>192.68066879</v>
      </c>
      <c r="R74">
        <v>0.25571700339999998</v>
      </c>
      <c r="S74">
        <v>0</v>
      </c>
      <c r="T74">
        <v>0.40411695930000002</v>
      </c>
      <c r="U74">
        <v>0.75775430190000004</v>
      </c>
      <c r="V74">
        <v>1.2454765330999999</v>
      </c>
      <c r="W74">
        <v>8.867160428</v>
      </c>
      <c r="X74">
        <v>7.4523211140000001</v>
      </c>
      <c r="Y74">
        <v>3.2695096003000002</v>
      </c>
      <c r="Z74">
        <v>78.751469561999997</v>
      </c>
      <c r="AA74">
        <v>97.798893086999996</v>
      </c>
      <c r="AB74">
        <v>440.55061847000002</v>
      </c>
      <c r="AC74">
        <v>120.85034526</v>
      </c>
      <c r="AD74">
        <v>11.343282768000002</v>
      </c>
      <c r="AE74">
        <v>59.611714874999997</v>
      </c>
      <c r="AF74">
        <v>0</v>
      </c>
      <c r="AG74">
        <v>0</v>
      </c>
      <c r="AH74">
        <v>0</v>
      </c>
      <c r="AI74">
        <v>0</v>
      </c>
      <c r="AJ74">
        <v>0</v>
      </c>
      <c r="AK74">
        <v>0</v>
      </c>
      <c r="AL74">
        <v>0</v>
      </c>
      <c r="AM74">
        <v>0</v>
      </c>
      <c r="AN74">
        <v>0</v>
      </c>
      <c r="AO74">
        <v>7.6406976400000007E-2</v>
      </c>
      <c r="AP74">
        <v>0</v>
      </c>
      <c r="AQ74">
        <v>6.6373657031000004</v>
      </c>
      <c r="AR74">
        <v>0</v>
      </c>
      <c r="AS74">
        <v>0</v>
      </c>
      <c r="AT74">
        <v>0</v>
      </c>
      <c r="AU74">
        <v>0</v>
      </c>
      <c r="AV74">
        <v>6.6373657030000004</v>
      </c>
      <c r="AW74">
        <v>0</v>
      </c>
      <c r="AX74">
        <v>0</v>
      </c>
      <c r="AY74">
        <v>6.6373657030000004</v>
      </c>
      <c r="AZ74">
        <v>31.164275412999999</v>
      </c>
      <c r="BA74">
        <v>5.2332901371</v>
      </c>
    </row>
    <row r="75" spans="1:53" x14ac:dyDescent="0.35">
      <c r="A75" s="13">
        <v>70</v>
      </c>
      <c r="B75" s="10" t="s">
        <v>165</v>
      </c>
      <c r="C75">
        <v>59.223981438999999</v>
      </c>
      <c r="D75">
        <v>62.477434070000001</v>
      </c>
      <c r="E75">
        <v>0</v>
      </c>
      <c r="F75">
        <v>0.44813483160000001</v>
      </c>
      <c r="G75">
        <v>596.19245555999998</v>
      </c>
      <c r="H75">
        <v>5.1797569885000003</v>
      </c>
      <c r="I75">
        <v>0</v>
      </c>
      <c r="J75">
        <v>85.350025840000001</v>
      </c>
      <c r="K75">
        <v>1.8380048521000001</v>
      </c>
      <c r="L75">
        <v>170.68937117999999</v>
      </c>
      <c r="M75">
        <v>12.830251167</v>
      </c>
      <c r="N75">
        <v>343.24812847999999</v>
      </c>
      <c r="O75">
        <v>565.56578912999998</v>
      </c>
      <c r="P75">
        <v>0.21072949429999999</v>
      </c>
      <c r="Q75">
        <v>413.04361793999999</v>
      </c>
      <c r="R75">
        <v>0.15705183980000001</v>
      </c>
      <c r="S75">
        <v>0</v>
      </c>
      <c r="T75">
        <v>0.42603971000000002</v>
      </c>
      <c r="U75">
        <v>0</v>
      </c>
      <c r="V75">
        <v>1.8631702399999998E-2</v>
      </c>
      <c r="W75">
        <v>9.4633312360000001</v>
      </c>
      <c r="X75">
        <v>0.29838874300000001</v>
      </c>
      <c r="Y75">
        <v>2.5530906244999998</v>
      </c>
      <c r="Z75">
        <v>88.994264831999999</v>
      </c>
      <c r="AA75">
        <v>90.352186252999999</v>
      </c>
      <c r="AB75">
        <v>458.93566228999998</v>
      </c>
      <c r="AC75">
        <v>110.51127854999999</v>
      </c>
      <c r="AD75">
        <v>0.27411614100000004</v>
      </c>
      <c r="AE75">
        <v>90.647773443000005</v>
      </c>
      <c r="AF75">
        <v>0</v>
      </c>
      <c r="AG75">
        <v>0</v>
      </c>
      <c r="AH75">
        <v>0</v>
      </c>
      <c r="AI75">
        <v>0</v>
      </c>
      <c r="AJ75">
        <v>0</v>
      </c>
      <c r="AK75">
        <v>0</v>
      </c>
      <c r="AL75">
        <v>0</v>
      </c>
      <c r="AM75">
        <v>0</v>
      </c>
      <c r="AN75">
        <v>0</v>
      </c>
      <c r="AO75">
        <v>0</v>
      </c>
      <c r="AP75">
        <v>0</v>
      </c>
      <c r="AQ75">
        <v>6.25</v>
      </c>
      <c r="AR75">
        <v>0</v>
      </c>
      <c r="AS75">
        <v>0</v>
      </c>
      <c r="AT75">
        <v>0</v>
      </c>
      <c r="AU75">
        <v>0</v>
      </c>
      <c r="AV75">
        <v>6.25</v>
      </c>
      <c r="AW75">
        <v>0</v>
      </c>
      <c r="AX75">
        <v>0</v>
      </c>
      <c r="AY75">
        <v>6.25</v>
      </c>
      <c r="AZ75">
        <v>34.552851365999999</v>
      </c>
      <c r="BA75">
        <v>22.257350772999999</v>
      </c>
    </row>
    <row r="76" spans="1:53" x14ac:dyDescent="0.35">
      <c r="A76" s="13">
        <v>71</v>
      </c>
      <c r="B76" s="10" t="s">
        <v>167</v>
      </c>
      <c r="C76">
        <v>13.291442498</v>
      </c>
      <c r="D76">
        <v>59.783977520000001</v>
      </c>
      <c r="E76">
        <v>91.938636106000004</v>
      </c>
      <c r="F76">
        <v>5.9895736900000003E-2</v>
      </c>
      <c r="G76">
        <v>190.93206262999999</v>
      </c>
      <c r="H76">
        <v>0.20267733439999999</v>
      </c>
      <c r="I76">
        <v>0.42736185119999998</v>
      </c>
      <c r="J76">
        <v>5.7953157229999999</v>
      </c>
      <c r="K76">
        <v>0.76514761259999997</v>
      </c>
      <c r="L76">
        <v>22.431187520999998</v>
      </c>
      <c r="M76">
        <v>6.3822782326</v>
      </c>
      <c r="N76">
        <v>177.56680043</v>
      </c>
      <c r="O76">
        <v>282.58901177000001</v>
      </c>
      <c r="P76">
        <v>0.17872058809999999</v>
      </c>
      <c r="Q76">
        <v>533.68778108000004</v>
      </c>
      <c r="R76">
        <v>7.8040094599999998E-2</v>
      </c>
      <c r="S76">
        <v>0.2424163564</v>
      </c>
      <c r="T76">
        <v>0.50986647730000001</v>
      </c>
      <c r="U76">
        <v>9.8271048700000002E-2</v>
      </c>
      <c r="V76">
        <v>9.7117766018000005</v>
      </c>
      <c r="W76">
        <v>0.75092514899999996</v>
      </c>
      <c r="X76">
        <v>4.1867779990000002</v>
      </c>
      <c r="Y76">
        <v>1.2727426782</v>
      </c>
      <c r="Z76">
        <v>85.919555223000003</v>
      </c>
      <c r="AA76">
        <v>29.674489076</v>
      </c>
      <c r="AB76">
        <v>69.684858558000002</v>
      </c>
      <c r="AC76">
        <v>15.066602414999998</v>
      </c>
      <c r="AD76">
        <v>1.3913890379999998</v>
      </c>
      <c r="AE76">
        <v>15.686347039999999</v>
      </c>
      <c r="AF76">
        <v>1.67819619E-2</v>
      </c>
      <c r="AG76">
        <v>0</v>
      </c>
      <c r="AH76">
        <v>1.6781962000000001E-2</v>
      </c>
      <c r="AI76">
        <v>1.9654209700000001E-2</v>
      </c>
      <c r="AJ76">
        <v>0</v>
      </c>
      <c r="AK76">
        <v>1.9654209700000001E-2</v>
      </c>
      <c r="AL76">
        <v>0</v>
      </c>
      <c r="AM76">
        <v>0</v>
      </c>
      <c r="AN76">
        <v>0</v>
      </c>
      <c r="AO76">
        <v>0</v>
      </c>
      <c r="AP76">
        <v>1.3888630000000001E-4</v>
      </c>
      <c r="AQ76">
        <v>2.7601351739000002</v>
      </c>
      <c r="AR76">
        <v>0</v>
      </c>
      <c r="AS76">
        <v>2.7595556590000001</v>
      </c>
      <c r="AT76">
        <v>5.7951499999999996E-4</v>
      </c>
      <c r="AU76">
        <v>0</v>
      </c>
      <c r="AV76">
        <v>0</v>
      </c>
      <c r="AW76">
        <v>2.7601351740000002</v>
      </c>
      <c r="AX76">
        <v>0</v>
      </c>
      <c r="AY76">
        <v>0</v>
      </c>
      <c r="AZ76">
        <v>2.1327953440999998</v>
      </c>
      <c r="BA76">
        <v>21.584665677</v>
      </c>
    </row>
    <row r="77" spans="1:53" x14ac:dyDescent="0.35">
      <c r="A77" s="13">
        <v>72</v>
      </c>
      <c r="B77" s="10" t="s">
        <v>169</v>
      </c>
      <c r="C77">
        <v>13.606244209</v>
      </c>
      <c r="D77">
        <v>63.819832390000002</v>
      </c>
      <c r="E77">
        <v>90.312280940999997</v>
      </c>
      <c r="F77">
        <v>5.9202546299999999E-2</v>
      </c>
      <c r="G77">
        <v>199.86684008</v>
      </c>
      <c r="H77">
        <v>0.35463560830000002</v>
      </c>
      <c r="I77">
        <v>2.7736485383999998</v>
      </c>
      <c r="J77">
        <v>13.710223750000001</v>
      </c>
      <c r="K77">
        <v>0.74032560270000003</v>
      </c>
      <c r="L77">
        <v>25.636467051</v>
      </c>
      <c r="M77">
        <v>7.9525929096999999</v>
      </c>
      <c r="N77">
        <v>222.36557737999999</v>
      </c>
      <c r="O77">
        <v>304.09238235999999</v>
      </c>
      <c r="P77">
        <v>0.18382297459999999</v>
      </c>
      <c r="Q77">
        <v>348.79704851999998</v>
      </c>
      <c r="R77">
        <v>9.6675003499999995E-2</v>
      </c>
      <c r="S77">
        <v>0.2591105749</v>
      </c>
      <c r="T77">
        <v>0.53725270790000001</v>
      </c>
      <c r="U77">
        <v>0.18205600499999999</v>
      </c>
      <c r="V77">
        <v>8.3112836531000003</v>
      </c>
      <c r="W77">
        <v>1.117878436</v>
      </c>
      <c r="X77">
        <v>5.1916750189999998</v>
      </c>
      <c r="Y77">
        <v>1.1421576739999999</v>
      </c>
      <c r="Z77">
        <v>97.141173804999994</v>
      </c>
      <c r="AA77">
        <v>17.616000422999999</v>
      </c>
      <c r="AB77">
        <v>80.67136721</v>
      </c>
      <c r="AC77">
        <v>21.934283102999999</v>
      </c>
      <c r="AD77">
        <v>1.4890527179999999</v>
      </c>
      <c r="AE77">
        <v>17.198751360999999</v>
      </c>
      <c r="AF77">
        <v>0.33875962479999999</v>
      </c>
      <c r="AG77">
        <v>0</v>
      </c>
      <c r="AH77">
        <v>0.33875962500000001</v>
      </c>
      <c r="AI77">
        <v>0</v>
      </c>
      <c r="AJ77">
        <v>0</v>
      </c>
      <c r="AK77">
        <v>0</v>
      </c>
      <c r="AL77">
        <v>0</v>
      </c>
      <c r="AM77">
        <v>0</v>
      </c>
      <c r="AN77">
        <v>0</v>
      </c>
      <c r="AO77">
        <v>0</v>
      </c>
      <c r="AP77">
        <v>1.8993600000000001E-5</v>
      </c>
      <c r="AQ77">
        <v>3.0477106539999999</v>
      </c>
      <c r="AR77">
        <v>0</v>
      </c>
      <c r="AS77">
        <v>3.0454694340000001</v>
      </c>
      <c r="AT77">
        <v>2.2412209999999998E-3</v>
      </c>
      <c r="AU77">
        <v>0</v>
      </c>
      <c r="AV77">
        <v>0</v>
      </c>
      <c r="AW77">
        <v>3.0477106539999999</v>
      </c>
      <c r="AX77">
        <v>0</v>
      </c>
      <c r="AY77">
        <v>0</v>
      </c>
      <c r="AZ77">
        <v>3.3134497341000002</v>
      </c>
      <c r="BA77">
        <v>0</v>
      </c>
    </row>
    <row r="78" spans="1:53" x14ac:dyDescent="0.35">
      <c r="A78" s="13">
        <v>73</v>
      </c>
      <c r="B78" s="10" t="s">
        <v>171</v>
      </c>
      <c r="C78">
        <v>25.064949204000001</v>
      </c>
      <c r="D78">
        <v>68.932758519999993</v>
      </c>
      <c r="E78">
        <v>110.05701415999999</v>
      </c>
      <c r="F78">
        <v>5.0546815299999999E-2</v>
      </c>
      <c r="G78">
        <v>252.57337085</v>
      </c>
      <c r="H78">
        <v>9.3462938699999998E-2</v>
      </c>
      <c r="I78">
        <v>0.68760608099999998</v>
      </c>
      <c r="J78">
        <v>8.2828151660000007</v>
      </c>
      <c r="K78">
        <v>0.82611023350000001</v>
      </c>
      <c r="L78">
        <v>19.128642697</v>
      </c>
      <c r="M78">
        <v>5.8400921984999998</v>
      </c>
      <c r="N78">
        <v>169.90285685000001</v>
      </c>
      <c r="O78">
        <v>231.42634816</v>
      </c>
      <c r="P78">
        <v>0.14204995070000001</v>
      </c>
      <c r="Q78">
        <v>483.38259434000003</v>
      </c>
      <c r="R78">
        <v>6.3591991700000003E-2</v>
      </c>
      <c r="S78">
        <v>0.32276758770000002</v>
      </c>
      <c r="T78">
        <v>0.35684323369999998</v>
      </c>
      <c r="U78">
        <v>8.8980039499999997E-2</v>
      </c>
      <c r="V78">
        <v>31.497254646999998</v>
      </c>
      <c r="W78">
        <v>0.76122478400000004</v>
      </c>
      <c r="X78">
        <v>2.877491053</v>
      </c>
      <c r="Y78">
        <v>1.3396136300000001</v>
      </c>
      <c r="Z78">
        <v>80.073499834000003</v>
      </c>
      <c r="AA78">
        <v>18.63716522</v>
      </c>
      <c r="AB78">
        <v>151.83407034999999</v>
      </c>
      <c r="AC78">
        <v>25.673846642999997</v>
      </c>
      <c r="AD78">
        <v>1.9305098730000001</v>
      </c>
      <c r="AE78">
        <v>42.216969693999999</v>
      </c>
      <c r="AF78">
        <v>2.69121503E-2</v>
      </c>
      <c r="AG78">
        <v>0</v>
      </c>
      <c r="AH78">
        <v>2.6912149999999999E-2</v>
      </c>
      <c r="AI78">
        <v>1.31767963E-2</v>
      </c>
      <c r="AJ78">
        <v>0</v>
      </c>
      <c r="AK78">
        <v>1.31767963E-2</v>
      </c>
      <c r="AL78">
        <v>0</v>
      </c>
      <c r="AM78">
        <v>0</v>
      </c>
      <c r="AN78">
        <v>0</v>
      </c>
      <c r="AO78">
        <v>0</v>
      </c>
      <c r="AP78">
        <v>0</v>
      </c>
      <c r="AQ78">
        <v>2.6716904400999999</v>
      </c>
      <c r="AR78">
        <v>0</v>
      </c>
      <c r="AS78">
        <v>2.6716904399999999</v>
      </c>
      <c r="AT78">
        <v>0</v>
      </c>
      <c r="AU78">
        <v>0</v>
      </c>
      <c r="AV78">
        <v>0</v>
      </c>
      <c r="AW78">
        <v>2.6716904399999999</v>
      </c>
      <c r="AX78">
        <v>0</v>
      </c>
      <c r="AY78">
        <v>0</v>
      </c>
      <c r="AZ78">
        <v>1.9020871699999999</v>
      </c>
      <c r="BA78">
        <v>12.192733597</v>
      </c>
    </row>
    <row r="79" spans="1:53" x14ac:dyDescent="0.35">
      <c r="A79" s="13">
        <v>74</v>
      </c>
      <c r="B79" s="10" t="s">
        <v>172</v>
      </c>
      <c r="C79">
        <v>20.239970023000001</v>
      </c>
      <c r="D79">
        <v>55.185273330000001</v>
      </c>
      <c r="E79">
        <v>84.699961529000007</v>
      </c>
      <c r="F79">
        <v>6.9349507699999993E-2</v>
      </c>
      <c r="G79">
        <v>232.54865154000001</v>
      </c>
      <c r="H79">
        <v>0.42282844580000001</v>
      </c>
      <c r="I79">
        <v>4.1667383229999997</v>
      </c>
      <c r="J79">
        <v>13.537378390000001</v>
      </c>
      <c r="K79">
        <v>0.91026144539999998</v>
      </c>
      <c r="L79">
        <v>23.483642301</v>
      </c>
      <c r="M79">
        <v>6.2401213887999996</v>
      </c>
      <c r="N79">
        <v>191.98965960999999</v>
      </c>
      <c r="O79">
        <v>254.90389031000001</v>
      </c>
      <c r="P79">
        <v>0.17782968669999999</v>
      </c>
      <c r="Q79">
        <v>350.97894206000001</v>
      </c>
      <c r="R79">
        <v>0.10154038479999999</v>
      </c>
      <c r="S79">
        <v>0.30880811860000001</v>
      </c>
      <c r="T79">
        <v>0.41517786779999999</v>
      </c>
      <c r="U79">
        <v>7.2370305199999999E-2</v>
      </c>
      <c r="V79">
        <v>11.975208122</v>
      </c>
      <c r="W79">
        <v>1.0840402099999999</v>
      </c>
      <c r="X79">
        <v>6.2500093720000001</v>
      </c>
      <c r="Y79">
        <v>1.2714417964</v>
      </c>
      <c r="Z79">
        <v>83.705692253999999</v>
      </c>
      <c r="AA79">
        <v>26.148404139</v>
      </c>
      <c r="AB79">
        <v>118.93638854</v>
      </c>
      <c r="AC79">
        <v>31.215132567000001</v>
      </c>
      <c r="AD79">
        <v>2.523597219</v>
      </c>
      <c r="AE79">
        <v>25.246535727000001</v>
      </c>
      <c r="AF79">
        <v>0.4298023869</v>
      </c>
      <c r="AG79">
        <v>5.2190268999999997E-3</v>
      </c>
      <c r="AH79">
        <v>0.42458336000000002</v>
      </c>
      <c r="AI79">
        <v>0</v>
      </c>
      <c r="AJ79">
        <v>0</v>
      </c>
      <c r="AK79">
        <v>0</v>
      </c>
      <c r="AL79">
        <v>0</v>
      </c>
      <c r="AM79">
        <v>0</v>
      </c>
      <c r="AN79">
        <v>0</v>
      </c>
      <c r="AO79">
        <v>0</v>
      </c>
      <c r="AP79">
        <v>1.7064120000000001E-4</v>
      </c>
      <c r="AQ79">
        <v>2.7635945593</v>
      </c>
      <c r="AR79">
        <v>0</v>
      </c>
      <c r="AS79">
        <v>2.7565905430000002</v>
      </c>
      <c r="AT79">
        <v>7.0040170000000004E-3</v>
      </c>
      <c r="AU79">
        <v>0</v>
      </c>
      <c r="AV79">
        <v>0</v>
      </c>
      <c r="AW79">
        <v>2.763594559</v>
      </c>
      <c r="AX79">
        <v>0</v>
      </c>
      <c r="AY79">
        <v>0</v>
      </c>
      <c r="AZ79">
        <v>4.3111573247999999</v>
      </c>
      <c r="BA79">
        <v>0</v>
      </c>
    </row>
    <row r="80" spans="1:53" x14ac:dyDescent="0.35">
      <c r="A80" s="13">
        <v>75</v>
      </c>
      <c r="B80" s="10" t="s">
        <v>173</v>
      </c>
      <c r="C80">
        <v>21.678703937000002</v>
      </c>
      <c r="D80">
        <v>17.103856749999998</v>
      </c>
      <c r="E80">
        <v>3.6099077000000001E-3</v>
      </c>
      <c r="F80">
        <v>0.1764716278</v>
      </c>
      <c r="G80">
        <v>369.27761643000002</v>
      </c>
      <c r="H80">
        <v>2.8281466112999998</v>
      </c>
      <c r="I80">
        <v>0</v>
      </c>
      <c r="J80">
        <v>28.39490769</v>
      </c>
      <c r="K80">
        <v>0.94835587710000002</v>
      </c>
      <c r="L80">
        <v>42.343520642000001</v>
      </c>
      <c r="M80">
        <v>3.2057766124999998</v>
      </c>
      <c r="N80">
        <v>112.94196187999999</v>
      </c>
      <c r="O80">
        <v>792.64918145000001</v>
      </c>
      <c r="P80">
        <v>7.1484157500000006E-2</v>
      </c>
      <c r="Q80">
        <v>425.72865063</v>
      </c>
      <c r="R80">
        <v>0.16297722019999999</v>
      </c>
      <c r="S80">
        <v>0</v>
      </c>
      <c r="T80">
        <v>0.37922001430000002</v>
      </c>
      <c r="U80">
        <v>20.410759353</v>
      </c>
      <c r="V80">
        <v>4.5443220615</v>
      </c>
      <c r="W80">
        <v>4.9389705829999997</v>
      </c>
      <c r="X80">
        <v>16.170949870000001</v>
      </c>
      <c r="Y80">
        <v>0.66879632710000003</v>
      </c>
      <c r="Z80">
        <v>17.234462254</v>
      </c>
      <c r="AA80">
        <v>162.51278809999999</v>
      </c>
      <c r="AB80">
        <v>202.93889823000001</v>
      </c>
      <c r="AC80">
        <v>64.097428905000001</v>
      </c>
      <c r="AD80">
        <v>3.7479154860000001</v>
      </c>
      <c r="AE80">
        <v>27.371838520000001</v>
      </c>
      <c r="AF80">
        <v>0</v>
      </c>
      <c r="AG80">
        <v>0</v>
      </c>
      <c r="AH80">
        <v>0</v>
      </c>
      <c r="AI80">
        <v>1.2512865982000001</v>
      </c>
      <c r="AJ80">
        <v>0</v>
      </c>
      <c r="AK80">
        <v>0</v>
      </c>
      <c r="AL80">
        <v>0</v>
      </c>
      <c r="AM80">
        <v>1.2512865982000001</v>
      </c>
      <c r="AN80">
        <v>0</v>
      </c>
      <c r="AO80">
        <v>0</v>
      </c>
      <c r="AP80">
        <v>0</v>
      </c>
      <c r="AQ80">
        <v>0</v>
      </c>
      <c r="AR80">
        <v>0</v>
      </c>
      <c r="AS80">
        <v>0</v>
      </c>
      <c r="AT80">
        <v>0</v>
      </c>
      <c r="AU80">
        <v>0</v>
      </c>
      <c r="AV80">
        <v>0</v>
      </c>
      <c r="AW80">
        <v>0</v>
      </c>
      <c r="AX80">
        <v>0</v>
      </c>
      <c r="AY80">
        <v>0</v>
      </c>
      <c r="AZ80">
        <v>22.057865773</v>
      </c>
      <c r="BA80">
        <v>0</v>
      </c>
    </row>
    <row r="81" spans="1:53" x14ac:dyDescent="0.35">
      <c r="A81" s="13">
        <v>76</v>
      </c>
      <c r="B81" s="10" t="s">
        <v>175</v>
      </c>
      <c r="C81">
        <v>78.4446978</v>
      </c>
      <c r="D81">
        <v>49.520709060000002</v>
      </c>
      <c r="E81">
        <v>1.0541711185</v>
      </c>
      <c r="F81">
        <v>0.41470806539999999</v>
      </c>
      <c r="G81">
        <v>176.02831886000001</v>
      </c>
      <c r="H81">
        <v>3.1851319409999999</v>
      </c>
      <c r="I81">
        <v>0</v>
      </c>
      <c r="J81">
        <v>74.732170289999999</v>
      </c>
      <c r="K81">
        <v>2.1824703699999999</v>
      </c>
      <c r="L81">
        <v>33.716152573000002</v>
      </c>
      <c r="M81">
        <v>2.5735858024999998</v>
      </c>
      <c r="N81">
        <v>237.60745983999999</v>
      </c>
      <c r="O81">
        <v>160.27153645999999</v>
      </c>
      <c r="P81">
        <v>0.30132319959999998</v>
      </c>
      <c r="Q81">
        <v>434.48766141999999</v>
      </c>
      <c r="R81">
        <v>0.79794415699999999</v>
      </c>
      <c r="S81">
        <v>1.4053999976</v>
      </c>
      <c r="T81">
        <v>0.31537014359999999</v>
      </c>
      <c r="U81">
        <v>1.0030817886000001</v>
      </c>
      <c r="V81">
        <v>0.21083422369999999</v>
      </c>
      <c r="W81">
        <v>1.2078568190000001</v>
      </c>
      <c r="X81">
        <v>1.7324586</v>
      </c>
      <c r="Y81">
        <v>1.0109479669000001</v>
      </c>
      <c r="Z81">
        <v>64.469362089000001</v>
      </c>
      <c r="AA81">
        <v>33.195164302999999</v>
      </c>
      <c r="AB81">
        <v>81.395656173999996</v>
      </c>
      <c r="AC81">
        <v>30.323036250000001</v>
      </c>
      <c r="AD81">
        <v>3.3895526129999998</v>
      </c>
      <c r="AE81">
        <v>11.725119619999999</v>
      </c>
      <c r="AF81">
        <v>0.35051578909999997</v>
      </c>
      <c r="AG81">
        <v>0.17655641899999999</v>
      </c>
      <c r="AH81">
        <v>0.17395937</v>
      </c>
      <c r="AI81">
        <v>8.1897094599999998E-2</v>
      </c>
      <c r="AJ81">
        <v>0</v>
      </c>
      <c r="AK81">
        <v>0</v>
      </c>
      <c r="AL81">
        <v>0</v>
      </c>
      <c r="AM81">
        <v>0</v>
      </c>
      <c r="AN81">
        <v>8.1897094599999998E-2</v>
      </c>
      <c r="AO81">
        <v>0</v>
      </c>
      <c r="AP81">
        <v>0</v>
      </c>
      <c r="AQ81">
        <v>1.7505343762000001</v>
      </c>
      <c r="AR81">
        <v>0</v>
      </c>
      <c r="AS81">
        <v>0</v>
      </c>
      <c r="AT81">
        <v>4.2364564E-2</v>
      </c>
      <c r="AU81">
        <v>1.708169812</v>
      </c>
      <c r="AV81">
        <v>0</v>
      </c>
      <c r="AW81">
        <v>4.2364564E-2</v>
      </c>
      <c r="AX81">
        <v>0</v>
      </c>
      <c r="AY81">
        <v>1.708169812</v>
      </c>
      <c r="AZ81">
        <v>4.4909923017000004</v>
      </c>
      <c r="BA81">
        <v>2.9934916299999999E-2</v>
      </c>
    </row>
    <row r="82" spans="1:53" x14ac:dyDescent="0.35">
      <c r="A82" s="13">
        <v>77</v>
      </c>
      <c r="B82" s="10" t="s">
        <v>177</v>
      </c>
      <c r="C82">
        <v>21.109934717000002</v>
      </c>
      <c r="D82">
        <v>49.003321669999998</v>
      </c>
      <c r="E82">
        <v>55.554183475000002</v>
      </c>
      <c r="F82">
        <v>7.6185684000000004E-2</v>
      </c>
      <c r="G82">
        <v>156.36026035</v>
      </c>
      <c r="H82">
        <v>0.23607359080000001</v>
      </c>
      <c r="I82">
        <v>1.5113584501999999</v>
      </c>
      <c r="J82">
        <v>20.319816599999999</v>
      </c>
      <c r="K82">
        <v>1.0907825046999999</v>
      </c>
      <c r="L82">
        <v>28.843776235</v>
      </c>
      <c r="M82">
        <v>5.7177899490000001</v>
      </c>
      <c r="N82">
        <v>191.41185057000001</v>
      </c>
      <c r="O82">
        <v>283.09235017999998</v>
      </c>
      <c r="P82">
        <v>9.6622463699999994E-2</v>
      </c>
      <c r="Q82">
        <v>223.55945097</v>
      </c>
      <c r="R82">
        <v>6.3211251199999999E-2</v>
      </c>
      <c r="S82">
        <v>1.9391755571</v>
      </c>
      <c r="T82">
        <v>0.21007659919999999</v>
      </c>
      <c r="U82">
        <v>0.20887241619999999</v>
      </c>
      <c r="V82">
        <v>9.3902738138000004</v>
      </c>
      <c r="W82">
        <v>1.2517536520000001</v>
      </c>
      <c r="X82">
        <v>5.3950563049999998</v>
      </c>
      <c r="Y82">
        <v>0.55302815159999996</v>
      </c>
      <c r="Z82">
        <v>82.982041037000002</v>
      </c>
      <c r="AA82">
        <v>15.556046050000001</v>
      </c>
      <c r="AB82">
        <v>57.653206521999998</v>
      </c>
      <c r="AC82">
        <v>17.005703787000002</v>
      </c>
      <c r="AD82">
        <v>1.922704218</v>
      </c>
      <c r="AE82">
        <v>11.683427894999999</v>
      </c>
      <c r="AF82">
        <v>0.2132216965</v>
      </c>
      <c r="AG82">
        <v>0</v>
      </c>
      <c r="AH82">
        <v>0.21322169699999999</v>
      </c>
      <c r="AI82">
        <v>0</v>
      </c>
      <c r="AJ82">
        <v>0</v>
      </c>
      <c r="AK82">
        <v>0</v>
      </c>
      <c r="AL82">
        <v>0</v>
      </c>
      <c r="AM82">
        <v>0</v>
      </c>
      <c r="AN82">
        <v>0</v>
      </c>
      <c r="AO82">
        <v>0</v>
      </c>
      <c r="AP82">
        <v>1.3080457999999999E-3</v>
      </c>
      <c r="AQ82">
        <v>3.0951266218</v>
      </c>
      <c r="AR82">
        <v>0</v>
      </c>
      <c r="AS82">
        <v>0</v>
      </c>
      <c r="AT82">
        <v>5.3248156999999997E-2</v>
      </c>
      <c r="AU82">
        <v>0</v>
      </c>
      <c r="AV82">
        <v>0</v>
      </c>
      <c r="AW82">
        <v>5.3248156999999997E-2</v>
      </c>
      <c r="AX82">
        <v>3.0418784639999998</v>
      </c>
      <c r="AY82">
        <v>0</v>
      </c>
      <c r="AZ82">
        <v>3.8267518676000001</v>
      </c>
      <c r="BA82">
        <v>1.5668599105000001</v>
      </c>
    </row>
    <row r="83" spans="1:53" x14ac:dyDescent="0.35">
      <c r="A83" s="13">
        <v>78</v>
      </c>
      <c r="B83" s="10" t="s">
        <v>179</v>
      </c>
      <c r="C83">
        <v>42.037462028999997</v>
      </c>
      <c r="D83">
        <v>100.19362080000001</v>
      </c>
      <c r="E83">
        <v>89.079954184000002</v>
      </c>
      <c r="F83">
        <v>0.12813244479999999</v>
      </c>
      <c r="G83">
        <v>179.16468298000001</v>
      </c>
      <c r="H83">
        <v>0.13195710799999999</v>
      </c>
      <c r="I83">
        <v>1.7315827871</v>
      </c>
      <c r="J83">
        <v>15.169030680000001</v>
      </c>
      <c r="K83">
        <v>0.65962521630000004</v>
      </c>
      <c r="L83">
        <v>30.644222772999999</v>
      </c>
      <c r="M83">
        <v>5.7086290883000004</v>
      </c>
      <c r="N83">
        <v>302.05694827999997</v>
      </c>
      <c r="O83">
        <v>337.54740168000001</v>
      </c>
      <c r="P83">
        <v>0.10841870219999999</v>
      </c>
      <c r="Q83">
        <v>156.76817513</v>
      </c>
      <c r="R83">
        <v>7.8373292100000005E-2</v>
      </c>
      <c r="S83">
        <v>3.2272149393</v>
      </c>
      <c r="T83">
        <v>0.39464853640000003</v>
      </c>
      <c r="U83">
        <v>0.46196399100000002</v>
      </c>
      <c r="V83">
        <v>36.199410481000001</v>
      </c>
      <c r="W83">
        <v>1.3890902789999999</v>
      </c>
      <c r="X83">
        <v>6.3585187010000004</v>
      </c>
      <c r="Y83">
        <v>0.73052275850000004</v>
      </c>
      <c r="Z83">
        <v>86.616112334999997</v>
      </c>
      <c r="AA83">
        <v>10.700587013</v>
      </c>
      <c r="AB83">
        <v>77.093883857999998</v>
      </c>
      <c r="AC83">
        <v>17.013540069000001</v>
      </c>
      <c r="AD83">
        <v>2.4716111939999998</v>
      </c>
      <c r="AE83">
        <v>13.158850932</v>
      </c>
      <c r="AF83">
        <v>0.15227358490000001</v>
      </c>
      <c r="AG83">
        <v>0</v>
      </c>
      <c r="AH83">
        <v>0.15227358499999999</v>
      </c>
      <c r="AI83">
        <v>1.0277496000000001E-3</v>
      </c>
      <c r="AJ83">
        <v>1.543653E-4</v>
      </c>
      <c r="AK83">
        <v>6.1136899999999995E-4</v>
      </c>
      <c r="AL83">
        <v>0</v>
      </c>
      <c r="AM83">
        <v>0</v>
      </c>
      <c r="AN83">
        <v>2.6201529999999998E-4</v>
      </c>
      <c r="AO83">
        <v>0</v>
      </c>
      <c r="AP83">
        <v>2.2602448000000001E-3</v>
      </c>
      <c r="AQ83">
        <v>3.1849082456</v>
      </c>
      <c r="AR83">
        <v>0</v>
      </c>
      <c r="AS83">
        <v>0</v>
      </c>
      <c r="AT83">
        <v>3.1654665999999998E-2</v>
      </c>
      <c r="AU83">
        <v>0</v>
      </c>
      <c r="AV83">
        <v>0</v>
      </c>
      <c r="AW83">
        <v>3.1654665999999998E-2</v>
      </c>
      <c r="AX83">
        <v>3.1532535799999999</v>
      </c>
      <c r="AY83">
        <v>0</v>
      </c>
      <c r="AZ83">
        <v>4.3459344236000002</v>
      </c>
      <c r="BA83">
        <v>0.68697603679999997</v>
      </c>
    </row>
    <row r="84" spans="1:53" x14ac:dyDescent="0.35">
      <c r="A84" s="13">
        <v>79</v>
      </c>
      <c r="B84" s="10" t="s">
        <v>180</v>
      </c>
      <c r="C84">
        <v>50.475813946999999</v>
      </c>
      <c r="D84">
        <v>20.529907399999999</v>
      </c>
      <c r="E84">
        <v>22.520007927999998</v>
      </c>
      <c r="F84">
        <v>0.16181442939999999</v>
      </c>
      <c r="G84">
        <v>400.37388692000002</v>
      </c>
      <c r="H84">
        <v>1.8900304369000001</v>
      </c>
      <c r="I84">
        <v>36.378875051999998</v>
      </c>
      <c r="J84">
        <v>80.57653182</v>
      </c>
      <c r="K84">
        <v>2.8766263967999999</v>
      </c>
      <c r="L84">
        <v>23.882598411</v>
      </c>
      <c r="M84">
        <v>2.1168909078999998</v>
      </c>
      <c r="N84">
        <v>108.77845995</v>
      </c>
      <c r="O84">
        <v>143.13158157999999</v>
      </c>
      <c r="P84">
        <v>0.20287895589999999</v>
      </c>
      <c r="Q84">
        <v>324.23544457999998</v>
      </c>
      <c r="R84">
        <v>0.21818860900000001</v>
      </c>
      <c r="S84">
        <v>9.0472154200000002E-2</v>
      </c>
      <c r="T84">
        <v>7.5618616499999999E-2</v>
      </c>
      <c r="U84">
        <v>0.5548464541</v>
      </c>
      <c r="V84">
        <v>52.155789265999999</v>
      </c>
      <c r="W84">
        <v>1.4228873900000001</v>
      </c>
      <c r="X84">
        <v>11.799728460000001</v>
      </c>
      <c r="Y84">
        <v>0.57334061780000001</v>
      </c>
      <c r="Z84">
        <v>20.260200810000001</v>
      </c>
      <c r="AA84">
        <v>225.74072208999999</v>
      </c>
      <c r="AB84">
        <v>161.27724520999999</v>
      </c>
      <c r="AC84">
        <v>31.09947786</v>
      </c>
      <c r="AD84">
        <v>3.028910652</v>
      </c>
      <c r="AE84">
        <v>56.304008476999996</v>
      </c>
      <c r="AF84">
        <v>1.850274492</v>
      </c>
      <c r="AG84">
        <v>4.1009706299999997E-2</v>
      </c>
      <c r="AH84">
        <v>1.809264786</v>
      </c>
      <c r="AI84">
        <v>8.9023170999999995E-3</v>
      </c>
      <c r="AJ84">
        <v>0</v>
      </c>
      <c r="AK84">
        <v>8.2532856000000002E-3</v>
      </c>
      <c r="AL84">
        <v>3.161633E-4</v>
      </c>
      <c r="AM84">
        <v>0</v>
      </c>
      <c r="AN84">
        <v>3.3286820000000001E-4</v>
      </c>
      <c r="AO84">
        <v>2.8192627299999998E-2</v>
      </c>
      <c r="AP84">
        <v>4.6211783100000001E-2</v>
      </c>
      <c r="AQ84">
        <v>0.16893568389999999</v>
      </c>
      <c r="AR84">
        <v>0</v>
      </c>
      <c r="AS84">
        <v>0</v>
      </c>
      <c r="AT84">
        <v>7.7521976000000006E-2</v>
      </c>
      <c r="AU84">
        <v>2.2483030000000001E-3</v>
      </c>
      <c r="AV84">
        <v>8.9165405000000003E-2</v>
      </c>
      <c r="AW84">
        <v>7.7521976000000006E-2</v>
      </c>
      <c r="AX84">
        <v>0</v>
      </c>
      <c r="AY84">
        <v>9.1413707999999996E-2</v>
      </c>
      <c r="AZ84">
        <v>2.4023859300999999</v>
      </c>
      <c r="BA84">
        <v>105.98072327</v>
      </c>
    </row>
    <row r="85" spans="1:53" x14ac:dyDescent="0.35">
      <c r="A85" s="13">
        <v>80</v>
      </c>
      <c r="B85" s="10" t="s">
        <v>182</v>
      </c>
      <c r="C85">
        <v>216.47875974999999</v>
      </c>
      <c r="D85">
        <v>39.363848769999997</v>
      </c>
      <c r="E85">
        <v>2.5001827576000002</v>
      </c>
      <c r="F85">
        <v>0.45276655690000001</v>
      </c>
      <c r="G85">
        <v>418.54510512000002</v>
      </c>
      <c r="H85">
        <v>4.5902959571000004</v>
      </c>
      <c r="I85">
        <v>77.400062676999994</v>
      </c>
      <c r="J85">
        <v>152.91026590000001</v>
      </c>
      <c r="K85">
        <v>3.9301718876999998</v>
      </c>
      <c r="L85">
        <v>87.028894553000001</v>
      </c>
      <c r="M85">
        <v>10.157309655000001</v>
      </c>
      <c r="N85">
        <v>252.88684617000001</v>
      </c>
      <c r="O85">
        <v>283.31007359</v>
      </c>
      <c r="P85">
        <v>0.88419773670000001</v>
      </c>
      <c r="Q85">
        <v>352.79938822999998</v>
      </c>
      <c r="R85">
        <v>0.69991617220000002</v>
      </c>
      <c r="S85">
        <v>1.4857955302000001</v>
      </c>
      <c r="T85">
        <v>0.99809645609999997</v>
      </c>
      <c r="U85">
        <v>41.100948944000002</v>
      </c>
      <c r="V85">
        <v>407.72393791000002</v>
      </c>
      <c r="W85">
        <v>7.863722374</v>
      </c>
      <c r="X85">
        <v>12.464281229999999</v>
      </c>
      <c r="Y85">
        <v>4.031139713</v>
      </c>
      <c r="Z85">
        <v>57.286094757999997</v>
      </c>
      <c r="AA85">
        <v>247.07710448</v>
      </c>
      <c r="AB85">
        <v>120.79074314</v>
      </c>
      <c r="AC85">
        <v>46.214388440999997</v>
      </c>
      <c r="AD85">
        <v>1.6428693059999999</v>
      </c>
      <c r="AE85">
        <v>27.761817101999998</v>
      </c>
      <c r="AF85">
        <v>1.2011595495</v>
      </c>
      <c r="AG85">
        <v>0.74095657290000005</v>
      </c>
      <c r="AH85">
        <v>0.46020297700000001</v>
      </c>
      <c r="AI85">
        <v>1.37995979E-2</v>
      </c>
      <c r="AJ85">
        <v>0</v>
      </c>
      <c r="AK85">
        <v>0</v>
      </c>
      <c r="AL85">
        <v>1.37995979E-2</v>
      </c>
      <c r="AM85">
        <v>0</v>
      </c>
      <c r="AN85">
        <v>0</v>
      </c>
      <c r="AO85">
        <v>3.0802355199999999E-2</v>
      </c>
      <c r="AP85">
        <v>0.11187516779999999</v>
      </c>
      <c r="AQ85">
        <v>1.2880605354000001</v>
      </c>
      <c r="AR85">
        <v>0</v>
      </c>
      <c r="AS85">
        <v>0</v>
      </c>
      <c r="AT85">
        <v>1.2229980000000001E-3</v>
      </c>
      <c r="AU85">
        <v>1.007198896</v>
      </c>
      <c r="AV85">
        <v>0.27963864199999999</v>
      </c>
      <c r="AW85">
        <v>1.2229980000000001E-3</v>
      </c>
      <c r="AX85">
        <v>0</v>
      </c>
      <c r="AY85">
        <v>1.2868375379999999</v>
      </c>
      <c r="AZ85">
        <v>6.3155195643999997</v>
      </c>
      <c r="BA85">
        <v>100.86976541</v>
      </c>
    </row>
    <row r="86" spans="1:53" x14ac:dyDescent="0.35">
      <c r="A86" s="13">
        <v>81</v>
      </c>
      <c r="B86" s="10" t="s">
        <v>184</v>
      </c>
      <c r="C86">
        <v>64.908150340999995</v>
      </c>
      <c r="D86">
        <v>19.246005199999999</v>
      </c>
      <c r="E86">
        <v>5.9342351462999998</v>
      </c>
      <c r="F86">
        <v>0.2280041484</v>
      </c>
      <c r="G86">
        <v>442.72072774999998</v>
      </c>
      <c r="H86">
        <v>1.661808972</v>
      </c>
      <c r="I86">
        <v>1.9307817168000001</v>
      </c>
      <c r="J86">
        <v>14.27940795</v>
      </c>
      <c r="K86">
        <v>1.0223131835000001</v>
      </c>
      <c r="L86">
        <v>37.117992655000002</v>
      </c>
      <c r="M86">
        <v>1.0287009814999999</v>
      </c>
      <c r="N86">
        <v>96.512372451000005</v>
      </c>
      <c r="O86">
        <v>207.90591395000001</v>
      </c>
      <c r="P86">
        <v>0.112684151</v>
      </c>
      <c r="Q86">
        <v>139.30672306</v>
      </c>
      <c r="R86">
        <v>6.3364419300000002E-2</v>
      </c>
      <c r="S86">
        <v>0.1869138796</v>
      </c>
      <c r="T86">
        <v>6.6857587900000001E-2</v>
      </c>
      <c r="U86">
        <v>13.536275049</v>
      </c>
      <c r="V86">
        <v>18.097317296</v>
      </c>
      <c r="W86">
        <v>0.72351663399999999</v>
      </c>
      <c r="X86">
        <v>4.2371661290000002</v>
      </c>
      <c r="Y86">
        <v>0.93124699570000002</v>
      </c>
      <c r="Z86">
        <v>16.150565411999999</v>
      </c>
      <c r="AA86">
        <v>301.43325119000002</v>
      </c>
      <c r="AB86">
        <v>132.69731981000001</v>
      </c>
      <c r="AC86">
        <v>11.707627131000001</v>
      </c>
      <c r="AD86">
        <v>0.38342311200000001</v>
      </c>
      <c r="AE86">
        <v>69.317143435999995</v>
      </c>
      <c r="AF86">
        <v>6.6671312199999999E-2</v>
      </c>
      <c r="AG86">
        <v>0</v>
      </c>
      <c r="AH86">
        <v>6.6671311999999996E-2</v>
      </c>
      <c r="AI86">
        <v>0</v>
      </c>
      <c r="AJ86">
        <v>0</v>
      </c>
      <c r="AK86">
        <v>0</v>
      </c>
      <c r="AL86">
        <v>0</v>
      </c>
      <c r="AM86">
        <v>0</v>
      </c>
      <c r="AN86">
        <v>0</v>
      </c>
      <c r="AO86">
        <v>1.2017842000000001E-2</v>
      </c>
      <c r="AP86">
        <v>0.1399763873</v>
      </c>
      <c r="AQ86">
        <v>0.40473215140000002</v>
      </c>
      <c r="AR86">
        <v>0</v>
      </c>
      <c r="AS86">
        <v>0</v>
      </c>
      <c r="AT86">
        <v>3.4052600000000001E-4</v>
      </c>
      <c r="AU86">
        <v>0</v>
      </c>
      <c r="AV86">
        <v>0.40439162499999998</v>
      </c>
      <c r="AW86">
        <v>3.4052600000000001E-4</v>
      </c>
      <c r="AX86">
        <v>0</v>
      </c>
      <c r="AY86">
        <v>0.40439162499999998</v>
      </c>
      <c r="AZ86">
        <v>1.7969727761000001</v>
      </c>
      <c r="BA86">
        <v>210.85919937</v>
      </c>
    </row>
    <row r="87" spans="1:53" x14ac:dyDescent="0.35">
      <c r="A87" s="13">
        <v>82</v>
      </c>
      <c r="B87" s="10" t="s">
        <v>186</v>
      </c>
      <c r="C87">
        <v>105.83099961000001</v>
      </c>
      <c r="D87">
        <v>18.13492651</v>
      </c>
      <c r="E87">
        <v>1.5120480249999999</v>
      </c>
      <c r="F87">
        <v>0.1074119862</v>
      </c>
      <c r="G87">
        <v>512.45136730000002</v>
      </c>
      <c r="H87">
        <v>4.4814272334999998</v>
      </c>
      <c r="I87">
        <v>12.580092455000001</v>
      </c>
      <c r="J87">
        <v>38.228062459999997</v>
      </c>
      <c r="K87">
        <v>1.6691641337000001</v>
      </c>
      <c r="L87">
        <v>62.580434496000002</v>
      </c>
      <c r="M87">
        <v>2.1006793734000002</v>
      </c>
      <c r="N87">
        <v>206.39045454000001</v>
      </c>
      <c r="O87">
        <v>251.52323834000001</v>
      </c>
      <c r="P87">
        <v>0.1351236545</v>
      </c>
      <c r="Q87">
        <v>635.86977315000001</v>
      </c>
      <c r="R87">
        <v>0.15158151889999999</v>
      </c>
      <c r="S87">
        <v>0.1064089535</v>
      </c>
      <c r="T87">
        <v>0.20161327640000001</v>
      </c>
      <c r="U87">
        <v>1.2565526706000001</v>
      </c>
      <c r="V87">
        <v>13.723594912999999</v>
      </c>
      <c r="W87">
        <v>5.2340728839999997</v>
      </c>
      <c r="X87">
        <v>8.4719409829999996</v>
      </c>
      <c r="Y87">
        <v>1.1057751993</v>
      </c>
      <c r="Z87">
        <v>27.452205674999998</v>
      </c>
      <c r="AA87">
        <v>244.75175315999999</v>
      </c>
      <c r="AB87">
        <v>244.92092374999999</v>
      </c>
      <c r="AC87">
        <v>108.41524497</v>
      </c>
      <c r="AD87">
        <v>3.3016375080000002</v>
      </c>
      <c r="AE87">
        <v>33.723978889999998</v>
      </c>
      <c r="AF87">
        <v>4.0618804098999997</v>
      </c>
      <c r="AG87">
        <v>0.77652197749999996</v>
      </c>
      <c r="AH87">
        <v>3.2853584320000002</v>
      </c>
      <c r="AI87">
        <v>0.1099635073</v>
      </c>
      <c r="AJ87">
        <v>0</v>
      </c>
      <c r="AK87">
        <v>2.9528390500000001E-2</v>
      </c>
      <c r="AL87">
        <v>2.4674618000000001E-3</v>
      </c>
      <c r="AM87">
        <v>7.4148671200000002E-2</v>
      </c>
      <c r="AN87">
        <v>3.8189838E-3</v>
      </c>
      <c r="AO87">
        <v>0</v>
      </c>
      <c r="AP87">
        <v>4.0017560799999997E-2</v>
      </c>
      <c r="AQ87">
        <v>3.7075800000000002E-5</v>
      </c>
      <c r="AR87">
        <v>0</v>
      </c>
      <c r="AS87">
        <v>0</v>
      </c>
      <c r="AT87">
        <v>0</v>
      </c>
      <c r="AU87">
        <v>0</v>
      </c>
      <c r="AV87" s="14">
        <v>3.7075800000000002E-5</v>
      </c>
      <c r="AW87">
        <v>0</v>
      </c>
      <c r="AX87">
        <v>0</v>
      </c>
      <c r="AY87" s="14">
        <v>3.7075800000000002E-5</v>
      </c>
      <c r="AZ87">
        <v>23.763102463999999</v>
      </c>
      <c r="BA87">
        <v>1.1476924653</v>
      </c>
    </row>
    <row r="88" spans="1:53" x14ac:dyDescent="0.35">
      <c r="A88" s="13">
        <v>83</v>
      </c>
      <c r="B88" s="10" t="s">
        <v>188</v>
      </c>
      <c r="C88">
        <v>51.902306244000002</v>
      </c>
      <c r="D88">
        <v>24.289386199999999</v>
      </c>
      <c r="E88">
        <v>0</v>
      </c>
      <c r="F88">
        <v>0.34621059110000002</v>
      </c>
      <c r="G88">
        <v>417.93666839999997</v>
      </c>
      <c r="H88">
        <v>10.500349839</v>
      </c>
      <c r="I88">
        <v>8.5676702371999998</v>
      </c>
      <c r="J88">
        <v>42.99217075</v>
      </c>
      <c r="K88">
        <v>2.8237738058000001</v>
      </c>
      <c r="L88">
        <v>92.648501268999993</v>
      </c>
      <c r="M88">
        <v>3.7682148669000002</v>
      </c>
      <c r="N88">
        <v>300.96974946</v>
      </c>
      <c r="O88">
        <v>318.30200771</v>
      </c>
      <c r="P88">
        <v>0.1129842819</v>
      </c>
      <c r="Q88">
        <v>527.09734618000005</v>
      </c>
      <c r="R88">
        <v>0.2263876178</v>
      </c>
      <c r="S88">
        <v>0</v>
      </c>
      <c r="T88">
        <v>0.2078011176</v>
      </c>
      <c r="U88">
        <v>0</v>
      </c>
      <c r="V88">
        <v>3.4484236500000001E-2</v>
      </c>
      <c r="W88">
        <v>1.2065152100000001</v>
      </c>
      <c r="X88">
        <v>13.761087590000001</v>
      </c>
      <c r="Y88">
        <v>2.2557112923</v>
      </c>
      <c r="Z88">
        <v>34.229416215999997</v>
      </c>
      <c r="AA88">
        <v>294.31796580000002</v>
      </c>
      <c r="AB88">
        <v>100.00892456</v>
      </c>
      <c r="AC88">
        <v>42.243586659000002</v>
      </c>
      <c r="AD88">
        <v>5.082750495</v>
      </c>
      <c r="AE88">
        <v>17.027946992</v>
      </c>
      <c r="AF88">
        <v>4.7723272620000001</v>
      </c>
      <c r="AG88">
        <v>3.0100504941000001</v>
      </c>
      <c r="AH88">
        <v>1.762276768</v>
      </c>
      <c r="AI88">
        <v>0</v>
      </c>
      <c r="AJ88">
        <v>0</v>
      </c>
      <c r="AK88">
        <v>0</v>
      </c>
      <c r="AL88">
        <v>0</v>
      </c>
      <c r="AM88">
        <v>0</v>
      </c>
      <c r="AN88">
        <v>0</v>
      </c>
      <c r="AO88">
        <v>0</v>
      </c>
      <c r="AP88">
        <v>0</v>
      </c>
      <c r="AQ88">
        <v>1.05934603E-2</v>
      </c>
      <c r="AR88">
        <v>0</v>
      </c>
      <c r="AS88">
        <v>0</v>
      </c>
      <c r="AT88">
        <v>0</v>
      </c>
      <c r="AU88">
        <v>0</v>
      </c>
      <c r="AV88">
        <v>1.0593460000000001E-2</v>
      </c>
      <c r="AW88">
        <v>0</v>
      </c>
      <c r="AX88">
        <v>0</v>
      </c>
      <c r="AY88">
        <v>1.0593460000000001E-2</v>
      </c>
      <c r="AZ88">
        <v>5.8527984492999998</v>
      </c>
      <c r="BA88">
        <v>16.468036377000001</v>
      </c>
    </row>
    <row r="89" spans="1:53" x14ac:dyDescent="0.35">
      <c r="A89" s="13">
        <v>84</v>
      </c>
      <c r="B89" s="10" t="s">
        <v>190</v>
      </c>
      <c r="C89">
        <v>96.558453473</v>
      </c>
      <c r="D89">
        <v>14.79296884</v>
      </c>
      <c r="E89">
        <v>1.6939682925999999</v>
      </c>
      <c r="F89">
        <v>0.17524999529999999</v>
      </c>
      <c r="G89">
        <v>474.50482731</v>
      </c>
      <c r="H89">
        <v>3.0921206079000001</v>
      </c>
      <c r="I89">
        <v>89.094432466000001</v>
      </c>
      <c r="J89">
        <v>174.6455575</v>
      </c>
      <c r="K89">
        <v>4.0979434101000001</v>
      </c>
      <c r="L89">
        <v>35.753290706999998</v>
      </c>
      <c r="M89">
        <v>5.5054305586999996</v>
      </c>
      <c r="N89">
        <v>218.66203715</v>
      </c>
      <c r="O89">
        <v>177.24053472</v>
      </c>
      <c r="P89">
        <v>0.37383884680000001</v>
      </c>
      <c r="Q89">
        <v>850.17591327000002</v>
      </c>
      <c r="R89">
        <v>0.50311205609999998</v>
      </c>
      <c r="S89">
        <v>0.11522431700000001</v>
      </c>
      <c r="T89">
        <v>0.12683237720000001</v>
      </c>
      <c r="U89">
        <v>5.4143465000000002E-3</v>
      </c>
      <c r="V89">
        <v>6.1755249483999997</v>
      </c>
      <c r="W89">
        <v>2.1145534010000002</v>
      </c>
      <c r="X89">
        <v>23.596003629999998</v>
      </c>
      <c r="Y89">
        <v>1.0226154505</v>
      </c>
      <c r="Z89">
        <v>38.51711135</v>
      </c>
      <c r="AA89">
        <v>251.25574993000001</v>
      </c>
      <c r="AB89">
        <v>184.99155071999999</v>
      </c>
      <c r="AC89">
        <v>65.237353506000005</v>
      </c>
      <c r="AD89">
        <v>6.2245734930000003</v>
      </c>
      <c r="AE89">
        <v>39.089575054000001</v>
      </c>
      <c r="AF89">
        <v>4.2899932053000001</v>
      </c>
      <c r="AG89">
        <v>0.1741703922</v>
      </c>
      <c r="AH89">
        <v>4.1158228130000003</v>
      </c>
      <c r="AI89">
        <v>0</v>
      </c>
      <c r="AJ89">
        <v>0</v>
      </c>
      <c r="AK89">
        <v>0</v>
      </c>
      <c r="AL89">
        <v>0</v>
      </c>
      <c r="AM89">
        <v>0</v>
      </c>
      <c r="AN89">
        <v>0</v>
      </c>
      <c r="AO89">
        <v>6.6856260000000003E-4</v>
      </c>
      <c r="AP89">
        <v>5.3877573599999999E-2</v>
      </c>
      <c r="AQ89">
        <v>0.25686829859999999</v>
      </c>
      <c r="AR89">
        <v>0</v>
      </c>
      <c r="AS89">
        <v>0</v>
      </c>
      <c r="AT89">
        <v>0</v>
      </c>
      <c r="AU89">
        <v>0</v>
      </c>
      <c r="AV89">
        <v>0.25686829900000002</v>
      </c>
      <c r="AW89">
        <v>0</v>
      </c>
      <c r="AX89">
        <v>0</v>
      </c>
      <c r="AY89">
        <v>0.25686829900000002</v>
      </c>
      <c r="AZ89">
        <v>13.123812588</v>
      </c>
      <c r="BA89">
        <v>16.568504999999998</v>
      </c>
    </row>
    <row r="90" spans="1:53" x14ac:dyDescent="0.35">
      <c r="A90" s="13">
        <v>85</v>
      </c>
      <c r="B90" s="10" t="s">
        <v>192</v>
      </c>
      <c r="C90">
        <v>102.82789768000001</v>
      </c>
      <c r="D90">
        <v>19.913420219999999</v>
      </c>
      <c r="E90">
        <v>30.699538755999999</v>
      </c>
      <c r="F90">
        <v>4.8254981099999997E-2</v>
      </c>
      <c r="G90">
        <v>185.18334393000001</v>
      </c>
      <c r="H90">
        <v>0.65157791190000003</v>
      </c>
      <c r="I90">
        <v>1.4231382089</v>
      </c>
      <c r="J90">
        <v>7.8352449980000003</v>
      </c>
      <c r="K90">
        <v>0.29900191720000002</v>
      </c>
      <c r="L90">
        <v>14.821186515000001</v>
      </c>
      <c r="M90">
        <v>0.19186939210000001</v>
      </c>
      <c r="N90">
        <v>89.108286268000001</v>
      </c>
      <c r="O90">
        <v>172.22907773</v>
      </c>
      <c r="P90">
        <v>0.18288601739999999</v>
      </c>
      <c r="Q90">
        <v>79.963415764999993</v>
      </c>
      <c r="R90">
        <v>3.7917016599999999E-2</v>
      </c>
      <c r="S90">
        <v>0.28443763220000001</v>
      </c>
      <c r="T90">
        <v>4.1619122500000001E-2</v>
      </c>
      <c r="U90">
        <v>0.79091485539999995</v>
      </c>
      <c r="V90">
        <v>84.918668294</v>
      </c>
      <c r="W90">
        <v>0.24175132299999999</v>
      </c>
      <c r="X90">
        <v>0.47892262899999999</v>
      </c>
      <c r="Y90">
        <v>0.5529466408</v>
      </c>
      <c r="Z90">
        <v>12.727046014000001</v>
      </c>
      <c r="AA90">
        <v>95.981056186999993</v>
      </c>
      <c r="AB90">
        <v>78.050533239999993</v>
      </c>
      <c r="AC90">
        <v>3.2119085429999998</v>
      </c>
      <c r="AD90">
        <v>1.1135273670000001</v>
      </c>
      <c r="AE90">
        <v>45.343954928000002</v>
      </c>
      <c r="AF90">
        <v>6.6738605000000006E-2</v>
      </c>
      <c r="AG90">
        <v>0</v>
      </c>
      <c r="AH90">
        <v>6.6738605000000006E-2</v>
      </c>
      <c r="AI90">
        <v>0</v>
      </c>
      <c r="AJ90">
        <v>0</v>
      </c>
      <c r="AK90">
        <v>0</v>
      </c>
      <c r="AL90">
        <v>0</v>
      </c>
      <c r="AM90">
        <v>0</v>
      </c>
      <c r="AN90">
        <v>0</v>
      </c>
      <c r="AO90">
        <v>9.1162298999999999E-3</v>
      </c>
      <c r="AP90">
        <v>0.19386849910000001</v>
      </c>
      <c r="AQ90">
        <v>1.4498892500000001E-2</v>
      </c>
      <c r="AR90">
        <v>0</v>
      </c>
      <c r="AS90">
        <v>0</v>
      </c>
      <c r="AT90">
        <v>7.5049119999999999E-3</v>
      </c>
      <c r="AU90">
        <v>0</v>
      </c>
      <c r="AV90">
        <v>6.9939800000000003E-3</v>
      </c>
      <c r="AW90">
        <v>7.5049119999999999E-3</v>
      </c>
      <c r="AX90">
        <v>0</v>
      </c>
      <c r="AY90">
        <v>6.9939800000000003E-3</v>
      </c>
      <c r="AZ90">
        <v>5.3378400999999999E-2</v>
      </c>
      <c r="BA90">
        <v>64.986091931000004</v>
      </c>
    </row>
    <row r="91" spans="1:53" x14ac:dyDescent="0.35">
      <c r="A91" s="13">
        <v>86</v>
      </c>
      <c r="B91" s="10" t="s">
        <v>194</v>
      </c>
      <c r="C91">
        <v>37.062345448999999</v>
      </c>
      <c r="D91">
        <v>25.001651389999999</v>
      </c>
      <c r="E91">
        <v>0.78720714339999998</v>
      </c>
      <c r="F91">
        <v>0.16230952009999999</v>
      </c>
      <c r="G91">
        <v>400.41301952999999</v>
      </c>
      <c r="H91">
        <v>3.6318741318000001</v>
      </c>
      <c r="I91">
        <v>101.50071846</v>
      </c>
      <c r="J91">
        <v>217.6440274</v>
      </c>
      <c r="K91">
        <v>4.1793329124999996</v>
      </c>
      <c r="L91">
        <v>36.520181072</v>
      </c>
      <c r="M91">
        <v>5.0875474098</v>
      </c>
      <c r="N91">
        <v>137.21085631</v>
      </c>
      <c r="O91">
        <v>212.98791496999999</v>
      </c>
      <c r="P91">
        <v>0.32406940670000001</v>
      </c>
      <c r="Q91">
        <v>1048.3771749</v>
      </c>
      <c r="R91">
        <v>0.38585026859999999</v>
      </c>
      <c r="S91">
        <v>3.1875748299999999E-2</v>
      </c>
      <c r="T91">
        <v>0.1023662728</v>
      </c>
      <c r="U91">
        <v>1.3745794429</v>
      </c>
      <c r="V91">
        <v>1.3135089145000001</v>
      </c>
      <c r="W91">
        <v>1.001864283</v>
      </c>
      <c r="X91">
        <v>4.8103107869999997</v>
      </c>
      <c r="Y91">
        <v>1.1326899969999999</v>
      </c>
      <c r="Z91">
        <v>38.816735326</v>
      </c>
      <c r="AA91">
        <v>304.11428094000001</v>
      </c>
      <c r="AB91">
        <v>61.852319901000001</v>
      </c>
      <c r="AC91">
        <v>22.583815658999999</v>
      </c>
      <c r="AD91">
        <v>1.217273319</v>
      </c>
      <c r="AE91">
        <v>10.861867308000001</v>
      </c>
      <c r="AF91">
        <v>5.2197318730999998</v>
      </c>
      <c r="AG91">
        <v>0.184545612</v>
      </c>
      <c r="AH91">
        <v>5.0351862609999998</v>
      </c>
      <c r="AI91">
        <v>1.0563705600000001E-2</v>
      </c>
      <c r="AJ91">
        <v>0</v>
      </c>
      <c r="AK91">
        <v>0</v>
      </c>
      <c r="AL91">
        <v>0</v>
      </c>
      <c r="AM91">
        <v>1.0563705600000001E-2</v>
      </c>
      <c r="AN91">
        <v>0</v>
      </c>
      <c r="AO91">
        <v>0</v>
      </c>
      <c r="AP91">
        <v>8.3248857999999992E-3</v>
      </c>
      <c r="AQ91">
        <v>0.13723445270000001</v>
      </c>
      <c r="AR91">
        <v>0</v>
      </c>
      <c r="AS91">
        <v>0</v>
      </c>
      <c r="AT91">
        <v>0</v>
      </c>
      <c r="AU91">
        <v>0</v>
      </c>
      <c r="AV91">
        <v>0.13723445300000001</v>
      </c>
      <c r="AW91">
        <v>0</v>
      </c>
      <c r="AX91">
        <v>0</v>
      </c>
      <c r="AY91">
        <v>0.13723445300000001</v>
      </c>
      <c r="AZ91">
        <v>5.1564677039999998</v>
      </c>
      <c r="BA91">
        <v>9.0520572497000007</v>
      </c>
    </row>
    <row r="92" spans="1:53" x14ac:dyDescent="0.35">
      <c r="A92" s="13">
        <v>87</v>
      </c>
      <c r="B92" s="10" t="s">
        <v>196</v>
      </c>
      <c r="C92">
        <v>27.716309810999999</v>
      </c>
      <c r="D92">
        <v>16.138109270000001</v>
      </c>
      <c r="E92">
        <v>1.9737007643</v>
      </c>
      <c r="F92">
        <v>0.32272457380000003</v>
      </c>
      <c r="G92">
        <v>471.54441355</v>
      </c>
      <c r="H92">
        <v>11.86483071</v>
      </c>
      <c r="I92">
        <v>0</v>
      </c>
      <c r="J92">
        <v>17.762957549999999</v>
      </c>
      <c r="K92">
        <v>2.4062079549000002</v>
      </c>
      <c r="L92">
        <v>121.74364817999999</v>
      </c>
      <c r="M92">
        <v>1.7883062676000001</v>
      </c>
      <c r="N92">
        <v>281.84381041</v>
      </c>
      <c r="O92">
        <v>244.82747805</v>
      </c>
      <c r="P92">
        <v>0.12569037850000001</v>
      </c>
      <c r="Q92">
        <v>587.35683070000005</v>
      </c>
      <c r="R92">
        <v>0.1980105556</v>
      </c>
      <c r="S92">
        <v>9.5096491399999997E-2</v>
      </c>
      <c r="T92">
        <v>0.1747722478</v>
      </c>
      <c r="U92">
        <v>0.14082582639999999</v>
      </c>
      <c r="V92">
        <v>9.4213029090999996</v>
      </c>
      <c r="W92">
        <v>2.1528804180000001</v>
      </c>
      <c r="X92">
        <v>3.1264739160000001</v>
      </c>
      <c r="Y92">
        <v>2.8971584506000001</v>
      </c>
      <c r="Z92">
        <v>42.630111806999999</v>
      </c>
      <c r="AA92">
        <v>251.10000377</v>
      </c>
      <c r="AB92">
        <v>187.93943633000001</v>
      </c>
      <c r="AC92">
        <v>85.474787589000002</v>
      </c>
      <c r="AD92">
        <v>4.1535426690000001</v>
      </c>
      <c r="AE92">
        <v>30.618307386000001</v>
      </c>
      <c r="AF92">
        <v>2.8956909987000001</v>
      </c>
      <c r="AG92">
        <v>2.8956909987000001</v>
      </c>
      <c r="AH92">
        <v>0</v>
      </c>
      <c r="AI92">
        <v>0</v>
      </c>
      <c r="AJ92">
        <v>0</v>
      </c>
      <c r="AK92">
        <v>0</v>
      </c>
      <c r="AL92">
        <v>0</v>
      </c>
      <c r="AM92">
        <v>0</v>
      </c>
      <c r="AN92">
        <v>0</v>
      </c>
      <c r="AO92">
        <v>0</v>
      </c>
      <c r="AP92">
        <v>1.61484608E-2</v>
      </c>
      <c r="AQ92">
        <v>0</v>
      </c>
      <c r="AR92">
        <v>0</v>
      </c>
      <c r="AS92">
        <v>0</v>
      </c>
      <c r="AT92">
        <v>0</v>
      </c>
      <c r="AU92">
        <v>0</v>
      </c>
      <c r="AV92">
        <v>0</v>
      </c>
      <c r="AW92">
        <v>0</v>
      </c>
      <c r="AX92">
        <v>0</v>
      </c>
      <c r="AY92">
        <v>0</v>
      </c>
      <c r="AZ92">
        <v>14.572789137999999</v>
      </c>
      <c r="BA92">
        <v>0</v>
      </c>
    </row>
    <row r="93" spans="1:53" x14ac:dyDescent="0.35">
      <c r="A93" s="13">
        <v>88</v>
      </c>
      <c r="B93" s="10" t="s">
        <v>198</v>
      </c>
      <c r="C93">
        <v>22.032134330000002</v>
      </c>
      <c r="D93">
        <v>15.40591901</v>
      </c>
      <c r="E93">
        <v>2.7421768649999998</v>
      </c>
      <c r="F93">
        <v>0.19923493149999999</v>
      </c>
      <c r="G93">
        <v>533.02997320999998</v>
      </c>
      <c r="H93">
        <v>9.6076079387999993</v>
      </c>
      <c r="I93">
        <v>0</v>
      </c>
      <c r="J93">
        <v>14.69173286</v>
      </c>
      <c r="K93">
        <v>2.0202753028</v>
      </c>
      <c r="L93">
        <v>100.02222772</v>
      </c>
      <c r="M93">
        <v>1.4994753375000001</v>
      </c>
      <c r="N93">
        <v>243.48654278000001</v>
      </c>
      <c r="O93">
        <v>387.26205689</v>
      </c>
      <c r="P93">
        <v>6.4707535100000005E-2</v>
      </c>
      <c r="Q93">
        <v>709.61864547000005</v>
      </c>
      <c r="R93">
        <v>4.8413642799999997E-2</v>
      </c>
      <c r="S93">
        <v>1.7918668000000001E-3</v>
      </c>
      <c r="T93">
        <v>0.28029671830000003</v>
      </c>
      <c r="U93">
        <v>2.3256953100000002E-2</v>
      </c>
      <c r="V93">
        <v>20.746515629000001</v>
      </c>
      <c r="W93">
        <v>2.8569488609999998</v>
      </c>
      <c r="X93">
        <v>4.7254415749999996</v>
      </c>
      <c r="Y93">
        <v>2.1490850466999998</v>
      </c>
      <c r="Z93">
        <v>33.197838429999997</v>
      </c>
      <c r="AA93">
        <v>224.47901395</v>
      </c>
      <c r="AB93">
        <v>278.91422351</v>
      </c>
      <c r="AC93">
        <v>43.205220107999999</v>
      </c>
      <c r="AD93">
        <v>1.531106055</v>
      </c>
      <c r="AE93">
        <v>125.91312995</v>
      </c>
      <c r="AF93">
        <v>2.4692332779999999</v>
      </c>
      <c r="AG93">
        <v>2.4692332779999999</v>
      </c>
      <c r="AH93">
        <v>0</v>
      </c>
      <c r="AI93">
        <v>0</v>
      </c>
      <c r="AJ93">
        <v>0</v>
      </c>
      <c r="AK93">
        <v>0</v>
      </c>
      <c r="AL93">
        <v>0</v>
      </c>
      <c r="AM93">
        <v>0</v>
      </c>
      <c r="AN93">
        <v>0</v>
      </c>
      <c r="AO93">
        <v>0</v>
      </c>
      <c r="AP93">
        <v>0</v>
      </c>
      <c r="AQ93">
        <v>1.5288547000000001E-3</v>
      </c>
      <c r="AR93">
        <v>0</v>
      </c>
      <c r="AS93">
        <v>0</v>
      </c>
      <c r="AT93">
        <v>0</v>
      </c>
      <c r="AU93">
        <v>0</v>
      </c>
      <c r="AV93">
        <v>1.528855E-3</v>
      </c>
      <c r="AW93">
        <v>0</v>
      </c>
      <c r="AX93">
        <v>0</v>
      </c>
      <c r="AY93">
        <v>1.528855E-3</v>
      </c>
      <c r="AZ93">
        <v>2.7811272640000002</v>
      </c>
      <c r="BA93">
        <v>11.669789349</v>
      </c>
    </row>
    <row r="94" spans="1:53" x14ac:dyDescent="0.35">
      <c r="A94" s="13">
        <v>89</v>
      </c>
      <c r="B94" s="10" t="s">
        <v>200</v>
      </c>
      <c r="C94">
        <v>10.705098504</v>
      </c>
      <c r="D94">
        <v>1.8213040089999999</v>
      </c>
      <c r="E94">
        <v>0.36855931539999998</v>
      </c>
      <c r="F94">
        <v>4.2814377200000003E-2</v>
      </c>
      <c r="G94">
        <v>327.14056902999999</v>
      </c>
      <c r="H94">
        <v>0.28704629939999998</v>
      </c>
      <c r="I94">
        <v>0</v>
      </c>
      <c r="J94">
        <v>1.639420393</v>
      </c>
      <c r="K94">
        <v>0.2366718783</v>
      </c>
      <c r="L94">
        <v>4.6404215850000003</v>
      </c>
      <c r="M94">
        <v>4.5220089099999999E-2</v>
      </c>
      <c r="N94">
        <v>12.504972831</v>
      </c>
      <c r="O94">
        <v>35.847985989999998</v>
      </c>
      <c r="P94">
        <v>5.23113126E-2</v>
      </c>
      <c r="Q94">
        <v>44.963607125000003</v>
      </c>
      <c r="R94">
        <v>9.1648460000000008E-3</v>
      </c>
      <c r="S94">
        <v>9.7033381000000002E-3</v>
      </c>
      <c r="T94">
        <v>9.2048148000000007E-3</v>
      </c>
      <c r="U94">
        <v>0.76822982920000005</v>
      </c>
      <c r="V94">
        <v>1.4612547621</v>
      </c>
      <c r="W94">
        <v>0.195650465</v>
      </c>
      <c r="X94">
        <v>0.445134735</v>
      </c>
      <c r="Y94">
        <v>0.15982277710000001</v>
      </c>
      <c r="Z94">
        <v>1.0358846675</v>
      </c>
      <c r="AA94">
        <v>327.17540567999998</v>
      </c>
      <c r="AB94">
        <v>11.173604337</v>
      </c>
      <c r="AC94">
        <v>0.99020947500000001</v>
      </c>
      <c r="AD94">
        <v>8.4215583000000011E-2</v>
      </c>
      <c r="AE94">
        <v>7.8957451373999996</v>
      </c>
      <c r="AF94">
        <v>0</v>
      </c>
      <c r="AG94">
        <v>0</v>
      </c>
      <c r="AH94">
        <v>0</v>
      </c>
      <c r="AI94">
        <v>3.4293559999999998E-4</v>
      </c>
      <c r="AJ94">
        <v>0</v>
      </c>
      <c r="AK94">
        <v>0</v>
      </c>
      <c r="AL94">
        <v>3.4293559999999998E-4</v>
      </c>
      <c r="AM94">
        <v>0</v>
      </c>
      <c r="AN94">
        <v>0</v>
      </c>
      <c r="AO94">
        <v>2.3879306100000001E-2</v>
      </c>
      <c r="AP94">
        <v>1.21358708E-2</v>
      </c>
      <c r="AQ94">
        <v>1.9965666399999998E-2</v>
      </c>
      <c r="AR94">
        <v>0</v>
      </c>
      <c r="AS94">
        <v>0</v>
      </c>
      <c r="AT94">
        <v>0</v>
      </c>
      <c r="AU94">
        <v>0</v>
      </c>
      <c r="AV94">
        <v>1.9965666E-2</v>
      </c>
      <c r="AW94">
        <v>0</v>
      </c>
      <c r="AX94">
        <v>0</v>
      </c>
      <c r="AY94">
        <v>1.9965666E-2</v>
      </c>
      <c r="AZ94">
        <v>0.19595119489999999</v>
      </c>
      <c r="BA94">
        <v>287.81683491000001</v>
      </c>
    </row>
    <row r="95" spans="1:53" x14ac:dyDescent="0.35">
      <c r="A95" s="13">
        <v>90</v>
      </c>
      <c r="B95" s="10" t="s">
        <v>202</v>
      </c>
      <c r="C95">
        <v>59.575658975000003</v>
      </c>
      <c r="D95">
        <v>16.609261060000001</v>
      </c>
      <c r="E95">
        <v>0.14066806270000001</v>
      </c>
      <c r="F95">
        <v>6.0030474E-2</v>
      </c>
      <c r="G95">
        <v>27.788386170999999</v>
      </c>
      <c r="H95">
        <v>2.8819971023000002</v>
      </c>
      <c r="I95">
        <v>0</v>
      </c>
      <c r="J95">
        <v>60.6566726</v>
      </c>
      <c r="K95">
        <v>0.93422600580000004</v>
      </c>
      <c r="L95">
        <v>22.379319916</v>
      </c>
      <c r="M95">
        <v>0.45410511730000003</v>
      </c>
      <c r="N95">
        <v>45.535309106</v>
      </c>
      <c r="O95">
        <v>168.78223109999999</v>
      </c>
      <c r="P95">
        <v>8.9436497099999998E-2</v>
      </c>
      <c r="Q95">
        <v>86.487036009999997</v>
      </c>
      <c r="R95">
        <v>4.64920682E-2</v>
      </c>
      <c r="S95">
        <v>0</v>
      </c>
      <c r="T95">
        <v>0.120145003</v>
      </c>
      <c r="U95">
        <v>33.286765254000002</v>
      </c>
      <c r="V95">
        <v>156.14565729</v>
      </c>
      <c r="W95">
        <v>1.4102723319999999</v>
      </c>
      <c r="X95">
        <v>178.97257089999999</v>
      </c>
      <c r="Y95">
        <v>0.2984276206</v>
      </c>
      <c r="Z95">
        <v>11.649091216</v>
      </c>
      <c r="AA95">
        <v>19.751173991999998</v>
      </c>
      <c r="AB95">
        <v>2.6254717256000002</v>
      </c>
      <c r="AC95">
        <v>0.226577106</v>
      </c>
      <c r="AD95">
        <v>0.60761183399999996</v>
      </c>
      <c r="AE95">
        <v>0.62387301839999998</v>
      </c>
      <c r="AF95">
        <v>0</v>
      </c>
      <c r="AG95">
        <v>0</v>
      </c>
      <c r="AH95">
        <v>0</v>
      </c>
      <c r="AI95">
        <v>0.6616585022</v>
      </c>
      <c r="AJ95">
        <v>0.6616585022</v>
      </c>
      <c r="AK95">
        <v>0</v>
      </c>
      <c r="AL95">
        <v>0</v>
      </c>
      <c r="AM95">
        <v>0</v>
      </c>
      <c r="AN95">
        <v>0</v>
      </c>
      <c r="AO95">
        <v>0</v>
      </c>
      <c r="AP95">
        <v>0</v>
      </c>
      <c r="AQ95">
        <v>0</v>
      </c>
      <c r="AR95">
        <v>0</v>
      </c>
      <c r="AS95">
        <v>0</v>
      </c>
      <c r="AT95">
        <v>0</v>
      </c>
      <c r="AU95">
        <v>0</v>
      </c>
      <c r="AV95">
        <v>0</v>
      </c>
      <c r="AW95">
        <v>0</v>
      </c>
      <c r="AX95">
        <v>0</v>
      </c>
      <c r="AY95">
        <v>0</v>
      </c>
      <c r="AZ95">
        <v>2.8418496999999998E-3</v>
      </c>
      <c r="BA95">
        <v>0</v>
      </c>
    </row>
    <row r="96" spans="1:53" x14ac:dyDescent="0.35">
      <c r="A96" s="13">
        <v>91</v>
      </c>
      <c r="B96" s="10" t="s">
        <v>204</v>
      </c>
      <c r="C96">
        <v>62.063661025999998</v>
      </c>
      <c r="D96">
        <v>26.397497600000001</v>
      </c>
      <c r="E96">
        <v>0.1104193187</v>
      </c>
      <c r="F96">
        <v>0.12741953619999999</v>
      </c>
      <c r="G96">
        <v>32.768511011000001</v>
      </c>
      <c r="H96">
        <v>2.9107357954999999</v>
      </c>
      <c r="I96">
        <v>0</v>
      </c>
      <c r="J96">
        <v>110.030269</v>
      </c>
      <c r="K96">
        <v>1.1371940219000001</v>
      </c>
      <c r="L96">
        <v>30.824717178</v>
      </c>
      <c r="M96">
        <v>0.53750236119999995</v>
      </c>
      <c r="N96">
        <v>55.306137794999998</v>
      </c>
      <c r="O96">
        <v>323.66821099999999</v>
      </c>
      <c r="P96">
        <v>0.1227593813</v>
      </c>
      <c r="Q96">
        <v>40.723567883999998</v>
      </c>
      <c r="R96">
        <v>6.8995757800000002E-2</v>
      </c>
      <c r="S96">
        <v>0</v>
      </c>
      <c r="T96">
        <v>0.17111602270000001</v>
      </c>
      <c r="U96">
        <v>46.476545076999997</v>
      </c>
      <c r="V96">
        <v>213.94335649000001</v>
      </c>
      <c r="W96">
        <v>1.3491660750000001</v>
      </c>
      <c r="X96">
        <v>234.20653999999999</v>
      </c>
      <c r="Y96">
        <v>0.4557222152</v>
      </c>
      <c r="Z96">
        <v>9.3850375693999997</v>
      </c>
      <c r="AA96">
        <v>22.647286174000001</v>
      </c>
      <c r="AB96">
        <v>7.0223364358999998</v>
      </c>
      <c r="AC96">
        <v>1.6105481909999999</v>
      </c>
      <c r="AD96">
        <v>1.0499191290000001</v>
      </c>
      <c r="AE96">
        <v>1.2934160613000001</v>
      </c>
      <c r="AF96">
        <v>0</v>
      </c>
      <c r="AG96">
        <v>0</v>
      </c>
      <c r="AH96">
        <v>0</v>
      </c>
      <c r="AI96">
        <v>0.9346414757</v>
      </c>
      <c r="AJ96">
        <v>0.90952297589999997</v>
      </c>
      <c r="AK96">
        <v>0</v>
      </c>
      <c r="AL96">
        <v>0</v>
      </c>
      <c r="AM96">
        <v>0</v>
      </c>
      <c r="AN96">
        <v>2.5118499799999999E-2</v>
      </c>
      <c r="AO96">
        <v>0</v>
      </c>
      <c r="AP96">
        <v>0</v>
      </c>
      <c r="AQ96">
        <v>0</v>
      </c>
      <c r="AR96">
        <v>0</v>
      </c>
      <c r="AS96">
        <v>0</v>
      </c>
      <c r="AT96">
        <v>0</v>
      </c>
      <c r="AU96">
        <v>0</v>
      </c>
      <c r="AV96">
        <v>0</v>
      </c>
      <c r="AW96">
        <v>0</v>
      </c>
      <c r="AX96">
        <v>0</v>
      </c>
      <c r="AY96">
        <v>0</v>
      </c>
      <c r="AZ96">
        <v>0.30126782229999999</v>
      </c>
      <c r="BA96">
        <v>0</v>
      </c>
    </row>
    <row r="97" spans="1:53" x14ac:dyDescent="0.35">
      <c r="A97" s="13">
        <v>92</v>
      </c>
      <c r="B97" s="10" t="s">
        <v>205</v>
      </c>
      <c r="C97">
        <v>27.095020444999999</v>
      </c>
      <c r="D97">
        <v>9.3660175880000001</v>
      </c>
      <c r="E97">
        <v>0.14098139579999999</v>
      </c>
      <c r="F97">
        <v>3.9654543100000002E-2</v>
      </c>
      <c r="G97">
        <v>24.345206678</v>
      </c>
      <c r="H97">
        <v>1.501530228</v>
      </c>
      <c r="I97">
        <v>0</v>
      </c>
      <c r="J97">
        <v>25.035486150000001</v>
      </c>
      <c r="K97">
        <v>0.4118586696</v>
      </c>
      <c r="L97">
        <v>10.982506409000001</v>
      </c>
      <c r="M97">
        <v>0.18958983239999999</v>
      </c>
      <c r="N97">
        <v>24.927579308999999</v>
      </c>
      <c r="O97">
        <v>160.78856278000001</v>
      </c>
      <c r="P97">
        <v>3.6013539599999998E-2</v>
      </c>
      <c r="Q97">
        <v>46.535232741000002</v>
      </c>
      <c r="R97">
        <v>4.0066936999999997E-2</v>
      </c>
      <c r="S97">
        <v>0</v>
      </c>
      <c r="T97">
        <v>7.5194086800000004E-2</v>
      </c>
      <c r="U97">
        <v>10.070402328</v>
      </c>
      <c r="V97">
        <v>27.807339807000002</v>
      </c>
      <c r="W97">
        <v>0.15887558500000001</v>
      </c>
      <c r="X97">
        <v>28.777375339999999</v>
      </c>
      <c r="Y97">
        <v>0.18179091</v>
      </c>
      <c r="Z97">
        <v>4.0947878546999998</v>
      </c>
      <c r="AA97">
        <v>18.428099904</v>
      </c>
      <c r="AB97">
        <v>4.3527325296999999</v>
      </c>
      <c r="AC97">
        <v>1.1398955309999999</v>
      </c>
      <c r="AD97">
        <v>0.42802694099999999</v>
      </c>
      <c r="AE97">
        <v>0.89164727840000002</v>
      </c>
      <c r="AF97">
        <v>0</v>
      </c>
      <c r="AG97">
        <v>0</v>
      </c>
      <c r="AH97">
        <v>0</v>
      </c>
      <c r="AI97">
        <v>0.8002613542</v>
      </c>
      <c r="AJ97">
        <v>1.9780821000000001E-2</v>
      </c>
      <c r="AK97">
        <v>7.8789219000000004E-3</v>
      </c>
      <c r="AL97">
        <v>0</v>
      </c>
      <c r="AM97">
        <v>1.4823852699999999E-2</v>
      </c>
      <c r="AN97">
        <v>0.75777775859999996</v>
      </c>
      <c r="AO97">
        <v>0</v>
      </c>
      <c r="AP97">
        <v>0</v>
      </c>
      <c r="AQ97">
        <v>0</v>
      </c>
      <c r="AR97">
        <v>0</v>
      </c>
      <c r="AS97">
        <v>0</v>
      </c>
      <c r="AT97">
        <v>0</v>
      </c>
      <c r="AU97">
        <v>0</v>
      </c>
      <c r="AV97">
        <v>0</v>
      </c>
      <c r="AW97">
        <v>0</v>
      </c>
      <c r="AX97">
        <v>0</v>
      </c>
      <c r="AY97">
        <v>0</v>
      </c>
      <c r="AZ97">
        <v>0.2663886311</v>
      </c>
      <c r="BA97">
        <v>0</v>
      </c>
    </row>
    <row r="98" spans="1:53" x14ac:dyDescent="0.35">
      <c r="A98" s="13">
        <v>93</v>
      </c>
      <c r="B98" s="10" t="s">
        <v>207</v>
      </c>
      <c r="C98">
        <v>24.417398042999999</v>
      </c>
      <c r="D98">
        <v>15.56251722</v>
      </c>
      <c r="E98">
        <v>0.50339476670000005</v>
      </c>
      <c r="F98">
        <v>0.10264970230000001</v>
      </c>
      <c r="G98">
        <v>78.046435736999996</v>
      </c>
      <c r="H98">
        <v>3.7147421755000001</v>
      </c>
      <c r="I98">
        <v>0</v>
      </c>
      <c r="J98">
        <v>48.704804289999998</v>
      </c>
      <c r="K98">
        <v>0.56308223660000001</v>
      </c>
      <c r="L98">
        <v>19.651747152999999</v>
      </c>
      <c r="M98">
        <v>0.96048139369999996</v>
      </c>
      <c r="N98">
        <v>39.697288491000002</v>
      </c>
      <c r="O98">
        <v>290.96134933000002</v>
      </c>
      <c r="P98">
        <v>9.1181694999999993E-2</v>
      </c>
      <c r="Q98">
        <v>57.816519696</v>
      </c>
      <c r="R98">
        <v>5.8690015999999998E-2</v>
      </c>
      <c r="S98">
        <v>8.6059660000000003E-4</v>
      </c>
      <c r="T98">
        <v>0.18709960319999999</v>
      </c>
      <c r="U98">
        <v>27.047652156000002</v>
      </c>
      <c r="V98">
        <v>57.150526051</v>
      </c>
      <c r="W98">
        <v>1.005235364</v>
      </c>
      <c r="X98">
        <v>28.442768340000001</v>
      </c>
      <c r="Y98">
        <v>0.36901593179999997</v>
      </c>
      <c r="Z98">
        <v>6.8351378286999998</v>
      </c>
      <c r="AA98">
        <v>27.983032127000001</v>
      </c>
      <c r="AB98">
        <v>51.019942569999998</v>
      </c>
      <c r="AC98">
        <v>7.0288306289999998</v>
      </c>
      <c r="AD98">
        <v>0.916348563</v>
      </c>
      <c r="AE98">
        <v>8.4024075050999993</v>
      </c>
      <c r="AF98">
        <v>0</v>
      </c>
      <c r="AG98">
        <v>0</v>
      </c>
      <c r="AH98">
        <v>0</v>
      </c>
      <c r="AI98">
        <v>0.73213222870000005</v>
      </c>
      <c r="AJ98">
        <v>2.97974659E-2</v>
      </c>
      <c r="AK98">
        <v>3.4237758100000001E-2</v>
      </c>
      <c r="AL98">
        <v>0</v>
      </c>
      <c r="AM98">
        <v>4.8955439000000003E-3</v>
      </c>
      <c r="AN98">
        <v>0.66320146089999998</v>
      </c>
      <c r="AO98">
        <v>0</v>
      </c>
      <c r="AP98">
        <v>0</v>
      </c>
      <c r="AQ98">
        <v>0</v>
      </c>
      <c r="AR98">
        <v>0</v>
      </c>
      <c r="AS98">
        <v>0</v>
      </c>
      <c r="AT98">
        <v>0</v>
      </c>
      <c r="AU98">
        <v>0</v>
      </c>
      <c r="AV98">
        <v>0</v>
      </c>
      <c r="AW98">
        <v>0</v>
      </c>
      <c r="AX98">
        <v>0</v>
      </c>
      <c r="AY98">
        <v>0</v>
      </c>
      <c r="AZ98">
        <v>4.7528450121999999</v>
      </c>
      <c r="BA98">
        <v>0</v>
      </c>
    </row>
    <row r="99" spans="1:53" x14ac:dyDescent="0.35">
      <c r="A99" s="13">
        <v>94</v>
      </c>
      <c r="B99" s="10" t="s">
        <v>208</v>
      </c>
      <c r="C99">
        <v>12.734448614</v>
      </c>
      <c r="D99">
        <v>7.2189063679999999</v>
      </c>
      <c r="E99">
        <v>0.26751643279999998</v>
      </c>
      <c r="F99">
        <v>6.34197918E-2</v>
      </c>
      <c r="G99">
        <v>25.012114148999999</v>
      </c>
      <c r="H99">
        <v>1.4182137109999999</v>
      </c>
      <c r="I99">
        <v>0</v>
      </c>
      <c r="J99">
        <v>14.54498297</v>
      </c>
      <c r="K99">
        <v>0.31201681650000002</v>
      </c>
      <c r="L99">
        <v>11.966409090000001</v>
      </c>
      <c r="M99">
        <v>0.64613330550000003</v>
      </c>
      <c r="N99">
        <v>26.165976274999998</v>
      </c>
      <c r="O99">
        <v>249.09637289</v>
      </c>
      <c r="P99">
        <v>2.6062195400000002E-2</v>
      </c>
      <c r="Q99">
        <v>10.422229602</v>
      </c>
      <c r="R99">
        <v>4.2661509E-2</v>
      </c>
      <c r="S99">
        <v>0</v>
      </c>
      <c r="T99">
        <v>9.8258984800000004E-2</v>
      </c>
      <c r="U99">
        <v>15.202179490000001</v>
      </c>
      <c r="V99">
        <v>141.98203426000001</v>
      </c>
      <c r="W99">
        <v>0.59472873900000001</v>
      </c>
      <c r="X99">
        <v>7.6853946070000001</v>
      </c>
      <c r="Y99">
        <v>0.1804543693</v>
      </c>
      <c r="Z99">
        <v>3.7942469153</v>
      </c>
      <c r="AA99">
        <v>21.059533715000001</v>
      </c>
      <c r="AB99">
        <v>2.9488047530000001</v>
      </c>
      <c r="AC99">
        <v>0.83500644600000007</v>
      </c>
      <c r="AD99">
        <v>4.4719973999999996E-2</v>
      </c>
      <c r="AE99">
        <v>0.90291105390000004</v>
      </c>
      <c r="AF99">
        <v>0</v>
      </c>
      <c r="AG99">
        <v>0</v>
      </c>
      <c r="AH99">
        <v>0</v>
      </c>
      <c r="AI99">
        <v>0.58823272680000005</v>
      </c>
      <c r="AJ99">
        <v>0</v>
      </c>
      <c r="AK99">
        <v>0.58754456929999999</v>
      </c>
      <c r="AL99">
        <v>0</v>
      </c>
      <c r="AM99">
        <v>0</v>
      </c>
      <c r="AN99">
        <v>6.8815749999999996E-4</v>
      </c>
      <c r="AO99">
        <v>0</v>
      </c>
      <c r="AP99">
        <v>0</v>
      </c>
      <c r="AQ99">
        <v>0</v>
      </c>
      <c r="AR99">
        <v>0</v>
      </c>
      <c r="AS99">
        <v>0</v>
      </c>
      <c r="AT99">
        <v>0</v>
      </c>
      <c r="AU99">
        <v>0</v>
      </c>
      <c r="AV99">
        <v>0</v>
      </c>
      <c r="AW99">
        <v>0</v>
      </c>
      <c r="AX99">
        <v>0</v>
      </c>
      <c r="AY99">
        <v>0</v>
      </c>
      <c r="AZ99">
        <v>2.5918763899999999E-2</v>
      </c>
      <c r="BA99">
        <v>0</v>
      </c>
    </row>
    <row r="100" spans="1:53" x14ac:dyDescent="0.35">
      <c r="A100" s="13">
        <v>95</v>
      </c>
      <c r="B100" s="10" t="s">
        <v>210</v>
      </c>
      <c r="C100">
        <v>32.907049000999997</v>
      </c>
      <c r="D100">
        <v>9.197767206</v>
      </c>
      <c r="E100">
        <v>0.82447860880000001</v>
      </c>
      <c r="F100">
        <v>5.7338718699999999E-2</v>
      </c>
      <c r="G100">
        <v>49.532885385999997</v>
      </c>
      <c r="H100">
        <v>2.8183708664</v>
      </c>
      <c r="I100">
        <v>0</v>
      </c>
      <c r="J100">
        <v>16.606343720000002</v>
      </c>
      <c r="K100">
        <v>0.36009576599999998</v>
      </c>
      <c r="L100">
        <v>13.2817904</v>
      </c>
      <c r="M100">
        <v>0.97792831879999997</v>
      </c>
      <c r="N100">
        <v>36.041543529000002</v>
      </c>
      <c r="O100">
        <v>320.61184148000001</v>
      </c>
      <c r="P100">
        <v>6.0482079600000002E-2</v>
      </c>
      <c r="Q100">
        <v>75.884481788000002</v>
      </c>
      <c r="R100">
        <v>6.7979966000000003E-2</v>
      </c>
      <c r="S100">
        <v>8.0085110000000003E-4</v>
      </c>
      <c r="T100">
        <v>0.15328399509999999</v>
      </c>
      <c r="U100">
        <v>6.9799136392000003</v>
      </c>
      <c r="V100">
        <v>838.96483262000004</v>
      </c>
      <c r="W100">
        <v>0.73769246499999996</v>
      </c>
      <c r="X100">
        <v>12.14720232</v>
      </c>
      <c r="Y100">
        <v>0.2462978951</v>
      </c>
      <c r="Z100">
        <v>4.0617808695999997</v>
      </c>
      <c r="AA100">
        <v>41.777854896999997</v>
      </c>
      <c r="AB100">
        <v>6.7546576441999999</v>
      </c>
      <c r="AC100">
        <v>1.757146554</v>
      </c>
      <c r="AD100">
        <v>0.13393754999999999</v>
      </c>
      <c r="AE100">
        <v>2.4130038249000001</v>
      </c>
      <c r="AF100">
        <v>0</v>
      </c>
      <c r="AG100">
        <v>0</v>
      </c>
      <c r="AH100">
        <v>0</v>
      </c>
      <c r="AI100">
        <v>0.75010295800000004</v>
      </c>
      <c r="AJ100">
        <v>0</v>
      </c>
      <c r="AK100">
        <v>0.75010295800000004</v>
      </c>
      <c r="AL100">
        <v>0</v>
      </c>
      <c r="AM100">
        <v>0</v>
      </c>
      <c r="AN100">
        <v>0</v>
      </c>
      <c r="AO100">
        <v>0</v>
      </c>
      <c r="AP100">
        <v>0</v>
      </c>
      <c r="AQ100">
        <v>0</v>
      </c>
      <c r="AR100">
        <v>0</v>
      </c>
      <c r="AS100">
        <v>0</v>
      </c>
      <c r="AT100">
        <v>0</v>
      </c>
      <c r="AU100">
        <v>0</v>
      </c>
      <c r="AV100">
        <v>0</v>
      </c>
      <c r="AW100">
        <v>0</v>
      </c>
      <c r="AX100">
        <v>0</v>
      </c>
      <c r="AY100">
        <v>0</v>
      </c>
      <c r="AZ100">
        <v>0.1953016642</v>
      </c>
      <c r="BA100">
        <v>0</v>
      </c>
    </row>
    <row r="101" spans="1:53" x14ac:dyDescent="0.35">
      <c r="A101" s="13">
        <v>96</v>
      </c>
      <c r="B101" s="10" t="s">
        <v>211</v>
      </c>
      <c r="C101">
        <v>7.2928559100000001</v>
      </c>
      <c r="D101">
        <v>15.553530309999999</v>
      </c>
      <c r="E101">
        <v>0.95825749459999998</v>
      </c>
      <c r="F101">
        <v>0.12588206220000001</v>
      </c>
      <c r="G101">
        <v>96.25990856</v>
      </c>
      <c r="H101">
        <v>1.8812906411000001</v>
      </c>
      <c r="I101">
        <v>0</v>
      </c>
      <c r="J101">
        <v>22.37069765</v>
      </c>
      <c r="K101">
        <v>0.54475672159999999</v>
      </c>
      <c r="L101">
        <v>23.055643620000001</v>
      </c>
      <c r="M101">
        <v>1.2291088615000001</v>
      </c>
      <c r="N101">
        <v>52.335325724</v>
      </c>
      <c r="O101">
        <v>362.64417866999997</v>
      </c>
      <c r="P101">
        <v>4.8922311000000003E-2</v>
      </c>
      <c r="Q101">
        <v>101.28935121000001</v>
      </c>
      <c r="R101">
        <v>7.0363787400000002E-2</v>
      </c>
      <c r="S101">
        <v>6.4716739999999995E-4</v>
      </c>
      <c r="T101">
        <v>0.22703690930000001</v>
      </c>
      <c r="U101">
        <v>8.7822014951000007</v>
      </c>
      <c r="V101">
        <v>7.9817520408</v>
      </c>
      <c r="W101">
        <v>0.13799857900000001</v>
      </c>
      <c r="X101">
        <v>1.3238249230000001</v>
      </c>
      <c r="Y101">
        <v>0.3069023186</v>
      </c>
      <c r="Z101">
        <v>8.3578501665000005</v>
      </c>
      <c r="AA101">
        <v>82.029262922000001</v>
      </c>
      <c r="AB101">
        <v>10.921611757000001</v>
      </c>
      <c r="AC101">
        <v>2.9035866600000002</v>
      </c>
      <c r="AD101">
        <v>0.32607686699999999</v>
      </c>
      <c r="AE101">
        <v>3.4700924458000002</v>
      </c>
      <c r="AF101">
        <v>0</v>
      </c>
      <c r="AG101">
        <v>0</v>
      </c>
      <c r="AH101">
        <v>0</v>
      </c>
      <c r="AI101">
        <v>0.73711711150000003</v>
      </c>
      <c r="AJ101">
        <v>0</v>
      </c>
      <c r="AK101">
        <v>0</v>
      </c>
      <c r="AL101">
        <v>0</v>
      </c>
      <c r="AM101">
        <v>0.73711711150000003</v>
      </c>
      <c r="AN101">
        <v>0</v>
      </c>
      <c r="AO101">
        <v>0</v>
      </c>
      <c r="AP101">
        <v>0</v>
      </c>
      <c r="AQ101">
        <v>0</v>
      </c>
      <c r="AR101">
        <v>0</v>
      </c>
      <c r="AS101">
        <v>0</v>
      </c>
      <c r="AT101">
        <v>0</v>
      </c>
      <c r="AU101">
        <v>0</v>
      </c>
      <c r="AV101">
        <v>0</v>
      </c>
      <c r="AW101">
        <v>0</v>
      </c>
      <c r="AX101">
        <v>0</v>
      </c>
      <c r="AY101">
        <v>0</v>
      </c>
      <c r="AZ101">
        <v>0.40380623139999999</v>
      </c>
      <c r="BA101">
        <v>0</v>
      </c>
    </row>
    <row r="102" spans="1:53" x14ac:dyDescent="0.35">
      <c r="A102" s="13">
        <v>97</v>
      </c>
      <c r="B102" s="10" t="s">
        <v>213</v>
      </c>
      <c r="C102">
        <v>9.8792961687999998</v>
      </c>
      <c r="D102">
        <v>24.701202500000001</v>
      </c>
      <c r="E102">
        <v>1.3891351590000001</v>
      </c>
      <c r="F102">
        <v>7.8119829799999999E-2</v>
      </c>
      <c r="G102">
        <v>88.133998750000003</v>
      </c>
      <c r="H102">
        <v>3.0113783357999999</v>
      </c>
      <c r="I102">
        <v>0</v>
      </c>
      <c r="J102">
        <v>33.130396019999999</v>
      </c>
      <c r="K102">
        <v>0.71832872420000005</v>
      </c>
      <c r="L102">
        <v>24.534101651</v>
      </c>
      <c r="M102">
        <v>1.3201525707999999</v>
      </c>
      <c r="N102">
        <v>72.545032441000004</v>
      </c>
      <c r="O102">
        <v>200.77346908000001</v>
      </c>
      <c r="P102">
        <v>6.2092863999999998E-2</v>
      </c>
      <c r="Q102">
        <v>98.412783789000002</v>
      </c>
      <c r="R102">
        <v>9.3849310000000005E-2</v>
      </c>
      <c r="S102">
        <v>2.4120580000000001E-4</v>
      </c>
      <c r="T102">
        <v>0.1244269272</v>
      </c>
      <c r="U102">
        <v>5.52236043</v>
      </c>
      <c r="V102">
        <v>32.747877693</v>
      </c>
      <c r="W102">
        <v>0.23568747400000001</v>
      </c>
      <c r="X102">
        <v>9.5364613669999994</v>
      </c>
      <c r="Y102">
        <v>0.57629798580000002</v>
      </c>
      <c r="Z102">
        <v>13.402614753</v>
      </c>
      <c r="AA102">
        <v>69.532707497000004</v>
      </c>
      <c r="AB102">
        <v>14.137393168999999</v>
      </c>
      <c r="AC102">
        <v>3.9623254020000003</v>
      </c>
      <c r="AD102">
        <v>0.34039448099999997</v>
      </c>
      <c r="AE102">
        <v>4.5715404535999999</v>
      </c>
      <c r="AF102">
        <v>0</v>
      </c>
      <c r="AG102">
        <v>0</v>
      </c>
      <c r="AH102">
        <v>0</v>
      </c>
      <c r="AI102">
        <v>0.62071851649999998</v>
      </c>
      <c r="AJ102">
        <v>0</v>
      </c>
      <c r="AK102">
        <v>0</v>
      </c>
      <c r="AL102">
        <v>0</v>
      </c>
      <c r="AM102">
        <v>0.62071851649999998</v>
      </c>
      <c r="AN102">
        <v>0</v>
      </c>
      <c r="AO102">
        <v>0</v>
      </c>
      <c r="AP102">
        <v>0</v>
      </c>
      <c r="AQ102">
        <v>0</v>
      </c>
      <c r="AR102">
        <v>0</v>
      </c>
      <c r="AS102">
        <v>0</v>
      </c>
      <c r="AT102">
        <v>0</v>
      </c>
      <c r="AU102">
        <v>0</v>
      </c>
      <c r="AV102">
        <v>0</v>
      </c>
      <c r="AW102">
        <v>0</v>
      </c>
      <c r="AX102">
        <v>0</v>
      </c>
      <c r="AY102">
        <v>0</v>
      </c>
      <c r="AZ102">
        <v>0.13391585750000001</v>
      </c>
      <c r="BA102">
        <v>0</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Your Model Diet</vt:lpstr>
      <vt:lpstr>Output</vt:lpstr>
      <vt:lpstr>Common Foods</vt:lpstr>
      <vt:lpstr>Sources of Nutrients</vt:lpstr>
      <vt:lpstr>Calculation_TFP</vt:lpstr>
      <vt:lpstr>CurrConsumption_Ref</vt:lpstr>
      <vt:lpstr>TFPConsumption_Ref</vt:lpstr>
      <vt:lpstr>Nutrient Content_TFP</vt:lpstr>
      <vt:lpstr>Distance Function</vt:lpstr>
      <vt:lpstr>Cost_TFP</vt:lpstr>
      <vt:lpstr>TFP Cost Constraint</vt:lpstr>
      <vt:lpstr>TFP Lower Nutr Constraints</vt:lpstr>
      <vt:lpstr>TFP Upper Nutr Constraints</vt:lpstr>
      <vt:lpstr>Dietary Pattern Serv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Fryling</dc:creator>
  <cp:keywords/>
  <dc:description/>
  <cp:lastModifiedBy>Hayley Fryling</cp:lastModifiedBy>
  <cp:revision/>
  <dcterms:created xsi:type="dcterms:W3CDTF">2023-09-28T18:16:54Z</dcterms:created>
  <dcterms:modified xsi:type="dcterms:W3CDTF">2025-03-21T16:34:23Z</dcterms:modified>
  <cp:category/>
  <cp:contentStatus/>
</cp:coreProperties>
</file>